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07b42e061eebce/ABNB/"/>
    </mc:Choice>
  </mc:AlternateContent>
  <xr:revisionPtr revIDLastSave="1891" documentId="8_{78BD44AF-B964-4417-A343-79FA4225C090}" xr6:coauthVersionLast="47" xr6:coauthVersionMax="47" xr10:uidLastSave="{AE964CA8-2009-7E4D-B1AB-A1631811FC9F}"/>
  <bookViews>
    <workbookView xWindow="0" yWindow="500" windowWidth="33600" windowHeight="20500" tabRatio="701" activeTab="5" xr2:uid="{315DD870-8C1D-47B7-9406-0D00D9A1A46A}"/>
  </bookViews>
  <sheets>
    <sheet name="__FDSCACHE__" sheetId="40" state="veryHidden" r:id="rId1"/>
    <sheet name="_CIQHiddenCacheSheet" sheetId="26" state="veryHidden" r:id="rId2"/>
    <sheet name="SUM" sheetId="2" r:id="rId3"/>
    <sheet name="MOD" sheetId="1" r:id="rId4"/>
    <sheet name="DCF - BAKED IN" sheetId="29" r:id="rId5"/>
    <sheet name="CONSENSUS" sheetId="41" r:id="rId6"/>
  </sheets>
  <externalReferences>
    <externalReference r:id="rId7"/>
  </externalReferences>
  <definedNames>
    <definedName name="CIQWBGuid" hidden="1">"f1e1fb0d-efd9-4a18-8459-bd8c3c3e8125"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"01/01/0001 00:00:00"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3">MOD!$A$1:$AJ$346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C17" i="2" s="1"/>
  <c r="C23" i="2"/>
  <c r="C25" i="2" s="1"/>
  <c r="AJ166" i="1"/>
  <c r="AI166" i="1"/>
  <c r="AI165" i="1"/>
  <c r="AJ165" i="1"/>
  <c r="AH165" i="1"/>
  <c r="AI1" i="1"/>
  <c r="AJ1" i="1"/>
  <c r="AK1" i="1"/>
  <c r="AL1" i="1"/>
  <c r="AH1" i="1"/>
  <c r="C12" i="41"/>
  <c r="C11" i="41"/>
  <c r="C10" i="41"/>
  <c r="K29" i="29"/>
  <c r="L29" i="29"/>
  <c r="G21" i="29"/>
  <c r="F21" i="29"/>
  <c r="E21" i="29"/>
  <c r="D21" i="29"/>
  <c r="C21" i="29"/>
  <c r="G8" i="29"/>
  <c r="F8" i="29"/>
  <c r="E8" i="29"/>
  <c r="D8" i="29"/>
  <c r="C8" i="29"/>
  <c r="G5" i="29"/>
  <c r="F5" i="29"/>
  <c r="E5" i="29"/>
  <c r="D5" i="29"/>
  <c r="C5" i="29"/>
  <c r="E248" i="1"/>
  <c r="F248" i="1"/>
  <c r="G248" i="1"/>
  <c r="H248" i="1"/>
  <c r="I248" i="1"/>
  <c r="J248" i="1"/>
  <c r="K248" i="1"/>
  <c r="L248" i="1"/>
  <c r="L251" i="1" s="1"/>
  <c r="M248" i="1"/>
  <c r="N248" i="1"/>
  <c r="O248" i="1"/>
  <c r="P248" i="1"/>
  <c r="Q248" i="1"/>
  <c r="Q257" i="1" s="1"/>
  <c r="R248" i="1"/>
  <c r="S248" i="1"/>
  <c r="T248" i="1"/>
  <c r="U248" i="1"/>
  <c r="U251" i="1" s="1"/>
  <c r="V248" i="1"/>
  <c r="V251" i="1" s="1"/>
  <c r="W248" i="1"/>
  <c r="W251" i="1" s="1"/>
  <c r="X248" i="1"/>
  <c r="X251" i="1" s="1"/>
  <c r="Y248" i="1"/>
  <c r="Z248" i="1"/>
  <c r="AA248" i="1"/>
  <c r="AB248" i="1"/>
  <c r="E251" i="1"/>
  <c r="F251" i="1"/>
  <c r="G251" i="1"/>
  <c r="H251" i="1"/>
  <c r="I251" i="1"/>
  <c r="J251" i="1"/>
  <c r="K251" i="1"/>
  <c r="M251" i="1"/>
  <c r="N251" i="1"/>
  <c r="O251" i="1"/>
  <c r="P251" i="1"/>
  <c r="R251" i="1"/>
  <c r="S251" i="1"/>
  <c r="T251" i="1"/>
  <c r="T260" i="1" s="1"/>
  <c r="Y251" i="1"/>
  <c r="Z251" i="1"/>
  <c r="AA251" i="1"/>
  <c r="AB251" i="1"/>
  <c r="E253" i="1"/>
  <c r="F253" i="1"/>
  <c r="G253" i="1"/>
  <c r="H253" i="1"/>
  <c r="I253" i="1"/>
  <c r="I255" i="1" s="1"/>
  <c r="J253" i="1"/>
  <c r="J255" i="1" s="1"/>
  <c r="K253" i="1"/>
  <c r="K255" i="1" s="1"/>
  <c r="L253" i="1"/>
  <c r="L255" i="1" s="1"/>
  <c r="M253" i="1"/>
  <c r="M255" i="1" s="1"/>
  <c r="N253" i="1"/>
  <c r="N255" i="1" s="1"/>
  <c r="O253" i="1"/>
  <c r="O255" i="1" s="1"/>
  <c r="P253" i="1"/>
  <c r="P255" i="1" s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E255" i="1"/>
  <c r="E257" i="1" s="1"/>
  <c r="F255" i="1"/>
  <c r="F257" i="1" s="1"/>
  <c r="G255" i="1"/>
  <c r="G257" i="1" s="1"/>
  <c r="H255" i="1"/>
  <c r="H257" i="1" s="1"/>
  <c r="Q255" i="1"/>
  <c r="R255" i="1"/>
  <c r="S255" i="1"/>
  <c r="T255" i="1"/>
  <c r="U255" i="1"/>
  <c r="U260" i="1" s="1"/>
  <c r="V255" i="1"/>
  <c r="V260" i="1" s="1"/>
  <c r="W255" i="1"/>
  <c r="W260" i="1" s="1"/>
  <c r="X255" i="1"/>
  <c r="X260" i="1" s="1"/>
  <c r="Y255" i="1"/>
  <c r="Y257" i="1" s="1"/>
  <c r="Z255" i="1"/>
  <c r="Z257" i="1" s="1"/>
  <c r="AA255" i="1"/>
  <c r="AA257" i="1" s="1"/>
  <c r="AB255" i="1"/>
  <c r="AB257" i="1" s="1"/>
  <c r="R257" i="1"/>
  <c r="S257" i="1"/>
  <c r="T257" i="1"/>
  <c r="U257" i="1"/>
  <c r="V257" i="1"/>
  <c r="W257" i="1"/>
  <c r="R260" i="1"/>
  <c r="S260" i="1"/>
  <c r="D260" i="1"/>
  <c r="D257" i="1"/>
  <c r="D255" i="1"/>
  <c r="D254" i="1"/>
  <c r="D253" i="1"/>
  <c r="D251" i="1"/>
  <c r="D248" i="1"/>
  <c r="C30" i="2"/>
  <c r="Q5" i="2"/>
  <c r="Q6" i="2"/>
  <c r="O13" i="2"/>
  <c r="N13" i="2"/>
  <c r="M13" i="2"/>
  <c r="L13" i="2"/>
  <c r="K13" i="2"/>
  <c r="J13" i="2"/>
  <c r="I13" i="2"/>
  <c r="H13" i="2"/>
  <c r="G13" i="2"/>
  <c r="F13" i="2"/>
  <c r="AI147" i="1"/>
  <c r="AJ147" i="1"/>
  <c r="AK147" i="1"/>
  <c r="AL147" i="1"/>
  <c r="AH147" i="1"/>
  <c r="AH51" i="1"/>
  <c r="AI51" i="1" s="1"/>
  <c r="AH37" i="1"/>
  <c r="AI37" i="1" s="1"/>
  <c r="AH23" i="1"/>
  <c r="AI23" i="1" s="1"/>
  <c r="AJ23" i="1" s="1"/>
  <c r="AK23" i="1" s="1"/>
  <c r="AL23" i="1" s="1"/>
  <c r="O11" i="1"/>
  <c r="T11" i="1"/>
  <c r="S11" i="1"/>
  <c r="R11" i="1"/>
  <c r="T10" i="1"/>
  <c r="X10" i="1"/>
  <c r="Y11" i="1"/>
  <c r="Y10" i="1"/>
  <c r="Z11" i="1"/>
  <c r="Z10" i="1"/>
  <c r="AD10" i="1"/>
  <c r="AE11" i="1"/>
  <c r="AE10" i="1"/>
  <c r="C7" i="2"/>
  <c r="C8" i="2"/>
  <c r="C9" i="2"/>
  <c r="C12" i="2" s="1"/>
  <c r="D132" i="1"/>
  <c r="J116" i="1"/>
  <c r="D116" i="1"/>
  <c r="AB115" i="1"/>
  <c r="V115" i="1"/>
  <c r="P115" i="1"/>
  <c r="J115" i="1"/>
  <c r="AB240" i="1"/>
  <c r="V240" i="1"/>
  <c r="P240" i="1"/>
  <c r="J240" i="1"/>
  <c r="J241" i="1" s="1"/>
  <c r="D240" i="1"/>
  <c r="AB237" i="1"/>
  <c r="V237" i="1"/>
  <c r="P237" i="1"/>
  <c r="J237" i="1"/>
  <c r="D237" i="1"/>
  <c r="D238" i="1"/>
  <c r="D239" i="1" s="1"/>
  <c r="AB238" i="1"/>
  <c r="V238" i="1"/>
  <c r="P238" i="1"/>
  <c r="J238" i="1"/>
  <c r="C27" i="2" l="1"/>
  <c r="C26" i="2"/>
  <c r="C18" i="2"/>
  <c r="C19" i="2"/>
  <c r="C20" i="2"/>
  <c r="L257" i="1"/>
  <c r="L260" i="1"/>
  <c r="K257" i="1"/>
  <c r="K260" i="1"/>
  <c r="J257" i="1"/>
  <c r="J260" i="1"/>
  <c r="P257" i="1"/>
  <c r="P260" i="1"/>
  <c r="O257" i="1"/>
  <c r="O260" i="1"/>
  <c r="N257" i="1"/>
  <c r="N260" i="1"/>
  <c r="I257" i="1"/>
  <c r="I260" i="1"/>
  <c r="M257" i="1"/>
  <c r="M260" i="1"/>
  <c r="E260" i="1"/>
  <c r="X257" i="1"/>
  <c r="Q251" i="1"/>
  <c r="Q260" i="1" s="1"/>
  <c r="AB260" i="1"/>
  <c r="H260" i="1"/>
  <c r="AA260" i="1"/>
  <c r="G260" i="1"/>
  <c r="Z260" i="1"/>
  <c r="F260" i="1"/>
  <c r="Y260" i="1"/>
  <c r="AJ51" i="1"/>
  <c r="AJ37" i="1"/>
  <c r="D241" i="1"/>
  <c r="C10" i="2"/>
  <c r="C11" i="2" s="1"/>
  <c r="AB239" i="1"/>
  <c r="AB241" i="1" s="1"/>
  <c r="P239" i="1"/>
  <c r="P241" i="1" s="1"/>
  <c r="V239" i="1"/>
  <c r="V241" i="1" s="1"/>
  <c r="AK51" i="1" l="1"/>
  <c r="AK37" i="1"/>
  <c r="AL51" i="1" l="1"/>
  <c r="AL37" i="1"/>
  <c r="AE232" i="1" l="1"/>
  <c r="AE233" i="1" s="1"/>
  <c r="AD232" i="1"/>
  <c r="AD233" i="1" s="1"/>
  <c r="AB232" i="1"/>
  <c r="AB233" i="1" s="1"/>
  <c r="AA232" i="1"/>
  <c r="AA233" i="1" s="1"/>
  <c r="Z232" i="1"/>
  <c r="Z233" i="1" s="1"/>
  <c r="Y232" i="1"/>
  <c r="Y233" i="1" s="1"/>
  <c r="X232" i="1"/>
  <c r="X233" i="1" s="1"/>
  <c r="V232" i="1"/>
  <c r="V233" i="1" s="1"/>
  <c r="U232" i="1"/>
  <c r="U233" i="1" s="1"/>
  <c r="T232" i="1"/>
  <c r="T233" i="1" s="1"/>
  <c r="S232" i="1"/>
  <c r="S233" i="1" s="1"/>
  <c r="R232" i="1"/>
  <c r="R233" i="1" s="1"/>
  <c r="P232" i="1"/>
  <c r="P233" i="1" s="1"/>
  <c r="O232" i="1"/>
  <c r="O233" i="1" s="1"/>
  <c r="N232" i="1"/>
  <c r="N233" i="1" s="1"/>
  <c r="J232" i="1"/>
  <c r="J233" i="1" s="1"/>
  <c r="D232" i="1"/>
  <c r="D233" i="1" s="1"/>
  <c r="J100" i="1"/>
  <c r="D100" i="1"/>
  <c r="AB24" i="1"/>
  <c r="R14" i="1"/>
  <c r="S16" i="1"/>
  <c r="S14" i="1"/>
  <c r="T16" i="1"/>
  <c r="T14" i="1"/>
  <c r="X15" i="1"/>
  <c r="X14" i="1"/>
  <c r="Y16" i="1"/>
  <c r="Y15" i="1"/>
  <c r="Y14" i="1"/>
  <c r="Z16" i="1"/>
  <c r="Z15" i="1"/>
  <c r="Z14" i="1"/>
  <c r="O18" i="1"/>
  <c r="N18" i="1"/>
  <c r="D18" i="1"/>
  <c r="J18" i="1"/>
  <c r="J14" i="1"/>
  <c r="R18" i="1"/>
  <c r="S18" i="1"/>
  <c r="T18" i="1"/>
  <c r="X18" i="1"/>
  <c r="Y18" i="1"/>
  <c r="Z18" i="1"/>
  <c r="AE13" i="1"/>
  <c r="AE14" i="1" s="1"/>
  <c r="AD13" i="1"/>
  <c r="AD14" i="1" s="1"/>
  <c r="AB13" i="1"/>
  <c r="AB80" i="1" s="1"/>
  <c r="AB116" i="1" s="1"/>
  <c r="V13" i="1"/>
  <c r="V15" i="1" s="1"/>
  <c r="P13" i="1"/>
  <c r="P80" i="1" s="1"/>
  <c r="J10" i="1"/>
  <c r="V9" i="1"/>
  <c r="AB9" i="1"/>
  <c r="AB10" i="1" s="1"/>
  <c r="P9" i="1"/>
  <c r="P10" i="1" s="1"/>
  <c r="AB69" i="1"/>
  <c r="AH69" i="1" s="1"/>
  <c r="AI69" i="1" s="1"/>
  <c r="AJ69" i="1" s="1"/>
  <c r="AK69" i="1" s="1"/>
  <c r="AL69" i="1" s="1"/>
  <c r="V69" i="1"/>
  <c r="P69" i="1"/>
  <c r="P55" i="1"/>
  <c r="V55" i="1"/>
  <c r="AB55" i="1"/>
  <c r="P41" i="1"/>
  <c r="V41" i="1"/>
  <c r="AB41" i="1"/>
  <c r="P27" i="1"/>
  <c r="V27" i="1"/>
  <c r="AB27" i="1"/>
  <c r="D118" i="1"/>
  <c r="J118" i="1"/>
  <c r="P118" i="1"/>
  <c r="V118" i="1"/>
  <c r="AB118" i="1"/>
  <c r="J91" i="1"/>
  <c r="AE4" i="1"/>
  <c r="AG334" i="1"/>
  <c r="AF334" i="1"/>
  <c r="AE334" i="1"/>
  <c r="AE335" i="1" s="1"/>
  <c r="AD334" i="1"/>
  <c r="AD335" i="1" s="1"/>
  <c r="AG331" i="1"/>
  <c r="AF331" i="1"/>
  <c r="AE331" i="1"/>
  <c r="AE332" i="1" s="1"/>
  <c r="AD331" i="1"/>
  <c r="AD332" i="1" s="1"/>
  <c r="AG328" i="1"/>
  <c r="AF328" i="1"/>
  <c r="AE326" i="1"/>
  <c r="AD326" i="1"/>
  <c r="AE323" i="1"/>
  <c r="AE324" i="1" s="1"/>
  <c r="AD323" i="1"/>
  <c r="AD324" i="1" s="1"/>
  <c r="AE76" i="1"/>
  <c r="AE62" i="1"/>
  <c r="AE48" i="1"/>
  <c r="AE34" i="1"/>
  <c r="AG4" i="1"/>
  <c r="AF4" i="1"/>
  <c r="AD4" i="1"/>
  <c r="AL112" i="1"/>
  <c r="AL89" i="1"/>
  <c r="AL4" i="1"/>
  <c r="P91" i="1" l="1"/>
  <c r="P116" i="1"/>
  <c r="AB100" i="1"/>
  <c r="AB91" i="1"/>
  <c r="V80" i="1"/>
  <c r="V116" i="1" s="1"/>
  <c r="P100" i="1"/>
  <c r="V18" i="1"/>
  <c r="Y20" i="1"/>
  <c r="T20" i="1"/>
  <c r="U13" i="1"/>
  <c r="Z20" i="1"/>
  <c r="O20" i="1"/>
  <c r="V14" i="1"/>
  <c r="P15" i="1"/>
  <c r="S20" i="1"/>
  <c r="J19" i="1"/>
  <c r="AB18" i="1"/>
  <c r="AA13" i="1"/>
  <c r="AA16" i="1" s="1"/>
  <c r="AA9" i="1"/>
  <c r="U9" i="1"/>
  <c r="AE18" i="1"/>
  <c r="AE19" i="1" s="1"/>
  <c r="AD18" i="1"/>
  <c r="AD19" i="1" s="1"/>
  <c r="AB14" i="1"/>
  <c r="P14" i="1"/>
  <c r="AB15" i="1"/>
  <c r="X19" i="1"/>
  <c r="P18" i="1"/>
  <c r="P19" i="1" s="1"/>
  <c r="AD15" i="1"/>
  <c r="AE15" i="1"/>
  <c r="AE16" i="1"/>
  <c r="R20" i="1"/>
  <c r="T19" i="1"/>
  <c r="Y19" i="1"/>
  <c r="Z19" i="1"/>
  <c r="V10" i="1"/>
  <c r="AB28" i="1"/>
  <c r="AD328" i="1"/>
  <c r="AD329" i="1" s="1"/>
  <c r="AE328" i="1"/>
  <c r="AE329" i="1" s="1"/>
  <c r="AG326" i="1"/>
  <c r="AG323" i="1" s="1"/>
  <c r="AF326" i="1"/>
  <c r="AF323" i="1" s="1"/>
  <c r="AE337" i="1"/>
  <c r="AE345" i="1" s="1"/>
  <c r="AD337" i="1"/>
  <c r="U11" i="1" l="1"/>
  <c r="U10" i="1"/>
  <c r="X11" i="1"/>
  <c r="AA11" i="1"/>
  <c r="AA10" i="1"/>
  <c r="AD11" i="1"/>
  <c r="AB19" i="1"/>
  <c r="V100" i="1"/>
  <c r="V91" i="1"/>
  <c r="AA15" i="1"/>
  <c r="AA18" i="1"/>
  <c r="AA20" i="1" s="1"/>
  <c r="AE20" i="1"/>
  <c r="AA14" i="1"/>
  <c r="U16" i="1"/>
  <c r="U18" i="1"/>
  <c r="U19" i="1" s="1"/>
  <c r="AD16" i="1"/>
  <c r="X16" i="1"/>
  <c r="U14" i="1"/>
  <c r="V19" i="1"/>
  <c r="AE341" i="1"/>
  <c r="AE338" i="1"/>
  <c r="AE343" i="1"/>
  <c r="AF324" i="1"/>
  <c r="AF337" i="1"/>
  <c r="AG324" i="1"/>
  <c r="AG337" i="1"/>
  <c r="AD345" i="1"/>
  <c r="AD341" i="1"/>
  <c r="AD343" i="1"/>
  <c r="AD338" i="1"/>
  <c r="AO40" i="29"/>
  <c r="AD20" i="1" l="1"/>
  <c r="X20" i="1"/>
  <c r="U20" i="1"/>
  <c r="AA19" i="1"/>
  <c r="AG339" i="1"/>
  <c r="AG341" i="1"/>
  <c r="AG338" i="1"/>
  <c r="AF345" i="1"/>
  <c r="AF343" i="1"/>
  <c r="AF341" i="1"/>
  <c r="AF338" i="1"/>
  <c r="AG340" i="1"/>
  <c r="A4" i="41"/>
  <c r="A5" i="41" s="1"/>
  <c r="AK4" i="1" l="1"/>
  <c r="AK89" i="1"/>
  <c r="AK112" i="1"/>
  <c r="K15" i="2" l="1"/>
  <c r="K23" i="2" s="1"/>
  <c r="L15" i="2"/>
  <c r="L23" i="2" s="1"/>
  <c r="M15" i="2"/>
  <c r="M23" i="2" s="1"/>
  <c r="AI89" i="1"/>
  <c r="AJ89" i="1"/>
  <c r="C18" i="29" l="1"/>
  <c r="D18" i="29"/>
  <c r="E18" i="29"/>
  <c r="F18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H12" i="29"/>
  <c r="E6" i="29" l="1"/>
  <c r="E9" i="29"/>
  <c r="D9" i="29"/>
  <c r="D6" i="29"/>
  <c r="C6" i="29"/>
  <c r="F6" i="29"/>
  <c r="F9" i="29"/>
  <c r="C9" i="29"/>
  <c r="AO42" i="29" l="1"/>
  <c r="AO12" i="29"/>
  <c r="AN2" i="29"/>
  <c r="J44" i="29"/>
  <c r="K44" i="29" s="1"/>
  <c r="L44" i="29" s="1"/>
  <c r="M44" i="29" s="1"/>
  <c r="N44" i="29" s="1"/>
  <c r="O44" i="29" s="1"/>
  <c r="P44" i="29" s="1"/>
  <c r="Q44" i="29" s="1"/>
  <c r="R44" i="29" s="1"/>
  <c r="S44" i="29" s="1"/>
  <c r="T44" i="29" s="1"/>
  <c r="U44" i="29" s="1"/>
  <c r="V44" i="29" s="1"/>
  <c r="W44" i="29" s="1"/>
  <c r="X44" i="29" s="1"/>
  <c r="Y44" i="29" s="1"/>
  <c r="Z44" i="29" s="1"/>
  <c r="AA44" i="29" s="1"/>
  <c r="AB44" i="29" s="1"/>
  <c r="AC44" i="29" s="1"/>
  <c r="AD44" i="29" s="1"/>
  <c r="AE44" i="29" s="1"/>
  <c r="AF44" i="29" s="1"/>
  <c r="AG44" i="29" s="1"/>
  <c r="AH44" i="29" s="1"/>
  <c r="AI44" i="29" s="1"/>
  <c r="AJ44" i="29" s="1"/>
  <c r="E34" i="29"/>
  <c r="D34" i="29"/>
  <c r="C34" i="29"/>
  <c r="J29" i="29"/>
  <c r="I29" i="29"/>
  <c r="H29" i="29"/>
  <c r="F52" i="29"/>
  <c r="G51" i="29"/>
  <c r="G52" i="29" s="1"/>
  <c r="AJ38" i="29"/>
  <c r="AI38" i="29"/>
  <c r="AH38" i="29"/>
  <c r="AG38" i="29"/>
  <c r="AF38" i="29"/>
  <c r="AE38" i="29"/>
  <c r="AD38" i="29"/>
  <c r="AC38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AO41" i="29" l="1"/>
  <c r="AO45" i="29"/>
  <c r="AO44" i="29"/>
  <c r="AO43" i="29"/>
  <c r="H51" i="29"/>
  <c r="F34" i="29"/>
  <c r="H52" i="29" l="1"/>
  <c r="I51" i="29"/>
  <c r="I52" i="29" l="1"/>
  <c r="J51" i="29"/>
  <c r="J52" i="29" l="1"/>
  <c r="K51" i="29"/>
  <c r="K52" i="29" l="1"/>
  <c r="L51" i="29"/>
  <c r="L52" i="29" l="1"/>
  <c r="M51" i="29"/>
  <c r="M52" i="29" l="1"/>
  <c r="N51" i="29"/>
  <c r="O51" i="29" l="1"/>
  <c r="N52" i="29"/>
  <c r="P51" i="29" l="1"/>
  <c r="O52" i="29"/>
  <c r="P52" i="29" l="1"/>
  <c r="Q51" i="29"/>
  <c r="R51" i="29" l="1"/>
  <c r="Q52" i="29"/>
  <c r="S51" i="29" l="1"/>
  <c r="R52" i="29"/>
  <c r="T51" i="29" l="1"/>
  <c r="S52" i="29"/>
  <c r="U51" i="29" l="1"/>
  <c r="T52" i="29"/>
  <c r="U52" i="29" l="1"/>
  <c r="V51" i="29"/>
  <c r="W51" i="29" l="1"/>
  <c r="V52" i="29"/>
  <c r="X51" i="29" l="1"/>
  <c r="W52" i="29"/>
  <c r="Y51" i="29" l="1"/>
  <c r="X52" i="29"/>
  <c r="Z51" i="29" l="1"/>
  <c r="Y52" i="29"/>
  <c r="AA51" i="29" l="1"/>
  <c r="Z52" i="29"/>
  <c r="AA52" i="29" l="1"/>
  <c r="AB51" i="29"/>
  <c r="AC51" i="29" l="1"/>
  <c r="AB52" i="29"/>
  <c r="AD51" i="29" l="1"/>
  <c r="AC52" i="29"/>
  <c r="AE51" i="29" l="1"/>
  <c r="AD52" i="29"/>
  <c r="AF51" i="29" l="1"/>
  <c r="AE52" i="29"/>
  <c r="AF52" i="29" l="1"/>
  <c r="AG51" i="29"/>
  <c r="AG52" i="29" l="1"/>
  <c r="AH51" i="29"/>
  <c r="AH52" i="29" l="1"/>
  <c r="AI51" i="29"/>
  <c r="AJ51" i="29" l="1"/>
  <c r="AI52" i="29"/>
  <c r="AL55" i="29" l="1"/>
  <c r="AL56" i="29" s="1"/>
  <c r="AJ52" i="29"/>
  <c r="AL45" i="29" s="1"/>
  <c r="AL44" i="29"/>
  <c r="F36" i="29" l="1"/>
  <c r="E36" i="29"/>
  <c r="D36" i="29"/>
  <c r="C36" i="29"/>
  <c r="F44" i="29"/>
  <c r="E44" i="29"/>
  <c r="D44" i="29"/>
  <c r="C44" i="29"/>
  <c r="C41" i="29" l="1"/>
  <c r="C45" i="29"/>
  <c r="D45" i="29"/>
  <c r="E45" i="29"/>
  <c r="F45" i="29"/>
  <c r="G45" i="29" s="1"/>
  <c r="H45" i="29" s="1"/>
  <c r="C43" i="29"/>
  <c r="D43" i="29"/>
  <c r="E43" i="29"/>
  <c r="F43" i="29"/>
  <c r="G43" i="29" s="1"/>
  <c r="H43" i="29" s="1"/>
  <c r="I43" i="29" s="1"/>
  <c r="J43" i="29" s="1"/>
  <c r="K43" i="29" s="1"/>
  <c r="L43" i="29" s="1"/>
  <c r="M43" i="29" s="1"/>
  <c r="N43" i="29" s="1"/>
  <c r="O43" i="29" s="1"/>
  <c r="P43" i="29" s="1"/>
  <c r="Q43" i="29" s="1"/>
  <c r="R43" i="29" s="1"/>
  <c r="S43" i="29" s="1"/>
  <c r="T43" i="29" s="1"/>
  <c r="U43" i="29" s="1"/>
  <c r="V43" i="29" s="1"/>
  <c r="W43" i="29" s="1"/>
  <c r="X43" i="29" s="1"/>
  <c r="Y43" i="29" s="1"/>
  <c r="Z43" i="29" s="1"/>
  <c r="AA43" i="29" s="1"/>
  <c r="AB43" i="29" s="1"/>
  <c r="AC43" i="29" s="1"/>
  <c r="AD43" i="29" s="1"/>
  <c r="AE43" i="29" s="1"/>
  <c r="AF43" i="29" s="1"/>
  <c r="AG43" i="29" s="1"/>
  <c r="AH43" i="29" s="1"/>
  <c r="AI43" i="29" s="1"/>
  <c r="AJ43" i="29" s="1"/>
  <c r="E41" i="29"/>
  <c r="F41" i="29"/>
  <c r="D41" i="29"/>
  <c r="C39" i="29"/>
  <c r="D46" i="29" l="1"/>
  <c r="E46" i="29"/>
  <c r="C46" i="29"/>
  <c r="F46" i="29"/>
  <c r="G46" i="29" l="1"/>
  <c r="I45" i="29" l="1"/>
  <c r="I46" i="29" s="1"/>
  <c r="H46" i="29"/>
  <c r="AG345" i="1" l="1"/>
  <c r="AG343" i="1"/>
  <c r="AG342" i="1"/>
  <c r="V155" i="1" l="1"/>
  <c r="P155" i="1"/>
  <c r="J155" i="1"/>
  <c r="V154" i="1"/>
  <c r="P154" i="1"/>
  <c r="J154" i="1"/>
  <c r="AO13" i="29"/>
  <c r="AO14" i="29" s="1"/>
  <c r="E11" i="29" l="1"/>
  <c r="E37" i="29" s="1"/>
  <c r="F11" i="29"/>
  <c r="F19" i="29" s="1"/>
  <c r="V111" i="1"/>
  <c r="V105" i="1"/>
  <c r="P111" i="1"/>
  <c r="P105" i="1"/>
  <c r="AB155" i="1"/>
  <c r="AB154" i="1"/>
  <c r="P132" i="1"/>
  <c r="H4" i="2"/>
  <c r="V132" i="1"/>
  <c r="I4" i="2"/>
  <c r="E19" i="29" l="1"/>
  <c r="F37" i="29"/>
  <c r="F12" i="29"/>
  <c r="D11" i="29"/>
  <c r="E12" i="29" s="1"/>
  <c r="C11" i="29"/>
  <c r="C37" i="29" s="1"/>
  <c r="J105" i="1"/>
  <c r="J111" i="1"/>
  <c r="D111" i="1"/>
  <c r="D105" i="1"/>
  <c r="J132" i="1"/>
  <c r="G4" i="2"/>
  <c r="H5" i="2" s="1"/>
  <c r="I5" i="2"/>
  <c r="F4" i="2"/>
  <c r="C12" i="29" l="1"/>
  <c r="C19" i="29"/>
  <c r="D37" i="29"/>
  <c r="D12" i="29"/>
  <c r="D19" i="29"/>
  <c r="C38" i="29"/>
  <c r="G5" i="2"/>
  <c r="AB52" i="1"/>
  <c r="AB74" i="1"/>
  <c r="AB75" i="1"/>
  <c r="AB66" i="1"/>
  <c r="AB38" i="1"/>
  <c r="AB46" i="1"/>
  <c r="AB47" i="1"/>
  <c r="G6" i="29" l="1"/>
  <c r="H5" i="29"/>
  <c r="I5" i="29" s="1"/>
  <c r="J5" i="29" s="1"/>
  <c r="K5" i="29" s="1"/>
  <c r="L5" i="29" s="1"/>
  <c r="M5" i="29" s="1"/>
  <c r="N5" i="29" s="1"/>
  <c r="O5" i="29" s="1"/>
  <c r="P5" i="29" s="1"/>
  <c r="Q5" i="29" s="1"/>
  <c r="R5" i="29" s="1"/>
  <c r="S5" i="29" s="1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B60" i="1"/>
  <c r="AB61" i="1"/>
  <c r="AB56" i="1"/>
  <c r="AB70" i="1"/>
  <c r="AB42" i="1"/>
  <c r="AH41" i="1"/>
  <c r="AH45" i="1" s="1"/>
  <c r="AH55" i="1" l="1"/>
  <c r="AH59" i="1" s="1"/>
  <c r="AI41" i="1"/>
  <c r="AI45" i="1" s="1"/>
  <c r="AI55" i="1" l="1"/>
  <c r="AI59" i="1" s="1"/>
  <c r="AH46" i="1"/>
  <c r="AH47" i="1"/>
  <c r="AJ41" i="1"/>
  <c r="AJ45" i="1" s="1"/>
  <c r="AJ47" i="1" l="1"/>
  <c r="AK41" i="1"/>
  <c r="AK45" i="1" s="1"/>
  <c r="AH60" i="1"/>
  <c r="AH61" i="1"/>
  <c r="AJ55" i="1"/>
  <c r="AJ59" i="1" s="1"/>
  <c r="AI47" i="1"/>
  <c r="AI46" i="1"/>
  <c r="AK46" i="1" l="1"/>
  <c r="AL41" i="1"/>
  <c r="AL45" i="1" s="1"/>
  <c r="AJ46" i="1"/>
  <c r="AJ60" i="1"/>
  <c r="AK55" i="1"/>
  <c r="AK59" i="1" s="1"/>
  <c r="AI60" i="1"/>
  <c r="AI61" i="1"/>
  <c r="AK47" i="1" l="1"/>
  <c r="AL55" i="1"/>
  <c r="AL59" i="1" s="1"/>
  <c r="AJ61" i="1"/>
  <c r="AK60" i="1"/>
  <c r="AK61" i="1"/>
  <c r="AB141" i="1"/>
  <c r="AH141" i="1" s="1"/>
  <c r="AI141" i="1" s="1"/>
  <c r="AJ141" i="1" s="1"/>
  <c r="AK141" i="1" s="1"/>
  <c r="AL141" i="1" s="1"/>
  <c r="AL61" i="1" l="1"/>
  <c r="AL60" i="1"/>
  <c r="AH156" i="1"/>
  <c r="AH153" i="1" s="1"/>
  <c r="AB157" i="1"/>
  <c r="AB158" i="1"/>
  <c r="V158" i="1"/>
  <c r="P158" i="1"/>
  <c r="J158" i="1"/>
  <c r="AH158" i="1" l="1"/>
  <c r="AI156" i="1"/>
  <c r="AJ156" i="1" s="1"/>
  <c r="AH155" i="1"/>
  <c r="AH154" i="1"/>
  <c r="AB142" i="1"/>
  <c r="G26" i="29" s="1"/>
  <c r="AH139" i="1"/>
  <c r="Y334" i="1"/>
  <c r="Y335" i="1" s="1"/>
  <c r="X334" i="1"/>
  <c r="X335" i="1" s="1"/>
  <c r="U334" i="1"/>
  <c r="T334" i="1"/>
  <c r="T335" i="1" s="1"/>
  <c r="S334" i="1"/>
  <c r="S335" i="1" s="1"/>
  <c r="R334" i="1"/>
  <c r="R335" i="1" s="1"/>
  <c r="O334" i="1"/>
  <c r="N334" i="1"/>
  <c r="N335" i="1" s="1"/>
  <c r="M334" i="1"/>
  <c r="M335" i="1" s="1"/>
  <c r="L334" i="1"/>
  <c r="L335" i="1" s="1"/>
  <c r="I334" i="1"/>
  <c r="H334" i="1"/>
  <c r="H335" i="1" s="1"/>
  <c r="G334" i="1"/>
  <c r="G335" i="1" s="1"/>
  <c r="F334" i="1"/>
  <c r="F335" i="1" s="1"/>
  <c r="Y331" i="1"/>
  <c r="Y332" i="1" s="1"/>
  <c r="X331" i="1"/>
  <c r="X332" i="1" s="1"/>
  <c r="U331" i="1"/>
  <c r="T331" i="1"/>
  <c r="T332" i="1" s="1"/>
  <c r="S331" i="1"/>
  <c r="S332" i="1" s="1"/>
  <c r="R331" i="1"/>
  <c r="R332" i="1" s="1"/>
  <c r="O331" i="1"/>
  <c r="N331" i="1"/>
  <c r="N332" i="1" s="1"/>
  <c r="M331" i="1"/>
  <c r="M332" i="1" s="1"/>
  <c r="L331" i="1"/>
  <c r="L332" i="1" s="1"/>
  <c r="I331" i="1"/>
  <c r="H331" i="1"/>
  <c r="H332" i="1" s="1"/>
  <c r="G331" i="1"/>
  <c r="G332" i="1" s="1"/>
  <c r="F331" i="1"/>
  <c r="F332" i="1" s="1"/>
  <c r="Y326" i="1"/>
  <c r="X326" i="1"/>
  <c r="U326" i="1"/>
  <c r="T326" i="1"/>
  <c r="S326" i="1"/>
  <c r="R326" i="1"/>
  <c r="O326" i="1"/>
  <c r="N326" i="1"/>
  <c r="M326" i="1"/>
  <c r="L326" i="1"/>
  <c r="I326" i="1"/>
  <c r="H326" i="1"/>
  <c r="G326" i="1"/>
  <c r="F326" i="1"/>
  <c r="V334" i="1"/>
  <c r="V335" i="1" s="1"/>
  <c r="V331" i="1"/>
  <c r="V332" i="1" s="1"/>
  <c r="P334" i="1"/>
  <c r="P335" i="1" s="1"/>
  <c r="P331" i="1"/>
  <c r="P332" i="1" s="1"/>
  <c r="J334" i="1"/>
  <c r="J335" i="1" s="1"/>
  <c r="J331" i="1"/>
  <c r="J332" i="1" s="1"/>
  <c r="D334" i="1"/>
  <c r="D335" i="1" s="1"/>
  <c r="D331" i="1"/>
  <c r="D332" i="1" s="1"/>
  <c r="AI153" i="1" l="1"/>
  <c r="AI158" i="1"/>
  <c r="AJ153" i="1"/>
  <c r="AK156" i="1"/>
  <c r="AL156" i="1" s="1"/>
  <c r="AI154" i="1"/>
  <c r="AI155" i="1"/>
  <c r="AJ154" i="1"/>
  <c r="AJ155" i="1"/>
  <c r="AH142" i="1"/>
  <c r="H26" i="29" s="1"/>
  <c r="AI139" i="1"/>
  <c r="AJ158" i="1"/>
  <c r="AA326" i="1"/>
  <c r="Z326" i="1"/>
  <c r="D326" i="1"/>
  <c r="V326" i="1"/>
  <c r="P326" i="1"/>
  <c r="J326" i="1"/>
  <c r="AL158" i="1" l="1"/>
  <c r="AL153" i="1"/>
  <c r="AK153" i="1"/>
  <c r="AK158" i="1"/>
  <c r="AB326" i="1"/>
  <c r="AH326" i="1" s="1"/>
  <c r="AI326" i="1" s="1"/>
  <c r="AJ326" i="1" s="1"/>
  <c r="AK326" i="1" s="1"/>
  <c r="AL326" i="1" s="1"/>
  <c r="AJ139" i="1"/>
  <c r="AI142" i="1"/>
  <c r="I26" i="29" s="1"/>
  <c r="AL155" i="1" l="1"/>
  <c r="AL154" i="1"/>
  <c r="AK154" i="1"/>
  <c r="AK155" i="1"/>
  <c r="AJ142" i="1"/>
  <c r="J26" i="29" s="1"/>
  <c r="AK139" i="1"/>
  <c r="AK142" i="1" l="1"/>
  <c r="AL139" i="1"/>
  <c r="AL142" i="1" s="1"/>
  <c r="AO16" i="29"/>
  <c r="AO15" i="29" l="1"/>
  <c r="AO17" i="29" s="1"/>
  <c r="AO18" i="29" s="1"/>
  <c r="AO27" i="29" l="1"/>
  <c r="V142" i="1" l="1"/>
  <c r="F26" i="29" s="1"/>
  <c r="P142" i="1"/>
  <c r="E26" i="29" s="1"/>
  <c r="J142" i="1"/>
  <c r="D26" i="29" s="1"/>
  <c r="D142" i="1"/>
  <c r="C26" i="29" s="1"/>
  <c r="V120" i="1"/>
  <c r="P120" i="1"/>
  <c r="J120" i="1"/>
  <c r="D120" i="1"/>
  <c r="D91" i="1"/>
  <c r="V157" i="1"/>
  <c r="P157" i="1"/>
  <c r="J157" i="1"/>
  <c r="V110" i="1"/>
  <c r="P110" i="1"/>
  <c r="J110" i="1"/>
  <c r="V107" i="1"/>
  <c r="P107" i="1"/>
  <c r="J107" i="1"/>
  <c r="V87" i="1"/>
  <c r="P87" i="1"/>
  <c r="J87" i="1"/>
  <c r="V88" i="1"/>
  <c r="P88" i="1"/>
  <c r="J88" i="1"/>
  <c r="D88" i="1"/>
  <c r="V83" i="1"/>
  <c r="V82" i="1"/>
  <c r="V81" i="1"/>
  <c r="P82" i="1"/>
  <c r="P81" i="1"/>
  <c r="J81" i="1"/>
  <c r="V131" i="1"/>
  <c r="P131" i="1"/>
  <c r="J131" i="1"/>
  <c r="C14" i="29" l="1"/>
  <c r="C15" i="29" s="1"/>
  <c r="E14" i="29"/>
  <c r="E15" i="29" s="1"/>
  <c r="V94" i="1"/>
  <c r="F14" i="29"/>
  <c r="F15" i="29" s="1"/>
  <c r="J94" i="1"/>
  <c r="D14" i="29"/>
  <c r="D15" i="29" s="1"/>
  <c r="D123" i="1"/>
  <c r="P123" i="1"/>
  <c r="V93" i="1"/>
  <c r="P96" i="1"/>
  <c r="J89" i="1"/>
  <c r="J92" i="1"/>
  <c r="D94" i="1"/>
  <c r="J106" i="1"/>
  <c r="V106" i="1"/>
  <c r="J119" i="1"/>
  <c r="J96" i="1"/>
  <c r="J123" i="1"/>
  <c r="V123" i="1"/>
  <c r="V128" i="1" s="1"/>
  <c r="P89" i="1"/>
  <c r="J112" i="1"/>
  <c r="V112" i="1"/>
  <c r="P112" i="1"/>
  <c r="J121" i="1"/>
  <c r="P121" i="1"/>
  <c r="V121" i="1"/>
  <c r="P119" i="1"/>
  <c r="V119" i="1"/>
  <c r="P92" i="1"/>
  <c r="V96" i="1"/>
  <c r="P94" i="1"/>
  <c r="V92" i="1"/>
  <c r="P93" i="1"/>
  <c r="P106" i="1"/>
  <c r="V89" i="1"/>
  <c r="J128" i="1" l="1"/>
  <c r="J134" i="1"/>
  <c r="P128" i="1"/>
  <c r="D16" i="29"/>
  <c r="F16" i="29"/>
  <c r="C16" i="29"/>
  <c r="J95" i="1"/>
  <c r="P95" i="1"/>
  <c r="E16" i="29"/>
  <c r="V144" i="1"/>
  <c r="V149" i="1" s="1"/>
  <c r="P134" i="1"/>
  <c r="H8" i="2" s="1"/>
  <c r="P144" i="1"/>
  <c r="P149" i="1" s="1"/>
  <c r="J144" i="1"/>
  <c r="J149" i="1" s="1"/>
  <c r="D134" i="1"/>
  <c r="F8" i="2" s="1"/>
  <c r="D144" i="1"/>
  <c r="D149" i="1" s="1"/>
  <c r="V134" i="1"/>
  <c r="I8" i="2" s="1"/>
  <c r="G8" i="2"/>
  <c r="V95" i="1"/>
  <c r="D22" i="29" l="1"/>
  <c r="D24" i="29"/>
  <c r="D27" i="29"/>
  <c r="E22" i="29"/>
  <c r="E24" i="29"/>
  <c r="E27" i="29"/>
  <c r="C22" i="29"/>
  <c r="C27" i="29"/>
  <c r="F22" i="29"/>
  <c r="F27" i="29"/>
  <c r="F24" i="29"/>
  <c r="Y323" i="1"/>
  <c r="Y328" i="1" s="1"/>
  <c r="Y329" i="1" s="1"/>
  <c r="J162" i="1"/>
  <c r="J151" i="1"/>
  <c r="J160" i="1"/>
  <c r="V160" i="1"/>
  <c r="V162" i="1"/>
  <c r="V151" i="1"/>
  <c r="P160" i="1"/>
  <c r="D160" i="1"/>
  <c r="S323" i="1"/>
  <c r="P162" i="1"/>
  <c r="P151" i="1"/>
  <c r="P150" i="1"/>
  <c r="V150" i="1"/>
  <c r="D162" i="1"/>
  <c r="D150" i="1"/>
  <c r="D151" i="1"/>
  <c r="J150" i="1"/>
  <c r="C23" i="29" l="1"/>
  <c r="F23" i="29"/>
  <c r="E23" i="29"/>
  <c r="X323" i="1"/>
  <c r="X337" i="1" s="1"/>
  <c r="D23" i="29"/>
  <c r="Y337" i="1"/>
  <c r="Y324" i="1"/>
  <c r="L323" i="1"/>
  <c r="L337" i="1" s="1"/>
  <c r="J323" i="1"/>
  <c r="J328" i="1" s="1"/>
  <c r="J329" i="1" s="1"/>
  <c r="V323" i="1"/>
  <c r="V337" i="1" s="1"/>
  <c r="T323" i="1"/>
  <c r="H323" i="1"/>
  <c r="M323" i="1"/>
  <c r="S328" i="1"/>
  <c r="S329" i="1" s="1"/>
  <c r="S324" i="1"/>
  <c r="S337" i="1"/>
  <c r="N323" i="1"/>
  <c r="G323" i="1"/>
  <c r="R323" i="1"/>
  <c r="P323" i="1"/>
  <c r="F323" i="1"/>
  <c r="D323" i="1"/>
  <c r="X324" i="1" l="1"/>
  <c r="X328" i="1"/>
  <c r="X329" i="1" s="1"/>
  <c r="Y345" i="1"/>
  <c r="AE346" i="1" s="1"/>
  <c r="Y343" i="1"/>
  <c r="Y338" i="1"/>
  <c r="L324" i="1"/>
  <c r="V324" i="1"/>
  <c r="L328" i="1"/>
  <c r="L329" i="1" s="1"/>
  <c r="V342" i="1"/>
  <c r="V343" i="1" s="1"/>
  <c r="L343" i="1"/>
  <c r="S343" i="1"/>
  <c r="X343" i="1"/>
  <c r="V328" i="1"/>
  <c r="V329" i="1" s="1"/>
  <c r="J324" i="1"/>
  <c r="J337" i="1"/>
  <c r="F324" i="1"/>
  <c r="F337" i="1"/>
  <c r="F328" i="1"/>
  <c r="F329" i="1" s="1"/>
  <c r="V338" i="1"/>
  <c r="V339" i="1" s="1"/>
  <c r="V345" i="1"/>
  <c r="L345" i="1"/>
  <c r="L338" i="1"/>
  <c r="N337" i="1"/>
  <c r="N324" i="1"/>
  <c r="N328" i="1"/>
  <c r="N329" i="1" s="1"/>
  <c r="P337" i="1"/>
  <c r="P328" i="1"/>
  <c r="P329" i="1" s="1"/>
  <c r="P324" i="1"/>
  <c r="M324" i="1"/>
  <c r="M337" i="1"/>
  <c r="M328" i="1"/>
  <c r="M329" i="1" s="1"/>
  <c r="X345" i="1"/>
  <c r="AD346" i="1" s="1"/>
  <c r="X338" i="1"/>
  <c r="D324" i="1"/>
  <c r="D328" i="1"/>
  <c r="D329" i="1" s="1"/>
  <c r="D337" i="1"/>
  <c r="H328" i="1"/>
  <c r="H329" i="1" s="1"/>
  <c r="H337" i="1"/>
  <c r="H324" i="1"/>
  <c r="R328" i="1"/>
  <c r="R329" i="1" s="1"/>
  <c r="R324" i="1"/>
  <c r="R337" i="1"/>
  <c r="S345" i="1"/>
  <c r="S338" i="1"/>
  <c r="G328" i="1"/>
  <c r="G329" i="1" s="1"/>
  <c r="G324" i="1"/>
  <c r="G337" i="1"/>
  <c r="T337" i="1"/>
  <c r="T324" i="1"/>
  <c r="T328" i="1"/>
  <c r="T329" i="1" s="1"/>
  <c r="V124" i="1"/>
  <c r="V126" i="1"/>
  <c r="J124" i="1"/>
  <c r="J126" i="1"/>
  <c r="D124" i="1"/>
  <c r="P126" i="1"/>
  <c r="P124" i="1"/>
  <c r="V28" i="1"/>
  <c r="V24" i="1"/>
  <c r="V32" i="1"/>
  <c r="V42" i="1"/>
  <c r="V38" i="1"/>
  <c r="V46" i="1"/>
  <c r="V56" i="1"/>
  <c r="V52" i="1"/>
  <c r="V60" i="1"/>
  <c r="V70" i="1"/>
  <c r="V66" i="1"/>
  <c r="V74" i="1"/>
  <c r="F343" i="1" l="1"/>
  <c r="D342" i="1"/>
  <c r="D343" i="1" s="1"/>
  <c r="M343" i="1"/>
  <c r="R343" i="1"/>
  <c r="T343" i="1"/>
  <c r="G343" i="1"/>
  <c r="H343" i="1"/>
  <c r="P342" i="1"/>
  <c r="P343" i="1" s="1"/>
  <c r="N343" i="1"/>
  <c r="J345" i="1"/>
  <c r="J342" i="1"/>
  <c r="J343" i="1" s="1"/>
  <c r="J338" i="1"/>
  <c r="J339" i="1" s="1"/>
  <c r="Y346" i="1"/>
  <c r="G345" i="1"/>
  <c r="G346" i="1" s="1"/>
  <c r="G338" i="1"/>
  <c r="H345" i="1"/>
  <c r="H338" i="1"/>
  <c r="T345" i="1"/>
  <c r="T338" i="1"/>
  <c r="F345" i="1"/>
  <c r="F338" i="1"/>
  <c r="N345" i="1"/>
  <c r="N338" i="1"/>
  <c r="R338" i="1"/>
  <c r="R345" i="1"/>
  <c r="R346" i="1" s="1"/>
  <c r="M338" i="1"/>
  <c r="M345" i="1"/>
  <c r="D345" i="1"/>
  <c r="D338" i="1"/>
  <c r="D339" i="1" s="1"/>
  <c r="P345" i="1"/>
  <c r="P338" i="1"/>
  <c r="P339" i="1" s="1"/>
  <c r="P125" i="1"/>
  <c r="J137" i="1"/>
  <c r="J135" i="1"/>
  <c r="J136" i="1"/>
  <c r="V125" i="1"/>
  <c r="J125" i="1"/>
  <c r="P136" i="1"/>
  <c r="P135" i="1"/>
  <c r="P137" i="1"/>
  <c r="D136" i="1"/>
  <c r="V137" i="1"/>
  <c r="V136" i="1"/>
  <c r="V135" i="1"/>
  <c r="J147" i="1"/>
  <c r="D29" i="29" s="1"/>
  <c r="D30" i="29" s="1"/>
  <c r="D32" i="29" s="1"/>
  <c r="V147" i="1"/>
  <c r="F29" i="29" s="1"/>
  <c r="F30" i="29" s="1"/>
  <c r="F32" i="29" s="1"/>
  <c r="F48" i="29" s="1"/>
  <c r="D147" i="1"/>
  <c r="P147" i="1"/>
  <c r="E29" i="29" s="1"/>
  <c r="E30" i="29" s="1"/>
  <c r="E32" i="29" s="1"/>
  <c r="E48" i="29" l="1"/>
  <c r="E49" i="29" s="1"/>
  <c r="D48" i="29"/>
  <c r="D49" i="29" s="1"/>
  <c r="D161" i="1"/>
  <c r="C29" i="29"/>
  <c r="C30" i="29" s="1"/>
  <c r="C32" i="29" s="1"/>
  <c r="F49" i="29"/>
  <c r="F54" i="29"/>
  <c r="F56" i="29" s="1"/>
  <c r="F346" i="1"/>
  <c r="P346" i="1"/>
  <c r="N346" i="1"/>
  <c r="D346" i="1"/>
  <c r="J346" i="1"/>
  <c r="L346" i="1"/>
  <c r="M346" i="1"/>
  <c r="X346" i="1"/>
  <c r="H346" i="1"/>
  <c r="T346" i="1"/>
  <c r="S346" i="1"/>
  <c r="V346" i="1"/>
  <c r="J161" i="1"/>
  <c r="P161" i="1"/>
  <c r="V161" i="1"/>
  <c r="O335" i="1"/>
  <c r="O332" i="1"/>
  <c r="I335" i="1"/>
  <c r="I332" i="1"/>
  <c r="U332" i="1"/>
  <c r="U335" i="1"/>
  <c r="D163" i="1"/>
  <c r="F57" i="29" l="1"/>
  <c r="C48" i="29"/>
  <c r="C49" i="29" s="1"/>
  <c r="P97" i="1"/>
  <c r="V97" i="1"/>
  <c r="J97" i="1"/>
  <c r="J163" i="1"/>
  <c r="P163" i="1"/>
  <c r="V163" i="1"/>
  <c r="G18" i="29" l="1"/>
  <c r="G34" i="29" s="1"/>
  <c r="AA4" i="1"/>
  <c r="Z4" i="1"/>
  <c r="Y4" i="1"/>
  <c r="X4" i="1"/>
  <c r="AB97" i="1" l="1"/>
  <c r="AB87" i="1"/>
  <c r="AB110" i="1"/>
  <c r="AB107" i="1"/>
  <c r="AJ4" i="1"/>
  <c r="R22" i="2"/>
  <c r="S22" i="2"/>
  <c r="T22" i="2"/>
  <c r="R23" i="2"/>
  <c r="S23" i="2"/>
  <c r="T23" i="2"/>
  <c r="R24" i="2"/>
  <c r="S24" i="2"/>
  <c r="T24" i="2"/>
  <c r="R21" i="2"/>
  <c r="S21" i="2"/>
  <c r="T21" i="2"/>
  <c r="U4" i="1"/>
  <c r="T4" i="1"/>
  <c r="S4" i="1"/>
  <c r="R4" i="1"/>
  <c r="AI4" i="1"/>
  <c r="M4" i="1"/>
  <c r="N4" i="1"/>
  <c r="O4" i="1"/>
  <c r="S6" i="2"/>
  <c r="T6" i="2" s="1"/>
  <c r="AH4" i="1"/>
  <c r="J4" i="1"/>
  <c r="D4" i="1"/>
  <c r="F4" i="1"/>
  <c r="G4" i="1"/>
  <c r="H4" i="1"/>
  <c r="I4" i="1"/>
  <c r="V4" i="1"/>
  <c r="AB4" i="1"/>
  <c r="C32" i="2"/>
  <c r="C33" i="2" l="1"/>
  <c r="O323" i="1"/>
  <c r="U323" i="1"/>
  <c r="L4" i="1"/>
  <c r="P4" i="1"/>
  <c r="H9" i="2"/>
  <c r="I323" i="1" l="1"/>
  <c r="I328" i="1" s="1"/>
  <c r="I329" i="1" s="1"/>
  <c r="G342" i="1"/>
  <c r="G339" i="1"/>
  <c r="G340" i="1"/>
  <c r="H342" i="1"/>
  <c r="F342" i="1"/>
  <c r="H339" i="1"/>
  <c r="F339" i="1"/>
  <c r="H340" i="1"/>
  <c r="F340" i="1"/>
  <c r="Y341" i="1"/>
  <c r="V340" i="1"/>
  <c r="V341" i="1" s="1"/>
  <c r="L341" i="1"/>
  <c r="S341" i="1"/>
  <c r="X341" i="1"/>
  <c r="M341" i="1"/>
  <c r="R341" i="1"/>
  <c r="H341" i="1"/>
  <c r="P340" i="1"/>
  <c r="P341" i="1" s="1"/>
  <c r="J340" i="1"/>
  <c r="J341" i="1" s="1"/>
  <c r="N341" i="1"/>
  <c r="D340" i="1"/>
  <c r="D341" i="1" s="1"/>
  <c r="G341" i="1"/>
  <c r="T341" i="1"/>
  <c r="F341" i="1"/>
  <c r="U328" i="1"/>
  <c r="U329" i="1" s="1"/>
  <c r="U337" i="1"/>
  <c r="U324" i="1"/>
  <c r="O337" i="1"/>
  <c r="O328" i="1"/>
  <c r="O329" i="1" s="1"/>
  <c r="O324" i="1"/>
  <c r="F9" i="2"/>
  <c r="I324" i="1" l="1"/>
  <c r="I337" i="1"/>
  <c r="L339" i="1" s="1"/>
  <c r="S342" i="1"/>
  <c r="O341" i="1"/>
  <c r="S339" i="1"/>
  <c r="O343" i="1"/>
  <c r="T342" i="1"/>
  <c r="S340" i="1"/>
  <c r="O339" i="1"/>
  <c r="R339" i="1"/>
  <c r="O340" i="1"/>
  <c r="T339" i="1"/>
  <c r="T340" i="1"/>
  <c r="R340" i="1"/>
  <c r="O342" i="1"/>
  <c r="R342" i="1"/>
  <c r="Y342" i="1"/>
  <c r="U343" i="1"/>
  <c r="Y339" i="1"/>
  <c r="Y340" i="1"/>
  <c r="U341" i="1"/>
  <c r="U342" i="1"/>
  <c r="X342" i="1"/>
  <c r="U339" i="1"/>
  <c r="U340" i="1"/>
  <c r="X339" i="1"/>
  <c r="X340" i="1"/>
  <c r="O345" i="1"/>
  <c r="O338" i="1"/>
  <c r="U345" i="1"/>
  <c r="U338" i="1"/>
  <c r="I338" i="1" l="1"/>
  <c r="I341" i="1"/>
  <c r="N342" i="1"/>
  <c r="I339" i="1"/>
  <c r="I345" i="1"/>
  <c r="I346" i="1" s="1"/>
  <c r="N340" i="1"/>
  <c r="I343" i="1"/>
  <c r="M342" i="1"/>
  <c r="M339" i="1"/>
  <c r="I340" i="1"/>
  <c r="L342" i="1"/>
  <c r="L340" i="1"/>
  <c r="M340" i="1"/>
  <c r="N339" i="1"/>
  <c r="I342" i="1"/>
  <c r="U346" i="1"/>
  <c r="G20" i="2"/>
  <c r="I20" i="2"/>
  <c r="H20" i="2"/>
  <c r="F20" i="2"/>
  <c r="H21" i="2"/>
  <c r="F21" i="2"/>
  <c r="O346" i="1" l="1"/>
  <c r="F22" i="2" l="1"/>
  <c r="F14" i="2"/>
  <c r="H22" i="2" l="1"/>
  <c r="I21" i="2"/>
  <c r="I22" i="2"/>
  <c r="I14" i="2"/>
  <c r="G22" i="2"/>
  <c r="G14" i="2"/>
  <c r="H14" i="2"/>
  <c r="G9" i="2"/>
  <c r="H10" i="2"/>
  <c r="G10" i="2"/>
  <c r="G21" i="2"/>
  <c r="I10" i="2" l="1"/>
  <c r="I9" i="2"/>
  <c r="AB119" i="1" l="1"/>
  <c r="AB32" i="1" l="1"/>
  <c r="AB33" i="1"/>
  <c r="H8" i="29" l="1"/>
  <c r="I8" i="29" s="1"/>
  <c r="J8" i="29" s="1"/>
  <c r="K8" i="29" s="1"/>
  <c r="L8" i="29" s="1"/>
  <c r="M8" i="29" s="1"/>
  <c r="N8" i="29" s="1"/>
  <c r="O8" i="29" s="1"/>
  <c r="P8" i="29" s="1"/>
  <c r="Q8" i="29" s="1"/>
  <c r="R8" i="29" s="1"/>
  <c r="S8" i="29" s="1"/>
  <c r="T8" i="29" s="1"/>
  <c r="U8" i="29" s="1"/>
  <c r="V8" i="29" s="1"/>
  <c r="W8" i="29" s="1"/>
  <c r="X8" i="29" s="1"/>
  <c r="Y8" i="29" s="1"/>
  <c r="Z8" i="29" s="1"/>
  <c r="AA8" i="29" s="1"/>
  <c r="AB8" i="29" s="1"/>
  <c r="AC8" i="29" s="1"/>
  <c r="AD8" i="29" s="1"/>
  <c r="AE8" i="29" s="1"/>
  <c r="AF8" i="29" s="1"/>
  <c r="AG8" i="29" s="1"/>
  <c r="AH8" i="29" s="1"/>
  <c r="AI8" i="29" s="1"/>
  <c r="AJ8" i="29" s="1"/>
  <c r="AH27" i="1"/>
  <c r="AH31" i="1" s="1"/>
  <c r="G9" i="29" l="1"/>
  <c r="AI27" i="1"/>
  <c r="AI31" i="1" s="1"/>
  <c r="AH32" i="1" l="1"/>
  <c r="AH33" i="1"/>
  <c r="AJ27" i="1"/>
  <c r="AK27" i="1" l="1"/>
  <c r="AK31" i="1" s="1"/>
  <c r="AJ31" i="1"/>
  <c r="AL27" i="1"/>
  <c r="AL31" i="1" s="1"/>
  <c r="AI32" i="1"/>
  <c r="AI33" i="1"/>
  <c r="AA334" i="1" l="1"/>
  <c r="AA328" i="1"/>
  <c r="AA323" i="1" s="1"/>
  <c r="AA331" i="1"/>
  <c r="AI112" i="1"/>
  <c r="Z328" i="1"/>
  <c r="Z334" i="1"/>
  <c r="Z331" i="1"/>
  <c r="AB331" i="1" l="1"/>
  <c r="AB334" i="1"/>
  <c r="AA337" i="1"/>
  <c r="AA324" i="1"/>
  <c r="AJ112" i="1"/>
  <c r="Z323" i="1"/>
  <c r="AB328" i="1"/>
  <c r="AF340" i="1" l="1"/>
  <c r="AF342" i="1"/>
  <c r="AF339" i="1"/>
  <c r="AA338" i="1"/>
  <c r="AA341" i="1"/>
  <c r="AA343" i="1"/>
  <c r="AA345" i="1"/>
  <c r="Z337" i="1"/>
  <c r="AB323" i="1"/>
  <c r="Z324" i="1"/>
  <c r="AD340" i="1" l="1"/>
  <c r="AD342" i="1"/>
  <c r="AD339" i="1"/>
  <c r="AA346" i="1"/>
  <c r="AG346" i="1"/>
  <c r="AE342" i="1"/>
  <c r="AE339" i="1"/>
  <c r="AE340" i="1"/>
  <c r="Z343" i="1"/>
  <c r="Z341" i="1"/>
  <c r="AA340" i="1"/>
  <c r="AA342" i="1"/>
  <c r="AA339" i="1"/>
  <c r="Z340" i="1"/>
  <c r="Z342" i="1"/>
  <c r="Z339" i="1"/>
  <c r="AB337" i="1"/>
  <c r="Z338" i="1"/>
  <c r="Z345" i="1"/>
  <c r="Z346" i="1" l="1"/>
  <c r="AF346" i="1"/>
  <c r="AB340" i="1"/>
  <c r="AB341" i="1" s="1"/>
  <c r="AB342" i="1"/>
  <c r="AB343" i="1" s="1"/>
  <c r="AB345" i="1"/>
  <c r="AB346" i="1" l="1"/>
  <c r="AB131" i="1"/>
  <c r="G11" i="29" l="1"/>
  <c r="H11" i="29" s="1"/>
  <c r="I11" i="29" s="1"/>
  <c r="G14" i="29"/>
  <c r="AB88" i="1"/>
  <c r="AB111" i="1"/>
  <c r="AB324" i="1"/>
  <c r="AB335" i="1"/>
  <c r="AB82" i="1"/>
  <c r="AB332" i="1"/>
  <c r="AB83" i="1"/>
  <c r="AB132" i="1"/>
  <c r="AH132" i="1" s="1"/>
  <c r="AB105" i="1"/>
  <c r="J4" i="2"/>
  <c r="AB329" i="1"/>
  <c r="AB81" i="1"/>
  <c r="AB120" i="1"/>
  <c r="AB121" i="1" s="1"/>
  <c r="AB338" i="1"/>
  <c r="AB339" i="1" s="1"/>
  <c r="AK105" i="1" l="1"/>
  <c r="AJ105" i="1"/>
  <c r="AI105" i="1"/>
  <c r="AH105" i="1"/>
  <c r="AL105" i="1"/>
  <c r="G12" i="29"/>
  <c r="G36" i="29"/>
  <c r="G19" i="29"/>
  <c r="G15" i="29"/>
  <c r="G16" i="29" s="1"/>
  <c r="AH89" i="1"/>
  <c r="AB89" i="1"/>
  <c r="AB93" i="1"/>
  <c r="AB96" i="1"/>
  <c r="AB92" i="1"/>
  <c r="AB94" i="1"/>
  <c r="AB95" i="1" s="1"/>
  <c r="H36" i="29"/>
  <c r="J11" i="29"/>
  <c r="I36" i="29"/>
  <c r="J5" i="2"/>
  <c r="J20" i="2"/>
  <c r="AB106" i="1"/>
  <c r="AH106" i="1"/>
  <c r="AH112" i="1"/>
  <c r="AB112" i="1"/>
  <c r="AB123" i="1"/>
  <c r="AL106" i="1" l="1"/>
  <c r="AJ106" i="1"/>
  <c r="AI106" i="1"/>
  <c r="AK106" i="1"/>
  <c r="AB144" i="1"/>
  <c r="AB128" i="1"/>
  <c r="H21" i="29"/>
  <c r="J36" i="29"/>
  <c r="K11" i="29"/>
  <c r="K18" i="29" s="1"/>
  <c r="AB134" i="1"/>
  <c r="AB124" i="1"/>
  <c r="AB125" i="1" s="1"/>
  <c r="AB126" i="1"/>
  <c r="H22" i="29" l="1"/>
  <c r="I21" i="29"/>
  <c r="J45" i="29"/>
  <c r="J46" i="29" s="1"/>
  <c r="H27" i="29"/>
  <c r="H30" i="29" s="1"/>
  <c r="H32" i="29" s="1"/>
  <c r="K36" i="29"/>
  <c r="L11" i="29"/>
  <c r="L18" i="29" s="1"/>
  <c r="K34" i="29"/>
  <c r="G24" i="29"/>
  <c r="G22" i="29"/>
  <c r="G23" i="29" s="1"/>
  <c r="G27" i="29"/>
  <c r="J8" i="2"/>
  <c r="AB136" i="1"/>
  <c r="AB137" i="1"/>
  <c r="AB135" i="1"/>
  <c r="AB149" i="1"/>
  <c r="AB147" i="1"/>
  <c r="G29" i="29" s="1"/>
  <c r="O22" i="2" l="1"/>
  <c r="G30" i="29"/>
  <c r="G32" i="29" s="1"/>
  <c r="G48" i="29" s="1"/>
  <c r="G49" i="29" s="1"/>
  <c r="J21" i="29"/>
  <c r="I22" i="29"/>
  <c r="I23" i="29" s="1"/>
  <c r="K45" i="29"/>
  <c r="K46" i="29" s="1"/>
  <c r="M11" i="29"/>
  <c r="M18" i="29" s="1"/>
  <c r="L36" i="29"/>
  <c r="L34" i="29"/>
  <c r="J9" i="2"/>
  <c r="J10" i="2"/>
  <c r="J21" i="2"/>
  <c r="AB160" i="1"/>
  <c r="AB161" i="1" s="1"/>
  <c r="AB150" i="1"/>
  <c r="AB162" i="1"/>
  <c r="AB163" i="1" s="1"/>
  <c r="AB151" i="1"/>
  <c r="O14" i="2" l="1"/>
  <c r="G54" i="29"/>
  <c r="G56" i="29" s="1"/>
  <c r="G57" i="29" s="1"/>
  <c r="J22" i="29"/>
  <c r="J23" i="29" s="1"/>
  <c r="K21" i="29"/>
  <c r="L45" i="29"/>
  <c r="L46" i="29" s="1"/>
  <c r="M36" i="29"/>
  <c r="M34" i="29"/>
  <c r="N11" i="29"/>
  <c r="N18" i="29" s="1"/>
  <c r="J14" i="2"/>
  <c r="J22" i="2"/>
  <c r="N22" i="2" l="1"/>
  <c r="K22" i="29"/>
  <c r="K23" i="29" s="1"/>
  <c r="L21" i="29"/>
  <c r="M45" i="29"/>
  <c r="M46" i="29" s="1"/>
  <c r="O11" i="29"/>
  <c r="O18" i="29" s="1"/>
  <c r="N36" i="29"/>
  <c r="N34" i="29"/>
  <c r="L22" i="29" l="1"/>
  <c r="L23" i="29" s="1"/>
  <c r="M21" i="29"/>
  <c r="N45" i="29"/>
  <c r="N46" i="29" s="1"/>
  <c r="O34" i="29"/>
  <c r="O36" i="29"/>
  <c r="P11" i="29"/>
  <c r="P18" i="29" s="1"/>
  <c r="K22" i="2"/>
  <c r="K14" i="2"/>
  <c r="N14" i="2" l="1"/>
  <c r="M22" i="29"/>
  <c r="M23" i="29" s="1"/>
  <c r="N21" i="29"/>
  <c r="O45" i="29"/>
  <c r="O46" i="29" s="1"/>
  <c r="P34" i="29"/>
  <c r="Q11" i="29"/>
  <c r="Q18" i="29" s="1"/>
  <c r="P36" i="29"/>
  <c r="L14" i="2"/>
  <c r="L22" i="2"/>
  <c r="S5" i="2"/>
  <c r="T5" i="2" s="1"/>
  <c r="Q4" i="2"/>
  <c r="S4" i="2" s="1"/>
  <c r="T4" i="2" s="1"/>
  <c r="N22" i="29" l="1"/>
  <c r="N23" i="29" s="1"/>
  <c r="O21" i="29"/>
  <c r="P45" i="29"/>
  <c r="P46" i="29" s="1"/>
  <c r="Q36" i="29"/>
  <c r="R11" i="29"/>
  <c r="R18" i="29" s="1"/>
  <c r="Q34" i="29"/>
  <c r="M22" i="2"/>
  <c r="M14" i="2"/>
  <c r="O22" i="29" l="1"/>
  <c r="O23" i="29" s="1"/>
  <c r="P21" i="29"/>
  <c r="Q45" i="29"/>
  <c r="Q46" i="29" s="1"/>
  <c r="S11" i="29"/>
  <c r="S18" i="29" s="1"/>
  <c r="R36" i="29"/>
  <c r="R34" i="29"/>
  <c r="P22" i="29" l="1"/>
  <c r="P23" i="29" s="1"/>
  <c r="Q21" i="29"/>
  <c r="R45" i="29"/>
  <c r="R46" i="29" s="1"/>
  <c r="S34" i="29"/>
  <c r="S36" i="29"/>
  <c r="T11" i="29"/>
  <c r="T18" i="29" s="1"/>
  <c r="Q22" i="29" l="1"/>
  <c r="Q23" i="29" s="1"/>
  <c r="R21" i="29"/>
  <c r="S45" i="29"/>
  <c r="S46" i="29" s="1"/>
  <c r="T34" i="29"/>
  <c r="U11" i="29"/>
  <c r="U18" i="29" s="1"/>
  <c r="T36" i="29"/>
  <c r="R22" i="29" l="1"/>
  <c r="R23" i="29" s="1"/>
  <c r="S21" i="29"/>
  <c r="T45" i="29"/>
  <c r="T46" i="29" s="1"/>
  <c r="U34" i="29"/>
  <c r="U36" i="29"/>
  <c r="V11" i="29"/>
  <c r="V18" i="29" s="1"/>
  <c r="S22" i="29" l="1"/>
  <c r="S23" i="29" s="1"/>
  <c r="T21" i="29"/>
  <c r="U45" i="29"/>
  <c r="U46" i="29" s="1"/>
  <c r="V36" i="29"/>
  <c r="V34" i="29"/>
  <c r="W11" i="29"/>
  <c r="W18" i="29" s="1"/>
  <c r="T22" i="29" l="1"/>
  <c r="T23" i="29" s="1"/>
  <c r="U21" i="29"/>
  <c r="V45" i="29"/>
  <c r="V46" i="29" s="1"/>
  <c r="X11" i="29"/>
  <c r="X18" i="29" s="1"/>
  <c r="W34" i="29"/>
  <c r="W36" i="29"/>
  <c r="U22" i="29" l="1"/>
  <c r="U23" i="29" s="1"/>
  <c r="V21" i="29"/>
  <c r="W45" i="29"/>
  <c r="W46" i="29" s="1"/>
  <c r="X34" i="29"/>
  <c r="Y11" i="29"/>
  <c r="Y18" i="29" s="1"/>
  <c r="X36" i="29"/>
  <c r="V22" i="29" l="1"/>
  <c r="V23" i="29" s="1"/>
  <c r="W21" i="29"/>
  <c r="X45" i="29"/>
  <c r="X46" i="29" s="1"/>
  <c r="Z11" i="29"/>
  <c r="Z18" i="29" s="1"/>
  <c r="Y36" i="29"/>
  <c r="Y34" i="29"/>
  <c r="W22" i="29" l="1"/>
  <c r="W23" i="29" s="1"/>
  <c r="X21" i="29"/>
  <c r="Y45" i="29"/>
  <c r="Y46" i="29" s="1"/>
  <c r="AA11" i="29"/>
  <c r="AA18" i="29" s="1"/>
  <c r="Z34" i="29"/>
  <c r="Z36" i="29"/>
  <c r="X22" i="29" l="1"/>
  <c r="X23" i="29" s="1"/>
  <c r="Y21" i="29"/>
  <c r="Z45" i="29"/>
  <c r="Z46" i="29" s="1"/>
  <c r="AB11" i="29"/>
  <c r="AB18" i="29" s="1"/>
  <c r="AA36" i="29"/>
  <c r="AA34" i="29"/>
  <c r="Y22" i="29" l="1"/>
  <c r="Y23" i="29" s="1"/>
  <c r="Z21" i="29"/>
  <c r="AA45" i="29"/>
  <c r="AA46" i="29" s="1"/>
  <c r="AB34" i="29"/>
  <c r="AB36" i="29"/>
  <c r="AC11" i="29"/>
  <c r="AC18" i="29" s="1"/>
  <c r="Z22" i="29" l="1"/>
  <c r="Z23" i="29" s="1"/>
  <c r="AA21" i="29"/>
  <c r="AB45" i="29"/>
  <c r="AB46" i="29" s="1"/>
  <c r="AC36" i="29"/>
  <c r="AC34" i="29"/>
  <c r="AD11" i="29"/>
  <c r="AD18" i="29" s="1"/>
  <c r="AA22" i="29" l="1"/>
  <c r="AA23" i="29" s="1"/>
  <c r="AB21" i="29"/>
  <c r="AC45" i="29"/>
  <c r="AC46" i="29" s="1"/>
  <c r="AD36" i="29"/>
  <c r="AE11" i="29"/>
  <c r="AE18" i="29" s="1"/>
  <c r="AD34" i="29"/>
  <c r="AB22" i="29" l="1"/>
  <c r="AB23" i="29" s="1"/>
  <c r="AC21" i="29"/>
  <c r="AD45" i="29"/>
  <c r="AD46" i="29" s="1"/>
  <c r="AE34" i="29"/>
  <c r="AF11" i="29"/>
  <c r="AF18" i="29" s="1"/>
  <c r="AE36" i="29"/>
  <c r="AC22" i="29" l="1"/>
  <c r="AC23" i="29" s="1"/>
  <c r="AD21" i="29"/>
  <c r="AE45" i="29"/>
  <c r="AE46" i="29" s="1"/>
  <c r="AF34" i="29"/>
  <c r="AG11" i="29"/>
  <c r="AG18" i="29" s="1"/>
  <c r="AF36" i="29"/>
  <c r="AD22" i="29" l="1"/>
  <c r="AD23" i="29" s="1"/>
  <c r="AE21" i="29"/>
  <c r="AF45" i="29"/>
  <c r="AF46" i="29" s="1"/>
  <c r="AG36" i="29"/>
  <c r="AG34" i="29"/>
  <c r="AH11" i="29"/>
  <c r="AH18" i="29" s="1"/>
  <c r="AE22" i="29" l="1"/>
  <c r="AE23" i="29" s="1"/>
  <c r="AF21" i="29"/>
  <c r="AG45" i="29"/>
  <c r="AG46" i="29" s="1"/>
  <c r="AH36" i="29"/>
  <c r="AI11" i="29"/>
  <c r="AI18" i="29" s="1"/>
  <c r="AH34" i="29"/>
  <c r="AF22" i="29" l="1"/>
  <c r="AF23" i="29" s="1"/>
  <c r="AG21" i="29"/>
  <c r="AH45" i="29"/>
  <c r="AH46" i="29" s="1"/>
  <c r="AI34" i="29"/>
  <c r="AJ11" i="29"/>
  <c r="AJ18" i="29" s="1"/>
  <c r="AI36" i="29"/>
  <c r="AG22" i="29" l="1"/>
  <c r="AG23" i="29" s="1"/>
  <c r="AH21" i="29"/>
  <c r="AJ45" i="29"/>
  <c r="AJ46" i="29" s="1"/>
  <c r="AI45" i="29"/>
  <c r="AI46" i="29" s="1"/>
  <c r="AJ36" i="29"/>
  <c r="AJ34" i="29"/>
  <c r="J27" i="29"/>
  <c r="J30" i="29" s="1"/>
  <c r="H23" i="29"/>
  <c r="AH22" i="29" l="1"/>
  <c r="AH23" i="29" s="1"/>
  <c r="AI21" i="29"/>
  <c r="I27" i="29"/>
  <c r="I30" i="29" s="1"/>
  <c r="I32" i="29" s="1"/>
  <c r="J32" i="29"/>
  <c r="AI22" i="29" l="1"/>
  <c r="AI23" i="29" s="1"/>
  <c r="AJ21" i="29"/>
  <c r="AJ22" i="29" s="1"/>
  <c r="K27" i="29"/>
  <c r="K30" i="29" s="1"/>
  <c r="K32" i="29" s="1"/>
  <c r="K48" i="29" s="1"/>
  <c r="AJ23" i="29" l="1"/>
  <c r="K54" i="29"/>
  <c r="K49" i="29"/>
  <c r="L27" i="29"/>
  <c r="L30" i="29" s="1"/>
  <c r="L32" i="29" s="1"/>
  <c r="L48" i="29" s="1"/>
  <c r="L54" i="29" l="1"/>
  <c r="L49" i="29"/>
  <c r="M27" i="29"/>
  <c r="M30" i="29" s="1"/>
  <c r="M32" i="29" s="1"/>
  <c r="M48" i="29" s="1"/>
  <c r="M54" i="29" l="1"/>
  <c r="M49" i="29"/>
  <c r="N27" i="29"/>
  <c r="N30" i="29" s="1"/>
  <c r="N32" i="29" s="1"/>
  <c r="N48" i="29" s="1"/>
  <c r="N54" i="29" l="1"/>
  <c r="N49" i="29"/>
  <c r="O27" i="29"/>
  <c r="O30" i="29" s="1"/>
  <c r="O32" i="29" s="1"/>
  <c r="O48" i="29" s="1"/>
  <c r="O49" i="29" l="1"/>
  <c r="O54" i="29"/>
  <c r="P27" i="29"/>
  <c r="P30" i="29" s="1"/>
  <c r="P32" i="29" s="1"/>
  <c r="P48" i="29" s="1"/>
  <c r="Q27" i="29" l="1"/>
  <c r="Q30" i="29" s="1"/>
  <c r="Q32" i="29" s="1"/>
  <c r="Q48" i="29" s="1"/>
  <c r="P54" i="29"/>
  <c r="P49" i="29"/>
  <c r="Q49" i="29" l="1"/>
  <c r="Q54" i="29"/>
  <c r="R27" i="29"/>
  <c r="R30" i="29" s="1"/>
  <c r="R32" i="29" s="1"/>
  <c r="R48" i="29" s="1"/>
  <c r="R54" i="29" l="1"/>
  <c r="R49" i="29"/>
  <c r="S27" i="29"/>
  <c r="S30" i="29" s="1"/>
  <c r="S32" i="29" s="1"/>
  <c r="S48" i="29" s="1"/>
  <c r="S54" i="29" l="1"/>
  <c r="S49" i="29"/>
  <c r="T27" i="29"/>
  <c r="T30" i="29" s="1"/>
  <c r="T32" i="29" s="1"/>
  <c r="T48" i="29" s="1"/>
  <c r="T49" i="29" l="1"/>
  <c r="T54" i="29"/>
  <c r="U27" i="29"/>
  <c r="U30" i="29" s="1"/>
  <c r="U32" i="29" s="1"/>
  <c r="U48" i="29" s="1"/>
  <c r="U49" i="29" l="1"/>
  <c r="U54" i="29"/>
  <c r="V27" i="29"/>
  <c r="V30" i="29" s="1"/>
  <c r="V32" i="29" s="1"/>
  <c r="V48" i="29" s="1"/>
  <c r="V49" i="29" l="1"/>
  <c r="V54" i="29"/>
  <c r="W27" i="29"/>
  <c r="W30" i="29" s="1"/>
  <c r="W32" i="29" s="1"/>
  <c r="W48" i="29" s="1"/>
  <c r="W49" i="29" l="1"/>
  <c r="W54" i="29"/>
  <c r="X27" i="29"/>
  <c r="X30" i="29" s="1"/>
  <c r="X32" i="29" s="1"/>
  <c r="X48" i="29" s="1"/>
  <c r="X54" i="29" l="1"/>
  <c r="X49" i="29"/>
  <c r="Y27" i="29"/>
  <c r="Y30" i="29" s="1"/>
  <c r="Y32" i="29" s="1"/>
  <c r="Y48" i="29" s="1"/>
  <c r="Y54" i="29" l="1"/>
  <c r="Y49" i="29"/>
  <c r="Z27" i="29"/>
  <c r="Z30" i="29" s="1"/>
  <c r="Z32" i="29" s="1"/>
  <c r="Z48" i="29" s="1"/>
  <c r="Z49" i="29" l="1"/>
  <c r="Z54" i="29"/>
  <c r="AA27" i="29"/>
  <c r="AA30" i="29" s="1"/>
  <c r="AA32" i="29" s="1"/>
  <c r="AA48" i="29" s="1"/>
  <c r="AA54" i="29" l="1"/>
  <c r="AA49" i="29"/>
  <c r="AB27" i="29"/>
  <c r="AB30" i="29" s="1"/>
  <c r="AB32" i="29" s="1"/>
  <c r="AB48" i="29" s="1"/>
  <c r="AB49" i="29" l="1"/>
  <c r="AB54" i="29"/>
  <c r="AC27" i="29"/>
  <c r="AC30" i="29" s="1"/>
  <c r="AC32" i="29" s="1"/>
  <c r="AC48" i="29" s="1"/>
  <c r="AC49" i="29" l="1"/>
  <c r="AC54" i="29"/>
  <c r="AD27" i="29"/>
  <c r="AD30" i="29" s="1"/>
  <c r="AD32" i="29" s="1"/>
  <c r="AD48" i="29" s="1"/>
  <c r="AD54" i="29" l="1"/>
  <c r="AD49" i="29"/>
  <c r="AE27" i="29"/>
  <c r="AE30" i="29" s="1"/>
  <c r="AE32" i="29" s="1"/>
  <c r="AE48" i="29" s="1"/>
  <c r="AE54" i="29" l="1"/>
  <c r="AE49" i="29"/>
  <c r="AF27" i="29"/>
  <c r="AF30" i="29" s="1"/>
  <c r="AF32" i="29" s="1"/>
  <c r="AF48" i="29" s="1"/>
  <c r="AF49" i="29" l="1"/>
  <c r="AF54" i="29"/>
  <c r="AG27" i="29"/>
  <c r="AG30" i="29" s="1"/>
  <c r="AG32" i="29" s="1"/>
  <c r="AG48" i="29" s="1"/>
  <c r="AG54" i="29" l="1"/>
  <c r="AG49" i="29"/>
  <c r="AH27" i="29"/>
  <c r="AH30" i="29" s="1"/>
  <c r="AH32" i="29" s="1"/>
  <c r="AH48" i="29" s="1"/>
  <c r="AH54" i="29" l="1"/>
  <c r="AH49" i="29"/>
  <c r="AJ27" i="29"/>
  <c r="AJ30" i="29" s="1"/>
  <c r="AJ32" i="29" s="1"/>
  <c r="AJ48" i="29" s="1"/>
  <c r="AI27" i="29"/>
  <c r="AI30" i="29" s="1"/>
  <c r="AI32" i="29" s="1"/>
  <c r="AI48" i="29" s="1"/>
  <c r="AL52" i="29" l="1"/>
  <c r="AL58" i="29" s="1"/>
  <c r="AO25" i="29" s="1"/>
  <c r="AJ54" i="29"/>
  <c r="AJ49" i="29"/>
  <c r="AI49" i="29"/>
  <c r="AI54" i="29"/>
  <c r="AJ33" i="1" l="1"/>
  <c r="AK32" i="1"/>
  <c r="AJ32" i="1" l="1"/>
  <c r="AL33" i="1"/>
  <c r="AK33" i="1"/>
  <c r="AL32" i="1"/>
  <c r="AL46" i="1"/>
  <c r="AL47" i="1" l="1"/>
  <c r="AH65" i="1"/>
  <c r="AH73" i="1" l="1"/>
  <c r="AH9" i="1"/>
  <c r="AH10" i="1" s="1"/>
  <c r="AH75" i="1"/>
  <c r="AI65" i="1"/>
  <c r="AI73" i="1" l="1"/>
  <c r="AI74" i="1" s="1"/>
  <c r="AI9" i="1"/>
  <c r="AI10" i="1" s="1"/>
  <c r="AH13" i="1"/>
  <c r="AH74" i="1"/>
  <c r="AJ65" i="1"/>
  <c r="AJ73" i="1" l="1"/>
  <c r="AJ13" i="1" s="1"/>
  <c r="AJ9" i="1"/>
  <c r="AJ10" i="1" s="1"/>
  <c r="AH18" i="1"/>
  <c r="AH19" i="1" s="1"/>
  <c r="AH14" i="1"/>
  <c r="AH80" i="1"/>
  <c r="AH15" i="1"/>
  <c r="AI13" i="1"/>
  <c r="AI75" i="1"/>
  <c r="AJ74" i="1"/>
  <c r="AJ75" i="1"/>
  <c r="AK65" i="1"/>
  <c r="AL65" i="1" l="1"/>
  <c r="AK73" i="1"/>
  <c r="AK9" i="1"/>
  <c r="AK10" i="1" s="1"/>
  <c r="AI14" i="1"/>
  <c r="AI80" i="1"/>
  <c r="AI15" i="1"/>
  <c r="AI18" i="1"/>
  <c r="AI19" i="1" s="1"/>
  <c r="AH109" i="1"/>
  <c r="AH110" i="1" s="1"/>
  <c r="AH86" i="1"/>
  <c r="AH87" i="1" s="1"/>
  <c r="AH99" i="1"/>
  <c r="AH114" i="1"/>
  <c r="AH115" i="1" s="1"/>
  <c r="AH328" i="1"/>
  <c r="AH323" i="1" s="1"/>
  <c r="AH331" i="1"/>
  <c r="AH83" i="1"/>
  <c r="AH81" i="1"/>
  <c r="K4" i="2"/>
  <c r="AH334" i="1"/>
  <c r="AH82" i="1"/>
  <c r="AH130" i="1"/>
  <c r="AH104" i="1"/>
  <c r="AH107" i="1" s="1"/>
  <c r="AJ18" i="1"/>
  <c r="AJ14" i="1"/>
  <c r="AJ80" i="1"/>
  <c r="AJ15" i="1"/>
  <c r="AK75" i="1"/>
  <c r="AH91" i="1" l="1"/>
  <c r="AH118" i="1"/>
  <c r="AH119" i="1" s="1"/>
  <c r="AI99" i="1"/>
  <c r="AI114" i="1"/>
  <c r="AI115" i="1" s="1"/>
  <c r="AI109" i="1"/>
  <c r="AI110" i="1" s="1"/>
  <c r="AI86" i="1"/>
  <c r="AI87" i="1" s="1"/>
  <c r="AI328" i="1"/>
  <c r="AI323" i="1" s="1"/>
  <c r="AI104" i="1"/>
  <c r="AI107" i="1" s="1"/>
  <c r="L4" i="2"/>
  <c r="AI81" i="1"/>
  <c r="AI82" i="1"/>
  <c r="AI83" i="1"/>
  <c r="AI334" i="1"/>
  <c r="AI130" i="1"/>
  <c r="AI331" i="1"/>
  <c r="H18" i="29"/>
  <c r="AH131" i="1"/>
  <c r="AH324" i="1"/>
  <c r="AH337" i="1"/>
  <c r="AH93" i="1"/>
  <c r="AH92" i="1"/>
  <c r="AH97" i="1"/>
  <c r="AH96" i="1"/>
  <c r="H14" i="29"/>
  <c r="H15" i="29" s="1"/>
  <c r="H16" i="29" s="1"/>
  <c r="AH94" i="1"/>
  <c r="AH95" i="1" s="1"/>
  <c r="AJ109" i="1"/>
  <c r="AJ110" i="1" s="1"/>
  <c r="AJ86" i="1"/>
  <c r="AJ99" i="1"/>
  <c r="AJ114" i="1"/>
  <c r="AJ115" i="1" s="1"/>
  <c r="AJ104" i="1"/>
  <c r="AJ107" i="1" s="1"/>
  <c r="AJ83" i="1"/>
  <c r="AJ331" i="1"/>
  <c r="AJ81" i="1"/>
  <c r="AJ328" i="1"/>
  <c r="AJ323" i="1" s="1"/>
  <c r="AJ82" i="1"/>
  <c r="M4" i="2"/>
  <c r="AJ130" i="1"/>
  <c r="AJ334" i="1"/>
  <c r="AJ19" i="1"/>
  <c r="AK13" i="1"/>
  <c r="AK74" i="1"/>
  <c r="K20" i="2"/>
  <c r="K5" i="2"/>
  <c r="AL73" i="1"/>
  <c r="AL13" i="1" s="1"/>
  <c r="AL9" i="1"/>
  <c r="AL10" i="1" s="1"/>
  <c r="AL75" i="1"/>
  <c r="AL74" i="1"/>
  <c r="AH123" i="1" l="1"/>
  <c r="AJ87" i="1"/>
  <c r="AJ91" i="1"/>
  <c r="AJ93" i="1" s="1"/>
  <c r="AH120" i="1"/>
  <c r="AH121" i="1" s="1"/>
  <c r="H19" i="29"/>
  <c r="H34" i="29"/>
  <c r="H48" i="29" s="1"/>
  <c r="J18" i="29"/>
  <c r="AJ131" i="1"/>
  <c r="AH342" i="1"/>
  <c r="AH343" i="1" s="1"/>
  <c r="AH340" i="1"/>
  <c r="AH341" i="1" s="1"/>
  <c r="AH338" i="1"/>
  <c r="AH339" i="1" s="1"/>
  <c r="AH345" i="1"/>
  <c r="AH346" i="1" s="1"/>
  <c r="AJ337" i="1"/>
  <c r="AJ324" i="1"/>
  <c r="AH128" i="1"/>
  <c r="AH124" i="1"/>
  <c r="AH125" i="1" s="1"/>
  <c r="AH144" i="1"/>
  <c r="AH134" i="1"/>
  <c r="AH126" i="1"/>
  <c r="AI118" i="1"/>
  <c r="I18" i="29"/>
  <c r="AI131" i="1"/>
  <c r="J14" i="29"/>
  <c r="J15" i="29" s="1"/>
  <c r="AJ94" i="1"/>
  <c r="AJ118" i="1"/>
  <c r="AI324" i="1"/>
  <c r="AI337" i="1"/>
  <c r="AI91" i="1"/>
  <c r="AK14" i="1"/>
  <c r="AK18" i="1"/>
  <c r="AK19" i="1" s="1"/>
  <c r="AK80" i="1"/>
  <c r="AK15" i="1"/>
  <c r="M5" i="2"/>
  <c r="M20" i="2"/>
  <c r="L20" i="2"/>
  <c r="L5" i="2"/>
  <c r="AL18" i="1"/>
  <c r="AL19" i="1" s="1"/>
  <c r="AL80" i="1"/>
  <c r="AL14" i="1"/>
  <c r="AL15" i="1"/>
  <c r="I19" i="29" l="1"/>
  <c r="I34" i="29"/>
  <c r="I48" i="29" s="1"/>
  <c r="AH146" i="1"/>
  <c r="AH149" i="1" s="1"/>
  <c r="AJ342" i="1"/>
  <c r="AJ343" i="1" s="1"/>
  <c r="AJ345" i="1"/>
  <c r="AJ340" i="1"/>
  <c r="AJ341" i="1" s="1"/>
  <c r="AJ338" i="1"/>
  <c r="AJ339" i="1" s="1"/>
  <c r="I14" i="29"/>
  <c r="I15" i="29" s="1"/>
  <c r="I16" i="29" s="1"/>
  <c r="AI93" i="1"/>
  <c r="AI123" i="1"/>
  <c r="AI97" i="1"/>
  <c r="AI92" i="1"/>
  <c r="AI94" i="1"/>
  <c r="AI95" i="1" s="1"/>
  <c r="AI96" i="1"/>
  <c r="AI342" i="1"/>
  <c r="AI343" i="1" s="1"/>
  <c r="AI340" i="1"/>
  <c r="AI341" i="1" s="1"/>
  <c r="AI345" i="1"/>
  <c r="AI346" i="1" s="1"/>
  <c r="AI338" i="1"/>
  <c r="AI339" i="1" s="1"/>
  <c r="AJ119" i="1"/>
  <c r="AJ120" i="1"/>
  <c r="AJ123" i="1"/>
  <c r="J19" i="29"/>
  <c r="J34" i="29"/>
  <c r="J48" i="29" s="1"/>
  <c r="AK109" i="1"/>
  <c r="AK110" i="1" s="1"/>
  <c r="AK86" i="1"/>
  <c r="AK87" i="1" s="1"/>
  <c r="AK99" i="1"/>
  <c r="AK114" i="1"/>
  <c r="AK115" i="1" s="1"/>
  <c r="AK91" i="1"/>
  <c r="N4" i="2"/>
  <c r="AK130" i="1"/>
  <c r="AK334" i="1"/>
  <c r="AK331" i="1"/>
  <c r="AK83" i="1"/>
  <c r="AK328" i="1"/>
  <c r="AK323" i="1" s="1"/>
  <c r="AK104" i="1"/>
  <c r="AK107" i="1" s="1"/>
  <c r="AK81" i="1"/>
  <c r="AK82" i="1"/>
  <c r="H49" i="29"/>
  <c r="H54" i="29"/>
  <c r="AL109" i="1"/>
  <c r="AL86" i="1"/>
  <c r="AL99" i="1"/>
  <c r="AL114" i="1"/>
  <c r="AL91" i="1"/>
  <c r="AL331" i="1"/>
  <c r="AL83" i="1"/>
  <c r="AL81" i="1"/>
  <c r="AL334" i="1"/>
  <c r="AL328" i="1"/>
  <c r="AL323" i="1" s="1"/>
  <c r="O4" i="2"/>
  <c r="O20" i="2" s="1"/>
  <c r="AL130" i="1"/>
  <c r="AL82" i="1"/>
  <c r="AL104" i="1"/>
  <c r="AI120" i="1"/>
  <c r="AI121" i="1" s="1"/>
  <c r="AI119" i="1"/>
  <c r="AH135" i="1"/>
  <c r="AH137" i="1"/>
  <c r="AH136" i="1"/>
  <c r="K8" i="2"/>
  <c r="AJ96" i="1"/>
  <c r="AJ97" i="1"/>
  <c r="AJ92" i="1"/>
  <c r="AK337" i="1" l="1"/>
  <c r="AK324" i="1"/>
  <c r="AI144" i="1"/>
  <c r="AI128" i="1"/>
  <c r="AI134" i="1"/>
  <c r="AI124" i="1"/>
  <c r="AI125" i="1" s="1"/>
  <c r="AI126" i="1"/>
  <c r="AL131" i="1"/>
  <c r="AK131" i="1"/>
  <c r="AL107" i="1"/>
  <c r="O5" i="2"/>
  <c r="N20" i="2"/>
  <c r="N5" i="2"/>
  <c r="AH162" i="1"/>
  <c r="AH163" i="1" s="1"/>
  <c r="AH151" i="1"/>
  <c r="AH150" i="1"/>
  <c r="AH160" i="1"/>
  <c r="AH161" i="1" s="1"/>
  <c r="I49" i="29"/>
  <c r="I54" i="29"/>
  <c r="J54" i="29"/>
  <c r="J49" i="29"/>
  <c r="AL87" i="1"/>
  <c r="AL110" i="1"/>
  <c r="AJ121" i="1"/>
  <c r="AL337" i="1"/>
  <c r="AL324" i="1"/>
  <c r="AK94" i="1"/>
  <c r="AK96" i="1"/>
  <c r="AK97" i="1"/>
  <c r="AK92" i="1"/>
  <c r="AK93" i="1"/>
  <c r="AK118" i="1"/>
  <c r="AJ346" i="1"/>
  <c r="AL123" i="1"/>
  <c r="AL97" i="1"/>
  <c r="AL94" i="1"/>
  <c r="AL96" i="1"/>
  <c r="AL93" i="1"/>
  <c r="AL92" i="1"/>
  <c r="AL115" i="1"/>
  <c r="AL118" i="1"/>
  <c r="AJ95" i="1"/>
  <c r="AJ128" i="1"/>
  <c r="AJ126" i="1"/>
  <c r="AJ134" i="1"/>
  <c r="AJ124" i="1"/>
  <c r="AJ125" i="1" s="1"/>
  <c r="AJ144" i="1"/>
  <c r="K10" i="2"/>
  <c r="K21" i="2"/>
  <c r="K9" i="2"/>
  <c r="H56" i="29"/>
  <c r="H57" i="29" s="1"/>
  <c r="J16" i="29"/>
  <c r="I56" i="29" l="1"/>
  <c r="J56" i="29"/>
  <c r="I57" i="29"/>
  <c r="AO24" i="29"/>
  <c r="AO26" i="29" s="1"/>
  <c r="AO28" i="29" s="1"/>
  <c r="AO30" i="29" s="1"/>
  <c r="AL124" i="1"/>
  <c r="AL134" i="1"/>
  <c r="AL144" i="1"/>
  <c r="AL146" i="1" s="1"/>
  <c r="AL149" i="1" s="1"/>
  <c r="AK120" i="1"/>
  <c r="AK119" i="1"/>
  <c r="AJ146" i="1"/>
  <c r="AJ149" i="1" s="1"/>
  <c r="AL95" i="1"/>
  <c r="AK95" i="1"/>
  <c r="AI146" i="1"/>
  <c r="AI149" i="1" s="1"/>
  <c r="AK123" i="1"/>
  <c r="AI137" i="1"/>
  <c r="L8" i="2"/>
  <c r="AI135" i="1"/>
  <c r="AI136" i="1"/>
  <c r="AL120" i="1"/>
  <c r="AL119" i="1"/>
  <c r="M8" i="2"/>
  <c r="AJ136" i="1"/>
  <c r="AJ137" i="1"/>
  <c r="AJ135" i="1"/>
  <c r="AL345" i="1"/>
  <c r="AL340" i="1"/>
  <c r="AL341" i="1" s="1"/>
  <c r="AL338" i="1"/>
  <c r="AL339" i="1" s="1"/>
  <c r="AL342" i="1"/>
  <c r="AL343" i="1" s="1"/>
  <c r="AK345" i="1"/>
  <c r="AK338" i="1"/>
  <c r="AK339" i="1" s="1"/>
  <c r="AK342" i="1"/>
  <c r="AK343" i="1" s="1"/>
  <c r="AK340" i="1"/>
  <c r="AK341" i="1" s="1"/>
  <c r="M21" i="2" l="1"/>
  <c r="M9" i="2"/>
  <c r="M10" i="2"/>
  <c r="L21" i="2"/>
  <c r="L9" i="2"/>
  <c r="L10" i="2"/>
  <c r="AL126" i="1"/>
  <c r="AK128" i="1"/>
  <c r="AK124" i="1"/>
  <c r="AK144" i="1"/>
  <c r="AK146" i="1" s="1"/>
  <c r="AK149" i="1" s="1"/>
  <c r="AK134" i="1"/>
  <c r="AK126" i="1"/>
  <c r="AL346" i="1"/>
  <c r="AK346" i="1"/>
  <c r="AL151" i="1"/>
  <c r="AL162" i="1"/>
  <c r="AL160" i="1"/>
  <c r="O8" i="2"/>
  <c r="AL136" i="1"/>
  <c r="AL128" i="1"/>
  <c r="AI162" i="1"/>
  <c r="AI163" i="1" s="1"/>
  <c r="AI151" i="1"/>
  <c r="AI150" i="1"/>
  <c r="AI160" i="1"/>
  <c r="AI161" i="1" s="1"/>
  <c r="AJ162" i="1"/>
  <c r="AJ163" i="1" s="1"/>
  <c r="AJ160" i="1"/>
  <c r="AJ151" i="1"/>
  <c r="AJ150" i="1"/>
  <c r="AL121" i="1"/>
  <c r="AK121" i="1"/>
  <c r="AO47" i="29"/>
  <c r="B1" i="29"/>
  <c r="AO31" i="29"/>
  <c r="AO2" i="29"/>
  <c r="K56" i="29"/>
  <c r="J57" i="29"/>
  <c r="AJ161" i="1" l="1"/>
  <c r="L56" i="29"/>
  <c r="K57" i="29"/>
  <c r="AO51" i="29"/>
  <c r="AO50" i="29"/>
  <c r="AO49" i="29"/>
  <c r="AO48" i="29"/>
  <c r="AO52" i="29"/>
  <c r="N8" i="2"/>
  <c r="AK136" i="1"/>
  <c r="AK135" i="1"/>
  <c r="AK137" i="1"/>
  <c r="AL125" i="1"/>
  <c r="AK125" i="1"/>
  <c r="AL135" i="1"/>
  <c r="O9" i="2"/>
  <c r="O21" i="2"/>
  <c r="AL150" i="1"/>
  <c r="AK160" i="1"/>
  <c r="AK151" i="1"/>
  <c r="AK162" i="1"/>
  <c r="AK150" i="1"/>
  <c r="AL137" i="1"/>
  <c r="AL161" i="1" l="1"/>
  <c r="AK161" i="1"/>
  <c r="O10" i="2"/>
  <c r="N9" i="2"/>
  <c r="N21" i="2"/>
  <c r="N10" i="2"/>
  <c r="AL163" i="1"/>
  <c r="AK163" i="1"/>
  <c r="M56" i="29"/>
  <c r="L57" i="29"/>
  <c r="N56" i="29" l="1"/>
  <c r="M57" i="29"/>
  <c r="O56" i="29" l="1"/>
  <c r="N57" i="29"/>
  <c r="P56" i="29" l="1"/>
  <c r="O57" i="29"/>
  <c r="Q56" i="29" l="1"/>
  <c r="P57" i="29"/>
  <c r="R56" i="29" l="1"/>
  <c r="Q57" i="29"/>
  <c r="S56" i="29" l="1"/>
  <c r="R57" i="29"/>
  <c r="T56" i="29" l="1"/>
  <c r="S57" i="29"/>
  <c r="U56" i="29" l="1"/>
  <c r="T57" i="29"/>
  <c r="V56" i="29" l="1"/>
  <c r="U57" i="29"/>
  <c r="W56" i="29" l="1"/>
  <c r="V57" i="29"/>
  <c r="X56" i="29" l="1"/>
  <c r="W57" i="29"/>
  <c r="Y56" i="29" l="1"/>
  <c r="X57" i="29"/>
  <c r="Z56" i="29" l="1"/>
  <c r="Y57" i="29"/>
  <c r="AA56" i="29" l="1"/>
  <c r="Z57" i="29"/>
  <c r="AB56" i="29" l="1"/>
  <c r="AA57" i="29"/>
  <c r="AC56" i="29" l="1"/>
  <c r="AB57" i="29"/>
  <c r="AD56" i="29" l="1"/>
  <c r="AC57" i="29"/>
  <c r="AE56" i="29" l="1"/>
  <c r="AD57" i="29"/>
  <c r="AF56" i="29" l="1"/>
  <c r="AE57" i="29"/>
  <c r="AG56" i="29" l="1"/>
  <c r="AF57" i="29"/>
  <c r="AH56" i="29" l="1"/>
  <c r="AG57" i="29"/>
  <c r="AI56" i="29" l="1"/>
  <c r="AH57" i="29"/>
  <c r="AJ56" i="29" l="1"/>
  <c r="AJ57" i="29" s="1"/>
  <c r="AI57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Brett Caughran</author>
  </authors>
  <commentList>
    <comment ref="A1" authorId="0" shapeId="0" xr:uid="{6EDAB921-71DF-4DB3-A0FC-8BE0D47ED16F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Timestamp="1664584150"&gt;&lt;FQL&gt;&lt;Q&gt;SP50^FMA_EPS(NTMA,44832,,,,"PORTAGG","MEANR")&lt;/Q&gt;&lt;R&gt;1&lt;/R&gt;&lt;C&gt;1&lt;/C&gt;&lt;D xsi:type="xsd:double"&gt;235.272363445916&lt;/D&gt;&lt;/FQL&gt;&lt;FQL&gt;&lt;Q&gt;SP50^P_PRICE(44832)&lt;/Q&gt;&lt;R&gt;1&lt;/R&gt;&lt;C&gt;1&lt;/C&gt;&lt;D xsi:type="xsd:double"&gt;3719.04&lt;/D&gt;&lt;/FQL&gt;&lt;FQL&gt;&lt;Q&gt;SP50^FMA_EPS(NTMA,,,,,"PORTAGG","MEANR")&lt;/Q&gt;&lt;R&gt;1&lt;/R&gt;&lt;C&gt;1&lt;/C&gt;&lt;D xsi:type="xsd:double"&gt;235.377626218017&lt;/D&gt;&lt;/FQL&gt;&lt;FQL&gt;&lt;Q&gt;SP50^P_PRICE()&lt;/Q&gt;&lt;R&gt;1&lt;/R&gt;&lt;C&gt;1&lt;/C&gt;&lt;D xsi:type="xsd:double"&gt;3640.47&lt;/D&gt;&lt;/FQL&gt;&lt;FQL&gt;&lt;Q&gt;NFLX^FE_ESTIMATE(FCF,MEAN,NTMA,,44832,,,'')&lt;/Q&gt;&lt;R&gt;1&lt;/R&gt;&lt;C&gt;1&lt;/C&gt;&lt;D xsi:type="xsd:double"&gt;1784.0593&lt;/D&gt;&lt;/FQL&gt;&lt;FQL&gt;&lt;Q&gt;NFLX^FE_ESTIMATE(FCF,MEAN,LTMA,,44832,,,'')&lt;/Q&gt;&lt;R&gt;1&lt;/R&gt;&lt;C&gt;1&lt;/C&gt;&lt;D xsi:type="xsd:double"&gt;654.66785&lt;/D&gt;&lt;/FQL&gt;&lt;FQL&gt;&lt;Q&gt;NFLX^FE_ESTIMATE(SALES,MEAN,NTMA,,44832,,,'')&lt;/Q&gt;&lt;R&gt;1&lt;/R&gt;&lt;C&gt;1&lt;/C&gt;&lt;D xsi:type="xsd:double"&gt;33569.08&lt;/D&gt;&lt;/FQL&gt;&lt;FQL&gt;&lt;Q&gt;NFLX^FE_ESTIMATE(GROSS_INC,MEAN,NTMA,,44832,,,'')&lt;/Q&gt;&lt;R&gt;1&lt;/R&gt;&lt;C&gt;1&lt;/C&gt;&lt;D xsi:type="xsd:double"&gt;13716.449&lt;/D&gt;&lt;/FQL&gt;&lt;FQL&gt;&lt;Q&gt;NFLX^FE_ESTIMATE(EBITDA,MEAN,NTMA,,44832,,,'')&lt;/Q&gt;&lt;R&gt;1&lt;/R&gt;&lt;C&gt;1&lt;/C&gt;&lt;D xsi:type="xsd:double"&gt;6902.4956&lt;/D&gt;&lt;/FQL&gt;&lt;FQL&gt;&lt;Q&gt;NFLX^FREF_MARKET_VALUE_COMPANY(44832,,,,,0,,"LEGACY")&lt;/Q&gt;&lt;R&gt;1&lt;/R&gt;&lt;C&gt;1&lt;/C&gt;&lt;D xsi:type="xsd:double"&gt;109041.811008589&lt;/D&gt;&lt;/FQL&gt;&lt;FQL&gt;&lt;Q&gt;NFLX^FF_ENTRPR_VAL_DAILY(44832,,,,,"DIL")&lt;/Q&gt;&lt;R&gt;1&lt;/R&gt;&lt;C&gt;1&lt;/C&gt;&lt;D xsi:type="xsd:double"&gt;121471.0468&lt;/D&gt;&lt;/FQL&gt;&lt;FQL&gt;&lt;Q&gt;NFLX^FE_ESTIMATE(EPS,MEAN,NTMA,,44832,,,'')&lt;/Q&gt;&lt;R&gt;1&lt;/R&gt;&lt;C&gt;1&lt;/C&gt;&lt;D xsi:type="xsd:double"&gt;10.725779&lt;/D&gt;&lt;/FQL&gt;&lt;FQL&gt;&lt;Q&gt;NFLX^P_PRICE(44832)&lt;/Q&gt;&lt;R&gt;1&lt;/R&gt;&lt;C&gt;1&lt;/C&gt;&lt;D xsi:type="xsd:double"&gt;245.2&lt;/D&gt;&lt;/FQL&gt;&lt;FQL&gt;&lt;Q&gt;NFLX^FE_ESTIMATE(FCF,MEAN,NTMA,,,,,'')&lt;/Q&gt;&lt;R&gt;1&lt;/R&gt;&lt;C&gt;1&lt;/C&gt;&lt;D xsi:type="xsd:double"&gt;1790.2739&lt;/D&gt;&lt;/FQL&gt;&lt;FQL&gt;&lt;Q&gt;NFLX^FE_ESTIMATE(FCF,MEAN,LTMA,,,,,'')&lt;/Q&gt;&lt;R&gt;1&lt;/R&gt;&lt;C&gt;1&lt;/C&gt;&lt;D xsi:type="xsd:double"&gt;660.7811&lt;/D&gt;&lt;/FQL&gt;&lt;FQL&gt;&lt;Q&gt;NFLX^FE_ESTIMATE(SALES,MEAN,NTMA,,,,,'')&lt;/Q&gt;&lt;R&gt;1&lt;/R&gt;&lt;C&gt;1&lt;/C&gt;&lt;D xsi:type="xsd:double"&gt;33582.71&lt;/D&gt;&lt;/FQL&gt;&lt;FQL&gt;&lt;Q&gt;NFLX^FE_ESTIMATE(GROSS_INC,MEAN,NTMA,,,,,'')&lt;/Q&gt;&lt;R&gt;1&lt;/R&gt;&lt;C&gt;1&lt;/C&gt;&lt;D xsi:type="xsd:double"&gt;13723.637&lt;/D&gt;&lt;/FQL&gt;&lt;FQL&gt;&lt;Q&gt;NFLX^FE_ESTIMATE(EBITDA,MEAN,NTMA,,,,,'')&lt;/Q&gt;&lt;R&gt;1&lt;/R&gt;&lt;C&gt;1&lt;/C&gt;&lt;D xsi:type="xsd:double"&gt;6906.7285&lt;/D&gt;&lt;/FQL&gt;&lt;FQL&gt;&lt;Q&gt;NFLX^FREF_MARKET_VALUE_COMPANY(,,,,,0,,"LEGACY")&lt;/Q&gt;&lt;R&gt;1&lt;/R&gt;&lt;C&gt;1&lt;/C&gt;&lt;D xsi:type="xsd:double"&gt;106600.381624305&lt;/D&gt;&lt;/FQL&gt;&lt;FQL&gt;&lt;Q&gt;NFLX^FF_ENTRPR_VAL_DAILY(,,,,,"DIL")&lt;/Q&gt;&lt;R&gt;1&lt;/R&gt;&lt;C&gt;1&lt;/C&gt;&lt;D xsi:type="xsd:double"&gt;118999.61899&lt;/D&gt;&lt;/FQL&gt;&lt;FQL&gt;&lt;Q&gt;NFLX^FE_ESTIMATE(EPS,MEAN,NTMA,,,,,'')&lt;/Q&gt;&lt;R&gt;1&lt;/R&gt;&lt;C&gt;1&lt;/C&gt;&lt;D xsi:type="xsd:double"&gt;10.730273&lt;/D&gt;&lt;/FQL&gt;&lt;FQL&gt;&lt;Q&gt;NFLX^P_PRICE()&lt;/Q&gt;&lt;R&gt;1&lt;/R&gt;&lt;C&gt;1&lt;/C&gt;&lt;D xsi:type="xsd:double"&gt;239.71&lt;/D&gt;&lt;/FQL&gt;&lt;/Schema&gt;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Prachi</author>
  </authors>
  <commentList>
    <comment ref="AB124" authorId="0" shapeId="0" xr:uid="{0BA457A9-277C-4A3C-AD2A-5B3AD8AEE994}">
      <text>
        <r>
          <rPr>
            <b/>
            <sz val="9"/>
            <color indexed="81"/>
            <rFont val="Tahoma"/>
            <family val="2"/>
          </rPr>
          <t>GMR:</t>
        </r>
        <r>
          <rPr>
            <sz val="9"/>
            <color indexed="81"/>
            <rFont val="Tahoma"/>
            <family val="2"/>
          </rPr>
          <t xml:space="preserve">
We continue to expect full year 2022 operating margin of 19%-20%, excluding the unanticipated $150m of restructuring costs in Q2 noted above and the material movement in F/X from January 2022, as our guidance was set based on F/X at that time</t>
        </r>
      </text>
    </comment>
  </commentList>
</comments>
</file>

<file path=xl/sharedStrings.xml><?xml version="1.0" encoding="utf-8"?>
<sst xmlns="http://schemas.openxmlformats.org/spreadsheetml/2006/main" count="1142" uniqueCount="356">
  <si>
    <t>Diluted Shares</t>
  </si>
  <si>
    <t>EBITDA</t>
  </si>
  <si>
    <t>Market Cap</t>
  </si>
  <si>
    <t>Total Debt</t>
  </si>
  <si>
    <t>Cash</t>
  </si>
  <si>
    <t>Net Debt</t>
  </si>
  <si>
    <t>Enterprise Value</t>
  </si>
  <si>
    <t>EV/EBITDA</t>
  </si>
  <si>
    <t>P/E</t>
  </si>
  <si>
    <t>% return</t>
  </si>
  <si>
    <t>Fiscal year ended December 31,</t>
  </si>
  <si>
    <t>Period ending</t>
  </si>
  <si>
    <t>Days in period</t>
  </si>
  <si>
    <t>P&amp;L</t>
  </si>
  <si>
    <t>% yoy</t>
  </si>
  <si>
    <t>% margin</t>
  </si>
  <si>
    <t>NET INCOME</t>
  </si>
  <si>
    <t>Q1 19</t>
  </si>
  <si>
    <t>Target P/E</t>
  </si>
  <si>
    <t>EOY Target Price</t>
  </si>
  <si>
    <t>Q2 19</t>
  </si>
  <si>
    <t>Street P/E</t>
  </si>
  <si>
    <t>Q3 19</t>
  </si>
  <si>
    <t>Q4 19</t>
  </si>
  <si>
    <t>Avg</t>
  </si>
  <si>
    <t>2023E</t>
  </si>
  <si>
    <t>3 Year Target</t>
  </si>
  <si>
    <t>Cap Table</t>
  </si>
  <si>
    <t>Ticker</t>
  </si>
  <si>
    <t>Last Update</t>
  </si>
  <si>
    <t>1 year return scenarios</t>
  </si>
  <si>
    <t>2018A</t>
  </si>
  <si>
    <t>12m Target</t>
  </si>
  <si>
    <t>Bull</t>
  </si>
  <si>
    <t>Base</t>
  </si>
  <si>
    <t>Bear</t>
  </si>
  <si>
    <t>Absolute</t>
  </si>
  <si>
    <t>Min</t>
  </si>
  <si>
    <t>Max</t>
  </si>
  <si>
    <t>1 year</t>
  </si>
  <si>
    <t>5 year</t>
  </si>
  <si>
    <t>10 year</t>
  </si>
  <si>
    <t>Street EPS</t>
  </si>
  <si>
    <t>S&amp;P rel</t>
  </si>
  <si>
    <t>EV/Sales</t>
  </si>
  <si>
    <t>Implied</t>
  </si>
  <si>
    <t>Valuation Thoughts</t>
  </si>
  <si>
    <t>Total Revenue</t>
  </si>
  <si>
    <t>EBITDA, GAAP</t>
  </si>
  <si>
    <t>Next 12 Months Risk</t>
  </si>
  <si>
    <t>Expected Delta</t>
  </si>
  <si>
    <t>Mgmt contact</t>
  </si>
  <si>
    <t>x money multiple</t>
  </si>
  <si>
    <t>% IRR</t>
  </si>
  <si>
    <t>12 Months Risk Case</t>
  </si>
  <si>
    <t>12 Months Base Target</t>
  </si>
  <si>
    <t>UV9SRVZFTlVFX0VTVC5DWTIwMTkuMS8xNi8yMDIwAQAAAPSFBQACAAAACTk1NC4xMTQzMwEOAAAABQAAAAIxMQEAAAABMAIAAAAKMTAwMzkwMzA1MwMAAAAGMTAwMTgwBAAAAAEyBgAAAAEwBwAAAAMxNjAIAAAAATAJAAAAATEKAAAAATALAAAACzExNzMwODUxNzM5DAAAAAE3DQAAAAkxLzE3LzIwMjAQAAAACjEyLzMxLzIwMTlzYEWdp5rXCGFVSZ2nmtcILUNJUS5JUTI0MTMxMjYuSVFfUkVWRU5VRV9FU1QuQ1kyMDIwLjEvMTYvMjAyMAEAAABG0iQAAgAAAAk5MTQuMDgzMzMBDgAAAAUAAAACMTEBAAAAATACAAAACjEwMDI5NjQ5NDgDAAAABjEwMDE4MAQAAAABMgYAAAABMAcAAAADMTYwCAAAAAEwCQAAAAExCgAAAAEwCwAAAAsxMTczNTQ5MDgzMgwAAAABNw0AAAAJMS8xNy8yMDIwEAAAAAkxLzE2LzIwMjBEl86Pp5rXCD2nmJCnmtcILENJUS5JUTI0MTMxMjYuSVFfRUJJVERBX0VTVC5DWTIwMjAuMS8xNi8yMDIwAQAAAEbSJAACAAAABzExNi4yNjkBDgAAAAUAAAACMTEBAAAAATACAAAACjEwMDI5NjQ5NDgDAAAABjEwMDE4NwQAAAABMgYAAAABMAcAAAADMTYwCAAAAAEwCQAAAAExCgAAAAEwCwAAAAsxMTczNTQ5MDczNAwAAAABNw0AAAAJMS8xNy8yMDIwEAAAAAkxLzE2LzIwMjBXqAzDp5rXCA44wcSnmtcIK0NJUS5JUTI4NzU0LklRX1JFVkVOVUVfRVNULkNZMjAxOS4xLzE2LzIwMjABAAAAUnAA</t>
  </si>
  <si>
    <t>AAIAAAAIMjI4MC41NTkBDgAAAAUAAAACMTEBAAAAATACAAAACjEwMDI5NzEyMzMDAAAABjEwMDE4MAQAAAABMgYAAAABMAcAAAADMTYwCAAAAAEwCQAAAAExCgAAAAEwCwAAAAsxMTY5MDE4NjgyNAwAAAABNw0AAAAJMS8xNy8yMDIwEAAAAAoxMi8zMS8yMDE5c2BFnaea1whQfEmdp5rXCClDSVEuSVEyODc1NC5JUV9UT1RBTF9SRVYuQ1kyMDE4LjEvMTYvMjAyMAEAAABScAAAAgAAAAgyMDI3Ljg3NwEIAAAABQAAAAExAQAAAAoxOTQ3MzU1NTMzAwAAAAMxNjACAAAAAjI4BAAAAAEwBwAAAAkxLzE2LzIwMjAIAAAACjEyLzMxLzIwMTgJAAAAATBzYEWdp5rXCO7u96SnmtcILENJUS5JUTI0MTMxMjYuSVFfRUJJVERBX0VTVC5DWTIwMTkuMS8xNi8yMDIwAQAAAEbSJAACAAAACTEwMy42MTM2NwEOAAAABQAAAAIxMQEAAAABMAIAAAAKMTAwMjk2NDk0NwMAAAAGMTAwMTg3BAAAAAEyBgAAAAEwBwAAAAMxNjAIAAAAATAJAAAAATEKAAAAATALAAAACzExNzM1NDkwNzY0DAAAAAE3DQAAAAkxLzE3LzIwMjAQAAAACjEyLzMxLzIwMTk3g6e6p5rXCJbZL8CnmtcIKUNJUS5JUTI0MTMxMjYuSVFfRVBTX0VTVC5DWTIwMTkuMS8xNi8yMDIwAQAAAEbSJAACAAAABTIuNTg1AQ4AAAAFAAAAAjExAQAAAAgxMjE0MzkzMQIAAAAKMTAwMjk2NDk0NwMAAAAGMTAwMTczBAAAAAEyBgAAAAEwBwAAAAMxNjAIAAAAATAJAAAA</t>
  </si>
  <si>
    <t>ATEKAAAAATALAAAACzExNzM1NDkxMDI0DAAAAAE3DQAAAAkxLzE3LzIwMjAQAAAACjEyLzMxLzIwMTkFjZXXp5rXCB1MuNqnmtcIK0NJUS5JUTM2MTk3Mi5JUV9FQklUREFfRVNULkNZMjAyMC4xLzE2LzIwMjABAAAA9IUFAAIAAAAJMTMyLjA0OTY3AQ4AAAAFAAAAAjExAQAAAAEwAgAAAAoxMDA0MDc1ODY0AwAAAAYxMDAxODcEAAAAATIGAAAAATAHAAAAAzE2MAgAAAABMAkAAAABMQoAAAABMAsAAAALMTE3MzEwMDcyNjAMAAAAATcNAAAACTEvMTcvMjAyMBAAAAAJMS8xNi8yMDIwor8RxKea1wjjBxTEp5rXCCZDSVEuSVEyODc1NC5JUV9FQklUREEuQ1kyMDE4LjEvMTYvMjAyMAEAAABScAAAAgAAAAcyNjAuODgyAQgAAAAFAAAAATEBAAAACjE5NDczNTU1MzMDAAAAAzE2MAIAAAAENDA1MQQAAAABMAcAAAAJMS8xNi8yMDIwCAAAAAoxMi8zMS8yMDE4CQAAAAEwqDnBqaea1whB5sKpp5rXCCtDSVEuSVEzNjE5NzIuSVFfRUJJVERBX0VTVC5DWTIwMTkuMS8xNi8yMDIwAQAAAPSFBQACAAAABzEyMS44MDgBDgAAAAUAAAACMTEBAAAAATACAAAACjEwMDM5MDMwNTMDAAAABjEwMDE4NwQAAAABMgYAAAABMAcAAAADMTYwCAAAAAEwCQAAAAExCgAAAAEwCwAAAAsxMTczMDgxMTcwMwwAAAABNw0AAAAJMS8xNy8yMDIwEAAAAAoxMi8zMS8yMDE5cU5sv6ea1wiW2S/Ap5rXCCtDSVEuSVEyODc1NC5JUV9SRVZF</t>
  </si>
  <si>
    <t>AwABTAVMT0NBTAFI/////wFQGwAAAC1DSVEuSVEyNDEzMTI2LklRX1JFVkVOVUVfRVNULkNZMjAxOS4xLzE2LzIwMjABAAAARtIkAAIAAAAJODYwLjExNzMzAQ4AAAAFAAAAAjExAQAAAAEwAgAAAAoxMDAyOTY0OTQ3AwAAAAYxMDAxODAEAAAAATIGAAAAATAHAAAAAzE2MAgAAAABMAkAAAABMQoAAAABMAsAAAALMTE3MzU0OTA4NjIMAAAAATcNAAAACTEvMTcvMjAyMBAAAAAKMTIvMzEvMjAxOeuf14anmtcI4y8kjaea1wgsQ0lRLklRMzYxOTcyLklRX1JFVkVOVUVfRVNULkNZMjAyMC4xLzE2LzIwMjABAAAA9IUFAAIAAAAKMTAwMi42NDYzMwEOAAAABQAAAAIxMQEAAAABMAIAAAAKMTAwNDA3NTg2NAMAAAAGMTAwMTgwBAAAAAEyBgAAAAEwBwAAAAMxNjAIAAAAATAJAAAAATEKAAAAATALAAAACzExNzMwODQzNjQ4DAAAAAE3DQAAAAkxLzE3LzIwMjAQAAAACTEvMTYvMjAyMHNgRZ2nmtcIUHxJnaea1wgqQ0lRLklRMjg3NTQuSVFfRUJJVERBX0VTVC5DWTIwMjEuMS8xNi8yMDIwAQAAAFJwAAACAAAABzM2Ni45MjMBDgAAAAUAAAACMTEBAAAAATACAAAACjEwMDQ0NDUyODMDAAAABjEwMDE4NwQAAAABMgYAAAABMAcAAAADMTYwCAAAAAEwCQAAAAExCgAAAAEwCwAAAAsxMTY5MDE4NTgyNAwAAAABNw0AAAAJMS8xNy8yMDIwEAAAAAkxLzE2LzIwMjA7aanHp5rXCAoCrcenmtcILENJUS5JUTM2MTk3Mi5J</t>
  </si>
  <si>
    <t>TlVFX0VTVC5DWTIwMjAuMS8xNi8yMDIwAQAAAFJwAAACAAAACTIzMzcuNjA3NQEOAAAABQAAAAIxMQEAAAABMAIAAAAKMTAwNDIzMzA0NQMAAAAGMTAwMTgwBAAAAAEyBgAAAAEwBwAAAAMxNjAIAAAAATAJAAAAATEKAAAAATALAAAACzExNjkwMTg2NjMxDAAAAAE3DQAAAAkxLzE3LzIwMjAQAAAACTEvMTYvMjAyMHNgRZ2nmtcIUHxJnaea1wgoQ0lRLklRMjQxMzEyNi5JUV9FQklUREEuQ1kyMDE4LjEvMTYvMjAyMAEAAABG0iQAAgAAAAY5MS41NDUBCAAAAAUAAAABMQEAAAAKMTk0NzM1MDM1NgMAAAADMTYwAgAAAAQ0MDUxBAAAAAEwBwAAAAkxLzE2LzIwMjAIAAAACjEyLzMxLzIwMTgJAAAAATDrZW6op5rXCKuYcainmtcIJ0NJUS5JUTI0MTMxMjYuSVFfRElMVVRfRVBTX0VYQ0wuRlkyMDE4LgEAAABG0iQAAgAAAAQwLjYzAQgAAAAFAAAAATEBAAAACjE5NDczNDk4NTkDAAAAAzE2MAIAAAADMTQyBAAAAAEwBwAAAAkxLzE2LzIwMjAIAAAACjEyLzMxLzIwMTgJAAAAATBGa5byp5rXCFd8l/KnmtcIK0NJUS5JUTM2MTk3Mi5JUV9FQklUREFfRVNULkNZMjAyMS4xLzE2LzIwMjABAAAA9IUFAAIAAAAHMTQ2LjA0MwEOAAAABQAAAAIxMQEAAAABMAIAAAAKMTAwNDE2NzAzOAMAAAAGMTAwMTg3BAAAAAEyBgAAAAEwBwAAAAMxNjAIAAAAATAJAAAAATEKAAAAATALAAAACzExNzE2NTQzMzExDAAAAAE3DQAA</t>
  </si>
  <si>
    <t>AAkxLzE3LzIwMjAQAAAACTEvMTYvMjAyMDtpqcenmtcIKyqtx6ea1wgqQ0lRLklRMjg3NTQuSVFfRUJJVERBX0VTVC5DWTIwMTkuMS8xNi8yMDIwAQAAAFJwAAACAAAABzM0NS42MzYBDgAAAAUAAAACMTEBAAAAATACAAAACjEwMDI5NzEyMzMDAAAABjEwMDE4NwQAAAABMgYAAAABMAcAAAADMTYwCAAAAAEwCQAAAAExCgAAAAEwCwAAAAsxMTY5MDE4NjgxOAwAAAABNw0AAAAJMS8xNy8yMDIwEAAAAAoxMi8zMS8yMDE5cU5sv6ea1wiW2S/Ap5rXCCpDSVEuSVEzNjE5NzIuSVFfVE9UQUxfUkVWLkNZMjAxOC4xLzE2LzIwMjABAAAA9IUFAAIAAAAHOTIyLjAwMwEIAAAABQAAAAExAQAAAAoxOTQ4MDg3MDIyAwAAAAMxNjACAAAAAjI4BAAAAAEwBwAAAAkxLzE2LzIwMjAIAAAACjEyLzMxLzIwMTgJAAAAATBzYEWdp5rXCO7u96SnmtcIIUNJUS5JUTI0MTMxMjYuSVFfVE9UQUxfUkVWLkNZMjAxOAEAAABG0iQAAgAAAAc3OTUuMTI1AQgAAAAFAAAAATEBAAAACjE5NDczNTAzNTYDAAAAAzE2MAIAAAACMjgEAAAAATAHAAAACTEvMTYvMjAyMAgAAAAKMTIvMzEvMjAxOAkAAAABMFmBdVOnmtcIwT55U6ea1wgrQ0lRLklRMjQxMzEyNi5JUV9UT1RBTF9SRVYuQ1kyMDE4LjEvMTYvMjAyMAEAAABG0iQAAgAAAAc3OTUuMTI1AQgAAAAFAAAAATEBAAAACjE5NDczNTAzNTYDAAAAAzE2MAIAAAACMjgEAAAAATAHAAAA</t>
  </si>
  <si>
    <t>CTEvMTYvMjAyMAgAAAAKMTIvMzEvMjAxOAkAAAABMMBTH2KnmtcIiMb3pKea1wgtQ0lRLklRMjQxMzEyNi5JUV9SRVZFTlVFX0VTVC5DWTIwMjEuMS8xNi8yMDIwAQAAAEbSJAACAAAABzk3NS43MzYBDgAAAAUAAAACMTEBAAAAATACAAAACjEwMDI5NjQ5NDkDAAAABjEwMDE4MAQAAAABMgYAAAABMAcAAAADMTYwCAAAAAEwCQAAAAExCgAAAAEwCwAAAAsxMTczNTQ5MDgyNgwAAAABNw0AAAAJMS8xNy8yMDIwEAAAAAkxLzE2LzIwMjC5UOGSp5rXCLVb5JKnmtcILENJUS5JUTI0MTMxMjYuSVFfRUJJVERBX0VTVC5DWTIwMjEuMS8xNi8yMDIwAQAAAEbSJAACAAAABzEzNy41MDMBDgAAAAUAAAACMTEBAAAAATACAAAACjEwMDI5NjQ5NDkDAAAABjEwMDE4NwQAAAABMgYAAAABMAcAAAADMTYwCAAAAAEwCQAAAAExCgAAAAEwCwAAAAsxMTczNTQ5MDc0NgwAAAABNw0AAAAJMS8xNy8yMDIwEAAAAAkxLzE2LzIwMjCcvLrGp5rXCAXRvcanmtcIKkNJUS5JUTI4NzU0LklRX0VCSVREQV9FU1QuQ1kyMDIwLjEvMTYvMjAyMAEAAABScAAAAgAAAAczNTEuMDc4AQ4AAAAFAAAAAjExAQAAAAEwAgAAAAoxMDA0MjMzMDQ1AwAAAAYxMDAxODcEAAAAATIGAAAAATAHAAAAAzE2MAgAAAABMAkAAAABMQoAAAABMAsAAAALMTE2OTAxODY2NDkMAAAAATcNAAAACTEvMTcvMjAyMBAAAAAJMS8xNi8yMDIwor8RxKea1wjjBxTE</t>
  </si>
  <si>
    <t>p5rXCCxDSVEuSVEzNjE5NzIuSVFfUkVWRU5VRV9FU1QuQ1kyMDIxLjEvMTYvMjAyMAEAAAD0hQUAAgAAAAgxMDQzLjY4OAEOAAAABQAAAAIxMQEAAAABMAIAAAAKMTAwNDE2NzAzOAMAAAAGMTAwMTgwBAAAAAEyBgAAAAEwBwAAAAMxNjAIAAAAATAJAAAAATEKAAAAATALAAAACzExNzE2NTQzMzQyDAAAAAE3DQAAAAkxLzE3LzIwMjAQAAAACTEvMTYvMjAyMHNgRZ2nmtcIYVVJnaea1wgnQ0lRLklRMzYxOTcyLklRX0VCSVREQS5DWTIwMTguMS8xNi8yMDIwAQAAAPSFBQACAAAABzExNi4yMjIBCAAAAAUAAAABMQEAAAAKMTk0ODA4NzAyMgMAAAADMTYwAgAAAAQ0MDUxBAAAAAEwBwAAAAkxLzE2LzIwMjAIAAAACjEyLzMxLzIwMTgJAAAAATCoOcGpp5rXCEHmwqmnmtcIK0NJUS5JUTI4NzU0LklRX1JFVkVOVUVfRVNULkNZMjAyMS4xLzE2LzIwMjABAAAAUnAAAAIAAAAHMjQ1My43MQEOAAAABQAAAAIxMQEAAAABMAIAAAAKMTAwNDQ0NTI4MwMAAAAGMTAwMTgwBAAAAAEyBgAAAAEwBwAAAAMxNjAIAAAAATAJAAAAATEKAAAAATALAAAACzExNjkwMTg1ODQ4DAAAAAE3DQAAAAkxLzE3LzIwMjAQAAAACTEvMTYvMjAyMHNgRZ2nmtcIYVVJnaea1wg=</t>
  </si>
  <si>
    <t>2019A</t>
  </si>
  <si>
    <t>Q1 20</t>
  </si>
  <si>
    <t>Q2 20</t>
  </si>
  <si>
    <t>2024E</t>
  </si>
  <si>
    <t>Q3 20</t>
  </si>
  <si>
    <t>Q4 20</t>
  </si>
  <si>
    <t>2020A</t>
  </si>
  <si>
    <t>Cash per share</t>
  </si>
  <si>
    <t>Q1 21</t>
  </si>
  <si>
    <t>Q2 21</t>
  </si>
  <si>
    <t>3 year</t>
  </si>
  <si>
    <t>2025E</t>
  </si>
  <si>
    <t>PRE-TAX INCOME</t>
  </si>
  <si>
    <t>Q3 21</t>
  </si>
  <si>
    <t>Street Consensus</t>
  </si>
  <si>
    <t>`</t>
  </si>
  <si>
    <t>Q4 21</t>
  </si>
  <si>
    <t>2021A</t>
  </si>
  <si>
    <t>INCREMENTAL MARGIN</t>
  </si>
  <si>
    <t>Revenues</t>
  </si>
  <si>
    <t>Cost of Revenues</t>
  </si>
  <si>
    <t>Marketing</t>
  </si>
  <si>
    <t>Technology &amp; Development</t>
  </si>
  <si>
    <t>General &amp; Adminstrative</t>
  </si>
  <si>
    <t>OPERATING INCOME</t>
  </si>
  <si>
    <t>Interest expense</t>
  </si>
  <si>
    <t>Interest &amp; other income</t>
  </si>
  <si>
    <t>Income Tax Expense</t>
  </si>
  <si>
    <t>DILUTED EPS</t>
  </si>
  <si>
    <t>Loss on extinguishment of debt</t>
  </si>
  <si>
    <t>% 2 year</t>
  </si>
  <si>
    <t>% 3 year</t>
  </si>
  <si>
    <t>% qoq</t>
  </si>
  <si>
    <t>% of sales</t>
  </si>
  <si>
    <t>GROSS PROFIT</t>
  </si>
  <si>
    <t>TTM INCREMENTAL MARGIN</t>
  </si>
  <si>
    <t>bps yoy mgn</t>
  </si>
  <si>
    <t>TOTAL OPERATING EXPENSE</t>
  </si>
  <si>
    <t>Total Non-Operating Income</t>
  </si>
  <si>
    <t>% rate</t>
  </si>
  <si>
    <t>Sequential</t>
  </si>
  <si>
    <t>Stock-based compensation expense</t>
  </si>
  <si>
    <t>Q1 22</t>
  </si>
  <si>
    <t>Q2 22</t>
  </si>
  <si>
    <t>Cash and cash equivalents</t>
  </si>
  <si>
    <t>Short-term investments</t>
  </si>
  <si>
    <t>Accounts payable</t>
  </si>
  <si>
    <t>Short-term debt</t>
  </si>
  <si>
    <t>Long-term debt</t>
  </si>
  <si>
    <t>Common stock</t>
  </si>
  <si>
    <t>Additional paid-in capital</t>
  </si>
  <si>
    <t>BALANCE SHEET</t>
  </si>
  <si>
    <t>TOTAL LIABILITIES &amp; EQUITY</t>
  </si>
  <si>
    <t>check</t>
  </si>
  <si>
    <t>LEVERAGE</t>
  </si>
  <si>
    <t>TOTAL DEBT</t>
  </si>
  <si>
    <t>NET DEBT</t>
  </si>
  <si>
    <t>EBITDA, ttm</t>
  </si>
  <si>
    <t>NET LEVERAGE</t>
  </si>
  <si>
    <t>ROIC</t>
  </si>
  <si>
    <t>Invested capital</t>
  </si>
  <si>
    <t>(-) Goodwill</t>
  </si>
  <si>
    <t>(-) Other intangibles</t>
  </si>
  <si>
    <t>Tangible Invested Capital</t>
  </si>
  <si>
    <t>EBIT</t>
  </si>
  <si>
    <t>(-) Cash taxes</t>
  </si>
  <si>
    <t>NOPAT</t>
  </si>
  <si>
    <t>Incremental ROIC</t>
  </si>
  <si>
    <t>Tangible ROIC</t>
  </si>
  <si>
    <t>Incremental tangible ROIC</t>
  </si>
  <si>
    <t>CASH FLOW</t>
  </si>
  <si>
    <t>Deferred income taxes</t>
  </si>
  <si>
    <t>Change in other assets</t>
  </si>
  <si>
    <t>Purchases of short-term investments</t>
  </si>
  <si>
    <t>Repurchases of common stock</t>
  </si>
  <si>
    <t>Taxes paid related to net share settlement of equity awards</t>
  </si>
  <si>
    <t>FREE CASH FLOW</t>
  </si>
  <si>
    <t>OCF</t>
  </si>
  <si>
    <t>CHANGES IN WC</t>
  </si>
  <si>
    <t>OCF, pre-WC changes</t>
  </si>
  <si>
    <t>CAPEX</t>
  </si>
  <si>
    <t>FCF per share</t>
  </si>
  <si>
    <t>Revenue by Geography</t>
  </si>
  <si>
    <t>1. US &amp; CANADA</t>
  </si>
  <si>
    <t>4. APAC</t>
  </si>
  <si>
    <t>3. LATAM</t>
  </si>
  <si>
    <t>2. EMEA</t>
  </si>
  <si>
    <t>Thesis Summary - updated XX.XX.XX</t>
  </si>
  <si>
    <t>Trading Plan - updated XX.XX.XX</t>
  </si>
  <si>
    <t>Basic Shares</t>
  </si>
  <si>
    <t>BASIC EPS</t>
  </si>
  <si>
    <t>n.a.</t>
  </si>
  <si>
    <t>% margin, ttm</t>
  </si>
  <si>
    <t>% FCFY, ttm</t>
  </si>
  <si>
    <t>% FCFY, annualized</t>
  </si>
  <si>
    <t>FCF per share, ttm</t>
  </si>
  <si>
    <t>FCF per share, annualized</t>
  </si>
  <si>
    <t>REVENUE BUILD</t>
  </si>
  <si>
    <t>30Y DCF</t>
  </si>
  <si>
    <t>2050E</t>
  </si>
  <si>
    <t>2051E</t>
  </si>
  <si>
    <t xml:space="preserve"> </t>
  </si>
  <si>
    <t>REVENUE</t>
  </si>
  <si>
    <t>OPERATING VALUE DRIVERS</t>
  </si>
  <si>
    <t>Scenario</t>
  </si>
  <si>
    <t>Near-Term (Y1-Y4)</t>
  </si>
  <si>
    <t>Base (1)</t>
  </si>
  <si>
    <t>Bear (2)</t>
  </si>
  <si>
    <t>Bull (3)</t>
  </si>
  <si>
    <t>GM</t>
  </si>
  <si>
    <t>bps yoy</t>
  </si>
  <si>
    <t>SG&amp;A</t>
  </si>
  <si>
    <t>Incremental FCinv rate</t>
  </si>
  <si>
    <t>Incremental WCinv rate</t>
  </si>
  <si>
    <t>Inputs</t>
  </si>
  <si>
    <t>Intermediate-Term (Y5-Y15)</t>
  </si>
  <si>
    <t>WACC</t>
  </si>
  <si>
    <t>Depreciation &amp; Amortization</t>
  </si>
  <si>
    <t>Revenue</t>
  </si>
  <si>
    <t>% of revenue</t>
  </si>
  <si>
    <t>Output</t>
  </si>
  <si>
    <t>PF of Free Cash Flows</t>
  </si>
  <si>
    <t>PV of Terminal Value</t>
  </si>
  <si>
    <t>Total Present Value</t>
  </si>
  <si>
    <t>Less Net Debt</t>
  </si>
  <si>
    <t>Long-Term (Y16-Y30)</t>
  </si>
  <si>
    <t>Present Value of Equity</t>
  </si>
  <si>
    <t>Interest Expense</t>
  </si>
  <si>
    <t>VALUE PER SHARE</t>
  </si>
  <si>
    <t>% Return</t>
  </si>
  <si>
    <t>Effective tax rate</t>
  </si>
  <si>
    <t>Election Sensitivity</t>
  </si>
  <si>
    <t>Worst-Case (3)</t>
  </si>
  <si>
    <t>Capex</t>
  </si>
  <si>
    <t>TV</t>
  </si>
  <si>
    <t>% of PP&amp;E</t>
  </si>
  <si>
    <t>Change in Working Cap</t>
  </si>
  <si>
    <t>UNLEVERED FCF</t>
  </si>
  <si>
    <t>Discount period</t>
  </si>
  <si>
    <t>Discount factor</t>
  </si>
  <si>
    <t>PV of FCF</t>
  </si>
  <si>
    <t>Gross Profit</t>
  </si>
  <si>
    <t>Depreciation and amortization of PP&amp;E</t>
  </si>
  <si>
    <t>ADJUSTED OPERATING PROFIT</t>
  </si>
  <si>
    <t>Tax Expense</t>
  </si>
  <si>
    <t>Addition to Content Assets</t>
  </si>
  <si>
    <t>Change in Content Liabilities</t>
  </si>
  <si>
    <t>Amortization of Content Assets</t>
  </si>
  <si>
    <t>FCF IMPACT</t>
  </si>
  <si>
    <t>Implied P/E</t>
  </si>
  <si>
    <t>2022 Consensus EPS</t>
  </si>
  <si>
    <t>2023 Consensus EPS</t>
  </si>
  <si>
    <t>2024 Consensus EPS</t>
  </si>
  <si>
    <t>2025 Consensus EPS</t>
  </si>
  <si>
    <t>2026 Consensus EPS</t>
  </si>
  <si>
    <t>P/E on Current Price</t>
  </si>
  <si>
    <t>P/E on DCF Value</t>
  </si>
  <si>
    <t>2024 EPS</t>
  </si>
  <si>
    <t>EPS</t>
  </si>
  <si>
    <t>This sheet contains FactSet XML data for use with this workbook's =FDS codes.  Modifying the worksheet's contents may damage the workbook's =FDS functionality.</t>
  </si>
  <si>
    <t>2026E</t>
  </si>
  <si>
    <t>23 EPS</t>
  </si>
  <si>
    <t>Consensus</t>
  </si>
  <si>
    <t>P/E, Street High</t>
  </si>
  <si>
    <t>P/E, Street Low</t>
  </si>
  <si>
    <t>P/E, Consensus</t>
  </si>
  <si>
    <t>Bear case - flex the street low?</t>
  </si>
  <si>
    <t>Bull case - flex the street high</t>
  </si>
  <si>
    <t>Q3 22</t>
  </si>
  <si>
    <t>Cash &amp; cash equivalents</t>
  </si>
  <si>
    <t>Marketable securities</t>
  </si>
  <si>
    <t>Restricted cash</t>
  </si>
  <si>
    <t>Funds receivable &amp; amounts held on behalf of customers</t>
  </si>
  <si>
    <t>Prepaids &amp; other current assets</t>
  </si>
  <si>
    <t>Total current assets</t>
  </si>
  <si>
    <t>Computer software &amp; capitalized internal-use software</t>
  </si>
  <si>
    <t>Leasehold improvements</t>
  </si>
  <si>
    <t>Computer equipment</t>
  </si>
  <si>
    <t>Office furniture &amp; equipment</t>
  </si>
  <si>
    <t>Buildings &amp; land</t>
  </si>
  <si>
    <t>Construction in progress</t>
  </si>
  <si>
    <t>Total property &amp; equipment, gross</t>
  </si>
  <si>
    <t>Less: accumulated depreciation &amp; amortization - property &amp; equipment before construction in progress</t>
  </si>
  <si>
    <t>Total property &amp; equipment before construction in progress</t>
  </si>
  <si>
    <t>Property &amp; equipment, net</t>
  </si>
  <si>
    <t>Operating lease right-of-use assets</t>
  </si>
  <si>
    <t>Intangible assets, net</t>
  </si>
  <si>
    <t>Other assets, noncurrent</t>
  </si>
  <si>
    <t>Total assets</t>
  </si>
  <si>
    <t>Operating lease liabilities, current</t>
  </si>
  <si>
    <t>Indirect taxes payable</t>
  </si>
  <si>
    <t>Compensation &amp; employee benefits</t>
  </si>
  <si>
    <t>Indirect tax reserves</t>
  </si>
  <si>
    <t>Travel credit liability</t>
  </si>
  <si>
    <t>Derivative warrant liability</t>
  </si>
  <si>
    <t>Derivative liabilities</t>
  </si>
  <si>
    <t>Foreign exchange derivative liabilities</t>
  </si>
  <si>
    <t>Current portion of long-term debt &amp; accrued interest expense</t>
  </si>
  <si>
    <t>Contingent consideration liability</t>
  </si>
  <si>
    <t>Sales &amp; marketing</t>
  </si>
  <si>
    <t>Income &amp; other tax liabilities</t>
  </si>
  <si>
    <t>Gift card liability</t>
  </si>
  <si>
    <t>Other accrued expenses &amp; other current liabilities</t>
  </si>
  <si>
    <t>Accrued expenses &amp; other current liabilities</t>
  </si>
  <si>
    <t>Funds payable &amp; amounts payable to customers</t>
  </si>
  <si>
    <t>Unearned fees</t>
  </si>
  <si>
    <t>Total current liabilities</t>
  </si>
  <si>
    <t>Convertible senior notes</t>
  </si>
  <si>
    <t>First lien loan</t>
  </si>
  <si>
    <t>Second lien loan</t>
  </si>
  <si>
    <t>Less: unamortized debt discount &amp; debt issuance costs</t>
  </si>
  <si>
    <t>Less: current portion of long-term debt</t>
  </si>
  <si>
    <t>Long-term debt, net of current portion</t>
  </si>
  <si>
    <t>Operating lease liabilities, noncurrent</t>
  </si>
  <si>
    <t>Other liabilities, noncurrent</t>
  </si>
  <si>
    <t>Total liabilities</t>
  </si>
  <si>
    <t>Redeemable convertible preferred stock</t>
  </si>
  <si>
    <t>Accumulated other comprehensive income (loss)</t>
  </si>
  <si>
    <t>Retained earnings (accumulated deficit)</t>
  </si>
  <si>
    <t>ABNB</t>
  </si>
  <si>
    <t>Price as of 10.26.23</t>
  </si>
  <si>
    <t>2027E</t>
  </si>
  <si>
    <t>-</t>
  </si>
  <si>
    <t>Net income (loss)</t>
  </si>
  <si>
    <t>Depreciation &amp; amortization</t>
  </si>
  <si>
    <t>Bad debt expense</t>
  </si>
  <si>
    <t>Impairment of investments</t>
  </si>
  <si>
    <t>Loss (gain) on investments, net</t>
  </si>
  <si>
    <t>Change in fair value of warrant liability</t>
  </si>
  <si>
    <t>Foreign exchange loss (gain)</t>
  </si>
  <si>
    <t>Impairment of long-lived assets</t>
  </si>
  <si>
    <t>Loss (gain) from extinguishment of debt</t>
  </si>
  <si>
    <t>Amortization of debt discounts &amp; debt issuance costs</t>
  </si>
  <si>
    <t>Amortization (accretion) of premium (discount) on marketable securities, net</t>
  </si>
  <si>
    <t>Noncash interest expense (income), net</t>
  </si>
  <si>
    <t>Other adjustments, net</t>
  </si>
  <si>
    <t>Prepaids &amp; other assets</t>
  </si>
  <si>
    <t>Accrued expenses &amp; other liabilities</t>
  </si>
  <si>
    <t>Operating lease liabilities</t>
  </si>
  <si>
    <t>Net cash flows from operating activities</t>
  </si>
  <si>
    <t>Purchases of property &amp; equipment</t>
  </si>
  <si>
    <t>Purchases of marketable securities</t>
  </si>
  <si>
    <t>Sales of marketable securities</t>
  </si>
  <si>
    <t>Maturities of marketable securities</t>
  </si>
  <si>
    <t>Payments for equity investments in privately-held companies</t>
  </si>
  <si>
    <t>Acquisitions, net of cash acquired</t>
  </si>
  <si>
    <t>Other investing activities, net</t>
  </si>
  <si>
    <t>Net cash flows from investing activities</t>
  </si>
  <si>
    <t>Proceeds from issuance of common stock upon initial public offering, net of underwriting discounts &amp; offering costs</t>
  </si>
  <si>
    <t>Proceeds from exercise of stock options</t>
  </si>
  <si>
    <t>Proceeds from the issuance of common stock under employee stock purchase plan</t>
  </si>
  <si>
    <t>Principal repayment of long-term debt</t>
  </si>
  <si>
    <t>Prepayment penalty on long-term debt</t>
  </si>
  <si>
    <t>Proceeds from issuance of long-term debt &amp; warrants, net of issuance costs</t>
  </si>
  <si>
    <t>Proceeds from issuance of convertible senior notes, net of issuance costs</t>
  </si>
  <si>
    <t>Purchases of capped calls related to convertible senior notes</t>
  </si>
  <si>
    <t>Change in funds payable &amp; amounts payable to customers</t>
  </si>
  <si>
    <t>Proceeds from issuance of redeemable convertible preferred stock, net of issuance costs</t>
  </si>
  <si>
    <t>Proceeds from tenant improvement allowance under build-to-suit leases</t>
  </si>
  <si>
    <t>Other financing activities, net</t>
  </si>
  <si>
    <t>Net cash flows from financing activities</t>
  </si>
  <si>
    <t>Effect of exchange rate changes on cash, cash equivalents, &amp; restricted cash</t>
  </si>
  <si>
    <t>Net increase (decrease) in cash, cash equivalents &amp; restricted cash</t>
  </si>
  <si>
    <t>Cash, cash equivalents &amp; restricted cash, beginning of year</t>
  </si>
  <si>
    <t>Cash, cash equivalents &amp; restricted cash, end of year</t>
  </si>
  <si>
    <t>Cash paid for income taxes, net of refunds</t>
  </si>
  <si>
    <t>Cash paid for interest</t>
  </si>
  <si>
    <t>2022A</t>
  </si>
  <si>
    <t>Goodwill &amp; intangible assets, net</t>
  </si>
  <si>
    <t>(Gain) loss on warrants, net</t>
  </si>
  <si>
    <t>Sales &amp; maturities of short-term investments</t>
  </si>
  <si>
    <t>Q1 23</t>
  </si>
  <si>
    <t>Q2 23</t>
  </si>
  <si>
    <t>Q4 23E</t>
  </si>
  <si>
    <t>Q3 23E</t>
  </si>
  <si>
    <t>Operations &amp; Support</t>
  </si>
  <si>
    <t>Nights and Experiences Booked (Millions)</t>
  </si>
  <si>
    <t>ARNEB</t>
  </si>
  <si>
    <t>TOTALS</t>
  </si>
  <si>
    <t>Q4 22</t>
  </si>
  <si>
    <t>Consensus as of 10.26.23</t>
  </si>
  <si>
    <t>TOTAL STOCKHOLDER'S EQUITY</t>
  </si>
  <si>
    <t>Short term debt</t>
  </si>
  <si>
    <t>2027 EPS</t>
  </si>
  <si>
    <t>AirBNB</t>
  </si>
  <si>
    <t>AVERAGE BOOKINGS</t>
  </si>
  <si>
    <t>Estimates</t>
  </si>
  <si>
    <t>2024EPS</t>
  </si>
  <si>
    <t>24 EPS</t>
  </si>
  <si>
    <t>25 EPS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</si>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</sst>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#,##0.0%_);\(#,##0.0%\)"/>
    <numFmt numFmtId="165" formatCode="m/d/yy;@"/>
    <numFmt numFmtId="166" formatCode="#,##0.0\x"/>
    <numFmt numFmtId="167" formatCode="&quot;$&quot;#,##0.0_);\(&quot;$&quot;#,##0.0\)"/>
    <numFmt numFmtId="168" formatCode="&quot;$&quot;#,##0.000_);\(&quot;$&quot;#,##0.000\)"/>
    <numFmt numFmtId="169" formatCode="#,##0.000_);\(#,##0.000\)"/>
    <numFmt numFmtId="170" formatCode="#,##0.0_);\(#,##0.0\)"/>
    <numFmt numFmtId="171" formatCode="0000\A"/>
    <numFmt numFmtId="172" formatCode="0000\E"/>
    <numFmt numFmtId="173" formatCode="#,##0.0%;\(#,##0.0%\);&quot;0.0%&quot;;@"/>
    <numFmt numFmtId="174" formatCode="&quot;$&quot;#,##0.000;\(&quot;$&quot;#,##0.000\);&quot;$&quot;0.000"/>
    <numFmt numFmtId="175" formatCode="0.0\x;\(0.0\x\);&quot;–&quot;"/>
    <numFmt numFmtId="176" formatCode="0.00\x_);\(0.00\x\)_)"/>
    <numFmt numFmtId="177" formatCode="0.0%;\(0.0%\)"/>
    <numFmt numFmtId="178" formatCode="&quot;&quot;#,##0.0_);\(&quot;&quot;#,##0.0\)"/>
    <numFmt numFmtId="179" formatCode="#,##0%_);\(#,##0%\)"/>
    <numFmt numFmtId="180" formatCode="_(&quot;$&quot;* #,##0_);_(&quot;$&quot;* \(#,##0\);_(&quot;$&quot;* &quot;-&quot;??_);_(@_)"/>
    <numFmt numFmtId="181" formatCode="&quot;$&quot;#,##0.00"/>
    <numFmt numFmtId="182" formatCode="&quot;$&quot;#,##0"/>
    <numFmt numFmtId="183" formatCode="#,##0.000%_);\(#,##0.000%\)"/>
  </numFmts>
  <fonts count="3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8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Helv"/>
    </font>
    <font>
      <b/>
      <u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FFFF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7CE"/>
      </patternFill>
    </fill>
    <fill>
      <patternFill patternType="solid">
        <fgColor rgb="FFFFFF99"/>
        <bgColor rgb="FF000000"/>
      </patternFill>
    </fill>
    <fill>
      <patternFill patternType="solid">
        <fgColor rgb="FFC6EFCE"/>
      </patternFill>
    </fill>
    <fill>
      <patternFill patternType="solid">
        <fgColor rgb="FF003366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C0C0C0"/>
        <bgColor rgb="FF000000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8" fillId="0" borderId="0"/>
    <xf numFmtId="0" fontId="20" fillId="7" borderId="0" applyNumberFormat="0" applyBorder="0" applyAlignment="0" applyProtection="0"/>
    <xf numFmtId="0" fontId="22" fillId="9" borderId="0" applyNumberFormat="0" applyBorder="0" applyAlignment="0" applyProtection="0"/>
    <xf numFmtId="9" fontId="21" fillId="0" borderId="0" applyFont="0" applyFill="0" applyBorder="0" applyAlignment="0" applyProtection="0"/>
    <xf numFmtId="0" fontId="23" fillId="0" borderId="0"/>
  </cellStyleXfs>
  <cellXfs count="413">
    <xf numFmtId="0" fontId="0" fillId="0" borderId="0" xfId="0"/>
    <xf numFmtId="0" fontId="1" fillId="4" borderId="0" xfId="0" applyFont="1" applyFill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2" fillId="0" borderId="3" xfId="0" applyFont="1" applyBorder="1"/>
    <xf numFmtId="0" fontId="2" fillId="3" borderId="5" xfId="0" applyFont="1" applyFill="1" applyBorder="1" applyAlignment="1">
      <alignment horizontal="centerContinuous"/>
    </xf>
    <xf numFmtId="0" fontId="2" fillId="3" borderId="6" xfId="0" applyFont="1" applyFill="1" applyBorder="1" applyAlignment="1">
      <alignment horizontal="centerContinuous"/>
    </xf>
    <xf numFmtId="0" fontId="2" fillId="2" borderId="0" xfId="0" applyFont="1" applyFill="1"/>
    <xf numFmtId="0" fontId="1" fillId="5" borderId="0" xfId="0" applyFont="1" applyFill="1" applyAlignment="1">
      <alignment horizontal="centerContinuous"/>
    </xf>
    <xf numFmtId="0" fontId="0" fillId="0" borderId="0" xfId="0" applyAlignment="1">
      <alignment horizontal="left" indent="1"/>
    </xf>
    <xf numFmtId="0" fontId="1" fillId="5" borderId="0" xfId="0" applyFont="1" applyFill="1" applyAlignment="1">
      <alignment horizontal="center"/>
    </xf>
    <xf numFmtId="0" fontId="0" fillId="3" borderId="0" xfId="0" applyFill="1"/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2" fillId="6" borderId="10" xfId="0" applyFont="1" applyFill="1" applyBorder="1"/>
    <xf numFmtId="0" fontId="2" fillId="0" borderId="14" xfId="0" applyFont="1" applyBorder="1"/>
    <xf numFmtId="167" fontId="2" fillId="0" borderId="2" xfId="0" applyNumberFormat="1" applyFont="1" applyBorder="1"/>
    <xf numFmtId="167" fontId="2" fillId="0" borderId="4" xfId="0" applyNumberFormat="1" applyFont="1" applyBorder="1"/>
    <xf numFmtId="164" fontId="0" fillId="0" borderId="0" xfId="0" applyNumberFormat="1"/>
    <xf numFmtId="0" fontId="2" fillId="6" borderId="8" xfId="0" applyFont="1" applyFill="1" applyBorder="1"/>
    <xf numFmtId="166" fontId="2" fillId="6" borderId="13" xfId="0" applyNumberFormat="1" applyFont="1" applyFill="1" applyBorder="1"/>
    <xf numFmtId="168" fontId="2" fillId="2" borderId="0" xfId="0" applyNumberFormat="1" applyFont="1" applyFill="1"/>
    <xf numFmtId="168" fontId="3" fillId="2" borderId="0" xfId="0" applyNumberFormat="1" applyFont="1" applyFill="1"/>
    <xf numFmtId="169" fontId="3" fillId="2" borderId="0" xfId="0" applyNumberFormat="1" applyFont="1" applyFill="1"/>
    <xf numFmtId="168" fontId="3" fillId="0" borderId="0" xfId="0" applyNumberFormat="1" applyFont="1"/>
    <xf numFmtId="168" fontId="2" fillId="0" borderId="0" xfId="0" applyNumberFormat="1" applyFont="1"/>
    <xf numFmtId="0" fontId="8" fillId="0" borderId="0" xfId="0" applyFont="1"/>
    <xf numFmtId="37" fontId="8" fillId="0" borderId="0" xfId="0" applyNumberFormat="1" applyFont="1" applyAlignment="1">
      <alignment horizontal="center"/>
    </xf>
    <xf numFmtId="0" fontId="2" fillId="3" borderId="0" xfId="0" applyFont="1" applyFill="1"/>
    <xf numFmtId="164" fontId="2" fillId="0" borderId="0" xfId="0" applyNumberFormat="1" applyFont="1"/>
    <xf numFmtId="0" fontId="10" fillId="0" borderId="0" xfId="0" applyFont="1"/>
    <xf numFmtId="0" fontId="3" fillId="0" borderId="0" xfId="0" applyFont="1"/>
    <xf numFmtId="0" fontId="6" fillId="0" borderId="0" xfId="0" applyFont="1"/>
    <xf numFmtId="0" fontId="4" fillId="0" borderId="0" xfId="0" applyFont="1"/>
    <xf numFmtId="7" fontId="2" fillId="0" borderId="0" xfId="0" applyNumberFormat="1" applyFont="1"/>
    <xf numFmtId="7" fontId="0" fillId="0" borderId="0" xfId="0" applyNumberFormat="1"/>
    <xf numFmtId="0" fontId="0" fillId="6" borderId="0" xfId="0" applyFill="1"/>
    <xf numFmtId="166" fontId="0" fillId="6" borderId="0" xfId="0" applyNumberFormat="1" applyFill="1"/>
    <xf numFmtId="5" fontId="0" fillId="0" borderId="0" xfId="0" applyNumberFormat="1"/>
    <xf numFmtId="7" fontId="6" fillId="0" borderId="0" xfId="0" applyNumberFormat="1" applyFont="1" applyAlignment="1">
      <alignment horizontal="center"/>
    </xf>
    <xf numFmtId="7" fontId="6" fillId="2" borderId="0" xfId="0" applyNumberFormat="1" applyFont="1" applyFill="1" applyAlignment="1">
      <alignment horizontal="center"/>
    </xf>
    <xf numFmtId="7" fontId="6" fillId="0" borderId="0" xfId="0" applyNumberFormat="1" applyFont="1"/>
    <xf numFmtId="7" fontId="2" fillId="6" borderId="11" xfId="0" applyNumberFormat="1" applyFont="1" applyFill="1" applyBorder="1"/>
    <xf numFmtId="0" fontId="2" fillId="6" borderId="12" xfId="0" applyFont="1" applyFill="1" applyBorder="1" applyAlignment="1">
      <alignment horizontal="left" indent="1"/>
    </xf>
    <xf numFmtId="164" fontId="2" fillId="6" borderId="13" xfId="0" applyNumberFormat="1" applyFont="1" applyFill="1" applyBorder="1"/>
    <xf numFmtId="7" fontId="8" fillId="0" borderId="0" xfId="0" applyNumberFormat="1" applyFont="1"/>
    <xf numFmtId="7" fontId="4" fillId="0" borderId="0" xfId="0" applyNumberFormat="1" applyFont="1"/>
    <xf numFmtId="164" fontId="6" fillId="0" borderId="0" xfId="0" applyNumberFormat="1" applyFont="1"/>
    <xf numFmtId="166" fontId="4" fillId="6" borderId="0" xfId="0" applyNumberFormat="1" applyFont="1" applyFill="1"/>
    <xf numFmtId="170" fontId="2" fillId="3" borderId="0" xfId="0" applyNumberFormat="1" applyFont="1" applyFill="1" applyAlignment="1">
      <alignment horizontal="centerContinuous"/>
    </xf>
    <xf numFmtId="170" fontId="0" fillId="3" borderId="0" xfId="0" applyNumberFormat="1" applyFill="1" applyAlignment="1">
      <alignment horizontal="centerContinuous"/>
    </xf>
    <xf numFmtId="7" fontId="4" fillId="6" borderId="0" xfId="0" applyNumberFormat="1" applyFont="1" applyFill="1" applyAlignment="1">
      <alignment horizontal="right"/>
    </xf>
    <xf numFmtId="164" fontId="3" fillId="0" borderId="0" xfId="0" applyNumberFormat="1" applyFont="1"/>
    <xf numFmtId="164" fontId="2" fillId="6" borderId="9" xfId="0" applyNumberFormat="1" applyFont="1" applyFill="1" applyBorder="1"/>
    <xf numFmtId="170" fontId="13" fillId="4" borderId="0" xfId="0" applyNumberFormat="1" applyFont="1" applyFill="1" applyAlignment="1">
      <alignment horizontal="centerContinuous"/>
    </xf>
    <xf numFmtId="170" fontId="14" fillId="4" borderId="0" xfId="0" applyNumberFormat="1" applyFont="1" applyFill="1" applyAlignment="1">
      <alignment horizontal="centerContinuous"/>
    </xf>
    <xf numFmtId="0" fontId="4" fillId="6" borderId="0" xfId="0" applyFont="1" applyFill="1" applyAlignment="1">
      <alignment horizontal="right"/>
    </xf>
    <xf numFmtId="14" fontId="4" fillId="6" borderId="0" xfId="0" applyNumberFormat="1" applyFon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4" borderId="0" xfId="0" applyFont="1" applyFill="1" applyAlignment="1">
      <alignment horizontal="centerContinuous"/>
    </xf>
    <xf numFmtId="171" fontId="2" fillId="3" borderId="0" xfId="0" applyNumberFormat="1" applyFont="1" applyFill="1" applyAlignment="1">
      <alignment horizontal="center"/>
    </xf>
    <xf numFmtId="172" fontId="2" fillId="3" borderId="0" xfId="0" applyNumberFormat="1" applyFont="1" applyFill="1" applyAlignment="1">
      <alignment horizontal="center"/>
    </xf>
    <xf numFmtId="0" fontId="15" fillId="0" borderId="0" xfId="0" applyFont="1"/>
    <xf numFmtId="0" fontId="16" fillId="3" borderId="0" xfId="0" applyFont="1" applyFill="1" applyAlignment="1">
      <alignment horizontal="centerContinuous"/>
    </xf>
    <xf numFmtId="166" fontId="4" fillId="6" borderId="0" xfId="0" applyNumberFormat="1" applyFont="1" applyFill="1" applyAlignment="1">
      <alignment horizontal="right"/>
    </xf>
    <xf numFmtId="7" fontId="5" fillId="0" borderId="0" xfId="0" applyNumberFormat="1" applyFont="1" applyAlignment="1">
      <alignment horizontal="right"/>
    </xf>
    <xf numFmtId="164" fontId="5" fillId="6" borderId="0" xfId="0" applyNumberFormat="1" applyFont="1" applyFill="1" applyAlignment="1">
      <alignment horizontal="right"/>
    </xf>
    <xf numFmtId="7" fontId="9" fillId="6" borderId="0" xfId="0" applyNumberFormat="1" applyFont="1" applyFill="1" applyAlignment="1">
      <alignment horizontal="right"/>
    </xf>
    <xf numFmtId="0" fontId="13" fillId="4" borderId="0" xfId="0" applyFont="1" applyFill="1"/>
    <xf numFmtId="166" fontId="3" fillId="0" borderId="0" xfId="0" applyNumberFormat="1" applyFont="1"/>
    <xf numFmtId="166" fontId="3" fillId="6" borderId="0" xfId="0" applyNumberFormat="1" applyFont="1" applyFill="1"/>
    <xf numFmtId="0" fontId="2" fillId="6" borderId="10" xfId="0" applyFont="1" applyFill="1" applyBorder="1" applyAlignment="1">
      <alignment horizontal="left"/>
    </xf>
    <xf numFmtId="0" fontId="0" fillId="6" borderId="12" xfId="0" applyFill="1" applyBorder="1" applyAlignment="1">
      <alignment horizontal="left" indent="1"/>
    </xf>
    <xf numFmtId="173" fontId="0" fillId="6" borderId="19" xfId="0" applyNumberFormat="1" applyFill="1" applyBorder="1" applyAlignment="1">
      <alignment horizontal="right"/>
    </xf>
    <xf numFmtId="0" fontId="2" fillId="0" borderId="10" xfId="0" applyFont="1" applyBorder="1" applyAlignment="1">
      <alignment horizontal="left"/>
    </xf>
    <xf numFmtId="166" fontId="5" fillId="0" borderId="18" xfId="0" applyNumberFormat="1" applyFont="1" applyBorder="1"/>
    <xf numFmtId="166" fontId="5" fillId="6" borderId="18" xfId="0" applyNumberFormat="1" applyFont="1" applyFill="1" applyBorder="1"/>
    <xf numFmtId="166" fontId="5" fillId="6" borderId="11" xfId="0" applyNumberFormat="1" applyFont="1" applyFill="1" applyBorder="1"/>
    <xf numFmtId="0" fontId="2" fillId="0" borderId="15" xfId="0" applyFont="1" applyBorder="1" applyAlignment="1">
      <alignment horizontal="left"/>
    </xf>
    <xf numFmtId="166" fontId="5" fillId="6" borderId="16" xfId="0" applyNumberFormat="1" applyFont="1" applyFill="1" applyBorder="1"/>
    <xf numFmtId="0" fontId="2" fillId="0" borderId="12" xfId="0" applyFont="1" applyBorder="1" applyAlignment="1">
      <alignment horizontal="left"/>
    </xf>
    <xf numFmtId="166" fontId="5" fillId="0" borderId="19" xfId="0" applyNumberFormat="1" applyFont="1" applyBorder="1"/>
    <xf numFmtId="166" fontId="5" fillId="6" borderId="19" xfId="0" applyNumberFormat="1" applyFont="1" applyFill="1" applyBorder="1"/>
    <xf numFmtId="167" fontId="3" fillId="6" borderId="0" xfId="0" applyNumberFormat="1" applyFont="1" applyFill="1"/>
    <xf numFmtId="0" fontId="16" fillId="3" borderId="0" xfId="0" applyFont="1" applyFill="1"/>
    <xf numFmtId="174" fontId="0" fillId="6" borderId="0" xfId="0" applyNumberFormat="1" applyFill="1" applyAlignment="1">
      <alignment horizontal="right"/>
    </xf>
    <xf numFmtId="0" fontId="4" fillId="0" borderId="0" xfId="0" applyFont="1" applyAlignment="1">
      <alignment horizontal="right"/>
    </xf>
    <xf numFmtId="0" fontId="16" fillId="3" borderId="0" xfId="0" applyFont="1" applyFill="1" applyAlignment="1">
      <alignment horizontal="center"/>
    </xf>
    <xf numFmtId="164" fontId="8" fillId="0" borderId="0" xfId="0" applyNumberFormat="1" applyFont="1"/>
    <xf numFmtId="164" fontId="8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7" fontId="9" fillId="6" borderId="18" xfId="0" applyNumberFormat="1" applyFont="1" applyFill="1" applyBorder="1" applyAlignment="1">
      <alignment horizontal="right"/>
    </xf>
    <xf numFmtId="7" fontId="9" fillId="6" borderId="11" xfId="0" applyNumberFormat="1" applyFont="1" applyFill="1" applyBorder="1" applyAlignment="1">
      <alignment horizontal="right"/>
    </xf>
    <xf numFmtId="0" fontId="2" fillId="6" borderId="7" xfId="0" applyFont="1" applyFill="1" applyBorder="1"/>
    <xf numFmtId="164" fontId="2" fillId="6" borderId="7" xfId="0" applyNumberFormat="1" applyFont="1" applyFill="1" applyBorder="1"/>
    <xf numFmtId="0" fontId="2" fillId="6" borderId="10" xfId="0" applyFont="1" applyFill="1" applyBorder="1" applyAlignment="1">
      <alignment horizontal="left" indent="1"/>
    </xf>
    <xf numFmtId="164" fontId="2" fillId="6" borderId="11" xfId="0" applyNumberFormat="1" applyFont="1" applyFill="1" applyBorder="1"/>
    <xf numFmtId="0" fontId="2" fillId="6" borderId="15" xfId="0" applyFont="1" applyFill="1" applyBorder="1" applyAlignment="1">
      <alignment horizontal="left" indent="1"/>
    </xf>
    <xf numFmtId="166" fontId="2" fillId="6" borderId="16" xfId="0" applyNumberFormat="1" applyFont="1" applyFill="1" applyBorder="1"/>
    <xf numFmtId="0" fontId="17" fillId="0" borderId="0" xfId="0" applyFont="1"/>
    <xf numFmtId="0" fontId="4" fillId="3" borderId="0" xfId="0" applyFont="1" applyFill="1" applyAlignment="1">
      <alignment horizontal="left"/>
    </xf>
    <xf numFmtId="7" fontId="15" fillId="0" borderId="0" xfId="0" applyNumberFormat="1" applyFont="1"/>
    <xf numFmtId="164" fontId="15" fillId="0" borderId="0" xfId="0" applyNumberFormat="1" applyFont="1"/>
    <xf numFmtId="164" fontId="9" fillId="0" borderId="0" xfId="0" applyNumberFormat="1" applyFont="1"/>
    <xf numFmtId="0" fontId="5" fillId="3" borderId="0" xfId="0" applyFont="1" applyFill="1"/>
    <xf numFmtId="5" fontId="6" fillId="0" borderId="0" xfId="0" applyNumberFormat="1" applyFont="1"/>
    <xf numFmtId="7" fontId="9" fillId="0" borderId="0" xfId="0" applyNumberFormat="1" applyFont="1"/>
    <xf numFmtId="0" fontId="14" fillId="4" borderId="0" xfId="0" applyFont="1" applyFill="1" applyAlignment="1">
      <alignment horizontal="centerContinuous"/>
    </xf>
    <xf numFmtId="167" fontId="4" fillId="0" borderId="0" xfId="0" applyNumberFormat="1" applyFont="1"/>
    <xf numFmtId="7" fontId="9" fillId="6" borderId="0" xfId="0" applyNumberFormat="1" applyFont="1" applyFill="1"/>
    <xf numFmtId="14" fontId="7" fillId="0" borderId="0" xfId="0" applyNumberFormat="1" applyFont="1" applyAlignment="1">
      <alignment horizontal="left"/>
    </xf>
    <xf numFmtId="164" fontId="2" fillId="6" borderId="16" xfId="0" applyNumberFormat="1" applyFont="1" applyFill="1" applyBorder="1"/>
    <xf numFmtId="0" fontId="2" fillId="3" borderId="0" xfId="0" applyFont="1" applyFill="1" applyAlignment="1">
      <alignment horizontal="center"/>
    </xf>
    <xf numFmtId="37" fontId="8" fillId="2" borderId="0" xfId="0" applyNumberFormat="1" applyFont="1" applyFill="1" applyAlignment="1">
      <alignment horizontal="center"/>
    </xf>
    <xf numFmtId="173" fontId="8" fillId="6" borderId="19" xfId="0" applyNumberFormat="1" applyFont="1" applyFill="1" applyBorder="1" applyAlignment="1">
      <alignment horizontal="right"/>
    </xf>
    <xf numFmtId="7" fontId="5" fillId="0" borderId="0" xfId="0" applyNumberFormat="1" applyFont="1"/>
    <xf numFmtId="167" fontId="6" fillId="0" borderId="2" xfId="0" applyNumberFormat="1" applyFont="1" applyBorder="1"/>
    <xf numFmtId="0" fontId="16" fillId="0" borderId="8" xfId="0" applyFont="1" applyBorder="1" applyAlignment="1">
      <alignment horizontal="center"/>
    </xf>
    <xf numFmtId="37" fontId="15" fillId="0" borderId="0" xfId="0" applyNumberFormat="1" applyFont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37" fontId="15" fillId="2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175" fontId="3" fillId="0" borderId="0" xfId="0" applyNumberFormat="1" applyFont="1" applyAlignment="1">
      <alignment horizontal="right"/>
    </xf>
    <xf numFmtId="175" fontId="3" fillId="8" borderId="0" xfId="0" applyNumberFormat="1" applyFont="1" applyFill="1" applyAlignment="1">
      <alignment horizontal="right"/>
    </xf>
    <xf numFmtId="175" fontId="6" fillId="6" borderId="0" xfId="0" applyNumberFormat="1" applyFont="1" applyFill="1" applyAlignment="1">
      <alignment horizontal="right"/>
    </xf>
    <xf numFmtId="175" fontId="6" fillId="0" borderId="0" xfId="0" applyNumberFormat="1" applyFont="1" applyAlignment="1">
      <alignment horizontal="right"/>
    </xf>
    <xf numFmtId="175" fontId="0" fillId="0" borderId="0" xfId="0" applyNumberFormat="1"/>
    <xf numFmtId="164" fontId="5" fillId="0" borderId="0" xfId="0" applyNumberFormat="1" applyFont="1"/>
    <xf numFmtId="168" fontId="15" fillId="0" borderId="0" xfId="0" applyNumberFormat="1" applyFont="1"/>
    <xf numFmtId="164" fontId="8" fillId="2" borderId="0" xfId="0" applyNumberFormat="1" applyFont="1" applyFill="1"/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5" fontId="3" fillId="0" borderId="0" xfId="0" applyNumberFormat="1" applyFont="1"/>
    <xf numFmtId="37" fontId="8" fillId="0" borderId="0" xfId="0" applyNumberFormat="1" applyFont="1" applyAlignment="1">
      <alignment horizontal="right"/>
    </xf>
    <xf numFmtId="164" fontId="5" fillId="2" borderId="0" xfId="0" applyNumberFormat="1" applyFont="1" applyFill="1"/>
    <xf numFmtId="5" fontId="3" fillId="2" borderId="0" xfId="0" applyNumberFormat="1" applyFont="1" applyFill="1"/>
    <xf numFmtId="164" fontId="9" fillId="0" borderId="0" xfId="0" applyNumberFormat="1" applyFont="1" applyAlignment="1">
      <alignment horizontal="right"/>
    </xf>
    <xf numFmtId="168" fontId="8" fillId="2" borderId="0" xfId="0" applyNumberFormat="1" applyFont="1" applyFill="1"/>
    <xf numFmtId="0" fontId="0" fillId="2" borderId="0" xfId="0" applyFill="1"/>
    <xf numFmtId="165" fontId="0" fillId="0" borderId="0" xfId="0" applyNumberFormat="1"/>
    <xf numFmtId="165" fontId="0" fillId="0" borderId="0" xfId="0" applyNumberFormat="1" applyAlignment="1">
      <alignment horizontal="left" indent="1"/>
    </xf>
    <xf numFmtId="0" fontId="0" fillId="4" borderId="0" xfId="0" applyFill="1"/>
    <xf numFmtId="164" fontId="0" fillId="2" borderId="0" xfId="0" applyNumberFormat="1" applyFill="1"/>
    <xf numFmtId="0" fontId="8" fillId="0" borderId="0" xfId="0" applyFont="1" applyAlignment="1">
      <alignment horizontal="left"/>
    </xf>
    <xf numFmtId="168" fontId="6" fillId="2" borderId="0" xfId="0" applyNumberFormat="1" applyFont="1" applyFill="1"/>
    <xf numFmtId="176" fontId="2" fillId="0" borderId="0" xfId="0" applyNumberFormat="1" applyFont="1"/>
    <xf numFmtId="176" fontId="2" fillId="6" borderId="7" xfId="0" applyNumberFormat="1" applyFont="1" applyFill="1" applyBorder="1"/>
    <xf numFmtId="177" fontId="2" fillId="0" borderId="0" xfId="0" applyNumberFormat="1" applyFont="1"/>
    <xf numFmtId="177" fontId="2" fillId="6" borderId="7" xfId="0" applyNumberFormat="1" applyFont="1" applyFill="1" applyBorder="1"/>
    <xf numFmtId="0" fontId="0" fillId="0" borderId="0" xfId="0" applyAlignment="1">
      <alignment horizontal="left"/>
    </xf>
    <xf numFmtId="168" fontId="0" fillId="0" borderId="0" xfId="0" applyNumberFormat="1"/>
    <xf numFmtId="168" fontId="0" fillId="0" borderId="0" xfId="0" applyNumberFormat="1" applyAlignment="1">
      <alignment horizontal="left" indent="1"/>
    </xf>
    <xf numFmtId="177" fontId="0" fillId="0" borderId="0" xfId="0" applyNumberFormat="1"/>
    <xf numFmtId="177" fontId="0" fillId="0" borderId="0" xfId="0" applyNumberFormat="1" applyAlignment="1">
      <alignment horizontal="left" indent="1"/>
    </xf>
    <xf numFmtId="177" fontId="0" fillId="2" borderId="0" xfId="0" applyNumberFormat="1" applyFill="1"/>
    <xf numFmtId="164" fontId="0" fillId="0" borderId="0" xfId="0" applyNumberFormat="1" applyAlignment="1">
      <alignment horizontal="left" indent="1"/>
    </xf>
    <xf numFmtId="0" fontId="8" fillId="0" borderId="0" xfId="5" applyFont="1" applyAlignment="1">
      <alignment horizontal="left"/>
    </xf>
    <xf numFmtId="0" fontId="5" fillId="0" borderId="0" xfId="5" applyFont="1" applyAlignment="1">
      <alignment horizontal="left"/>
    </xf>
    <xf numFmtId="168" fontId="2" fillId="0" borderId="0" xfId="0" applyNumberFormat="1" applyFont="1" applyAlignment="1">
      <alignment horizontal="left"/>
    </xf>
    <xf numFmtId="168" fontId="2" fillId="6" borderId="7" xfId="0" applyNumberFormat="1" applyFont="1" applyFill="1" applyBorder="1"/>
    <xf numFmtId="164" fontId="3" fillId="6" borderId="0" xfId="0" applyNumberFormat="1" applyFont="1" applyFill="1"/>
    <xf numFmtId="177" fontId="8" fillId="2" borderId="0" xfId="0" applyNumberFormat="1" applyFont="1" applyFill="1"/>
    <xf numFmtId="164" fontId="3" fillId="6" borderId="0" xfId="2" applyNumberFormat="1" applyFont="1" applyFill="1"/>
    <xf numFmtId="164" fontId="0" fillId="11" borderId="0" xfId="0" applyNumberFormat="1" applyFill="1"/>
    <xf numFmtId="167" fontId="4" fillId="2" borderId="0" xfId="0" applyNumberFormat="1" applyFont="1" applyFill="1"/>
    <xf numFmtId="167" fontId="16" fillId="0" borderId="0" xfId="0" applyNumberFormat="1" applyFont="1"/>
    <xf numFmtId="167" fontId="2" fillId="0" borderId="0" xfId="0" applyNumberFormat="1" applyFont="1"/>
    <xf numFmtId="167" fontId="2" fillId="2" borderId="0" xfId="0" applyNumberFormat="1" applyFont="1" applyFill="1"/>
    <xf numFmtId="167" fontId="3" fillId="2" borderId="0" xfId="0" applyNumberFormat="1" applyFont="1" applyFill="1"/>
    <xf numFmtId="167" fontId="0" fillId="2" borderId="0" xfId="0" applyNumberFormat="1" applyFill="1"/>
    <xf numFmtId="167" fontId="0" fillId="11" borderId="0" xfId="0" applyNumberFormat="1" applyFill="1"/>
    <xf numFmtId="167" fontId="8" fillId="2" borderId="0" xfId="0" applyNumberFormat="1" applyFont="1" applyFill="1"/>
    <xf numFmtId="167" fontId="16" fillId="2" borderId="0" xfId="0" applyNumberFormat="1" applyFont="1" applyFill="1"/>
    <xf numFmtId="167" fontId="8" fillId="11" borderId="0" xfId="0" applyNumberFormat="1" applyFont="1" applyFill="1"/>
    <xf numFmtId="167" fontId="5" fillId="2" borderId="0" xfId="0" applyNumberFormat="1" applyFont="1" applyFill="1"/>
    <xf numFmtId="167" fontId="5" fillId="0" borderId="0" xfId="0" applyNumberFormat="1" applyFont="1"/>
    <xf numFmtId="167" fontId="6" fillId="2" borderId="0" xfId="0" applyNumberFormat="1" applyFont="1" applyFill="1"/>
    <xf numFmtId="167" fontId="6" fillId="0" borderId="0" xfId="0" applyNumberFormat="1" applyFont="1"/>
    <xf numFmtId="167" fontId="2" fillId="0" borderId="0" xfId="0" applyNumberFormat="1" applyFont="1" applyAlignment="1">
      <alignment horizontal="right"/>
    </xf>
    <xf numFmtId="167" fontId="9" fillId="2" borderId="0" xfId="0" applyNumberFormat="1" applyFont="1" applyFill="1"/>
    <xf numFmtId="167" fontId="9" fillId="0" borderId="0" xfId="0" applyNumberFormat="1" applyFont="1"/>
    <xf numFmtId="167" fontId="3" fillId="6" borderId="0" xfId="0" applyNumberFormat="1" applyFont="1" applyFill="1" applyAlignment="1">
      <alignment horizontal="right"/>
    </xf>
    <xf numFmtId="167" fontId="16" fillId="11" borderId="0" xfId="0" applyNumberFormat="1" applyFont="1" applyFill="1"/>
    <xf numFmtId="167" fontId="2" fillId="6" borderId="7" xfId="0" applyNumberFormat="1" applyFont="1" applyFill="1" applyBorder="1"/>
    <xf numFmtId="167" fontId="5" fillId="6" borderId="7" xfId="0" applyNumberFormat="1" applyFont="1" applyFill="1" applyBorder="1"/>
    <xf numFmtId="7" fontId="2" fillId="6" borderId="7" xfId="0" applyNumberFormat="1" applyFont="1" applyFill="1" applyBorder="1"/>
    <xf numFmtId="7" fontId="5" fillId="6" borderId="7" xfId="0" applyNumberFormat="1" applyFont="1" applyFill="1" applyBorder="1"/>
    <xf numFmtId="170" fontId="4" fillId="2" borderId="0" xfId="0" applyNumberFormat="1" applyFont="1" applyFill="1"/>
    <xf numFmtId="170" fontId="2" fillId="2" borderId="0" xfId="0" applyNumberFormat="1" applyFont="1" applyFill="1"/>
    <xf numFmtId="7" fontId="3" fillId="0" borderId="0" xfId="0" applyNumberFormat="1" applyFont="1"/>
    <xf numFmtId="7" fontId="3" fillId="2" borderId="0" xfId="0" applyNumberFormat="1" applyFont="1" applyFill="1"/>
    <xf numFmtId="7" fontId="8" fillId="11" borderId="0" xfId="0" applyNumberFormat="1" applyFont="1" applyFill="1"/>
    <xf numFmtId="0" fontId="0" fillId="0" borderId="0" xfId="0" applyAlignment="1">
      <alignment horizontal="left" indent="2"/>
    </xf>
    <xf numFmtId="0" fontId="24" fillId="0" borderId="0" xfId="0" applyFont="1"/>
    <xf numFmtId="7" fontId="4" fillId="6" borderId="2" xfId="0" applyNumberFormat="1" applyFont="1" applyFill="1" applyBorder="1" applyAlignment="1">
      <alignment horizontal="right"/>
    </xf>
    <xf numFmtId="167" fontId="9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8" fontId="0" fillId="0" borderId="0" xfId="0" applyNumberFormat="1" applyAlignment="1">
      <alignment horizontal="left"/>
    </xf>
    <xf numFmtId="0" fontId="0" fillId="11" borderId="0" xfId="0" applyFill="1"/>
    <xf numFmtId="177" fontId="0" fillId="11" borderId="0" xfId="0" applyNumberFormat="1" applyFill="1"/>
    <xf numFmtId="178" fontId="3" fillId="0" borderId="0" xfId="0" applyNumberFormat="1" applyFont="1"/>
    <xf numFmtId="178" fontId="3" fillId="2" borderId="0" xfId="0" applyNumberFormat="1" applyFont="1" applyFill="1"/>
    <xf numFmtId="178" fontId="8" fillId="0" borderId="0" xfId="0" applyNumberFormat="1" applyFont="1"/>
    <xf numFmtId="178" fontId="8" fillId="2" borderId="0" xfId="0" applyNumberFormat="1" applyFont="1" applyFill="1"/>
    <xf numFmtId="178" fontId="3" fillId="6" borderId="0" xfId="0" applyNumberFormat="1" applyFont="1" applyFill="1"/>
    <xf numFmtId="178" fontId="0" fillId="2" borderId="0" xfId="0" applyNumberFormat="1" applyFill="1"/>
    <xf numFmtId="0" fontId="2" fillId="4" borderId="0" xfId="0" applyFont="1" applyFill="1"/>
    <xf numFmtId="164" fontId="21" fillId="0" borderId="0" xfId="3" applyNumberFormat="1" applyFont="1" applyFill="1"/>
    <xf numFmtId="164" fontId="21" fillId="0" borderId="0" xfId="2" applyNumberFormat="1" applyFont="1" applyFill="1"/>
    <xf numFmtId="5" fontId="0" fillId="2" borderId="0" xfId="0" applyNumberFormat="1" applyFill="1"/>
    <xf numFmtId="164" fontId="6" fillId="2" borderId="0" xfId="0" applyNumberFormat="1" applyFont="1" applyFill="1"/>
    <xf numFmtId="168" fontId="15" fillId="2" borderId="0" xfId="0" applyNumberFormat="1" applyFont="1" applyFill="1"/>
    <xf numFmtId="174" fontId="2" fillId="0" borderId="0" xfId="0" applyNumberFormat="1" applyFont="1"/>
    <xf numFmtId="5" fontId="5" fillId="0" borderId="0" xfId="0" applyNumberFormat="1" applyFont="1"/>
    <xf numFmtId="0" fontId="5" fillId="0" borderId="0" xfId="0" applyFont="1" applyAlignment="1">
      <alignment horizontal="left"/>
    </xf>
    <xf numFmtId="177" fontId="3" fillId="6" borderId="0" xfId="4" applyNumberFormat="1" applyFont="1" applyFill="1"/>
    <xf numFmtId="177" fontId="15" fillId="2" borderId="0" xfId="4" applyNumberFormat="1" applyFont="1" applyFill="1"/>
    <xf numFmtId="177" fontId="21" fillId="0" borderId="0" xfId="2" applyNumberFormat="1" applyFont="1" applyFill="1"/>
    <xf numFmtId="177" fontId="21" fillId="0" borderId="0" xfId="3" applyNumberFormat="1" applyFont="1" applyFill="1"/>
    <xf numFmtId="7" fontId="0" fillId="0" borderId="0" xfId="0" applyNumberFormat="1" applyAlignment="1">
      <alignment horizontal="left" indent="1"/>
    </xf>
    <xf numFmtId="7" fontId="0" fillId="11" borderId="0" xfId="0" applyNumberFormat="1" applyFill="1"/>
    <xf numFmtId="5" fontId="2" fillId="0" borderId="0" xfId="0" applyNumberFormat="1" applyFont="1"/>
    <xf numFmtId="5" fontId="8" fillId="0" borderId="0" xfId="0" applyNumberFormat="1" applyFont="1"/>
    <xf numFmtId="164" fontId="25" fillId="9" borderId="0" xfId="3" applyNumberFormat="1" applyFont="1"/>
    <xf numFmtId="0" fontId="0" fillId="12" borderId="0" xfId="0" applyFill="1"/>
    <xf numFmtId="164" fontId="20" fillId="7" borderId="0" xfId="2" applyNumberFormat="1"/>
    <xf numFmtId="164" fontId="26" fillId="7" borderId="0" xfId="2" applyNumberFormat="1" applyFont="1"/>
    <xf numFmtId="167" fontId="15" fillId="2" borderId="0" xfId="0" applyNumberFormat="1" applyFont="1" applyFill="1"/>
    <xf numFmtId="37" fontId="0" fillId="0" borderId="0" xfId="0" applyNumberFormat="1"/>
    <xf numFmtId="5" fontId="2" fillId="2" borderId="0" xfId="0" applyNumberFormat="1" applyFont="1" applyFill="1"/>
    <xf numFmtId="5" fontId="2" fillId="11" borderId="0" xfId="0" applyNumberFormat="1" applyFont="1" applyFill="1"/>
    <xf numFmtId="0" fontId="9" fillId="0" borderId="0" xfId="0" applyFont="1"/>
    <xf numFmtId="7" fontId="6" fillId="8" borderId="0" xfId="0" applyNumberFormat="1" applyFont="1" applyFill="1"/>
    <xf numFmtId="0" fontId="13" fillId="10" borderId="0" xfId="0" applyFont="1" applyFill="1" applyAlignment="1">
      <alignment horizontal="centerContinuous"/>
    </xf>
    <xf numFmtId="171" fontId="2" fillId="3" borderId="0" xfId="0" applyNumberFormat="1" applyFont="1" applyFill="1" applyAlignment="1">
      <alignment horizontal="right"/>
    </xf>
    <xf numFmtId="0" fontId="27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7" fontId="14" fillId="0" borderId="0" xfId="0" applyNumberFormat="1" applyFont="1"/>
    <xf numFmtId="0" fontId="16" fillId="0" borderId="0" xfId="0" applyFont="1"/>
    <xf numFmtId="0" fontId="28" fillId="4" borderId="0" xfId="0" applyFont="1" applyFill="1" applyAlignment="1">
      <alignment horizontal="centerContinuous"/>
    </xf>
    <xf numFmtId="0" fontId="29" fillId="0" borderId="0" xfId="0" applyFont="1" applyAlignment="1">
      <alignment horizontal="centerContinuous"/>
    </xf>
    <xf numFmtId="0" fontId="15" fillId="0" borderId="0" xfId="0" applyFont="1" applyAlignment="1">
      <alignment horizontal="left" indent="1"/>
    </xf>
    <xf numFmtId="164" fontId="4" fillId="8" borderId="0" xfId="0" applyNumberFormat="1" applyFont="1" applyFill="1"/>
    <xf numFmtId="0" fontId="10" fillId="0" borderId="0" xfId="0" applyFont="1" applyAlignment="1">
      <alignment horizontal="center"/>
    </xf>
    <xf numFmtId="174" fontId="0" fillId="0" borderId="0" xfId="0" applyNumberFormat="1" applyAlignment="1">
      <alignment horizontal="right"/>
    </xf>
    <xf numFmtId="0" fontId="4" fillId="6" borderId="20" xfId="0" applyFont="1" applyFill="1" applyBorder="1" applyAlignment="1">
      <alignment horizontal="center"/>
    </xf>
    <xf numFmtId="177" fontId="9" fillId="0" borderId="0" xfId="0" applyNumberFormat="1" applyFont="1"/>
    <xf numFmtId="0" fontId="16" fillId="0" borderId="0" xfId="0" applyFont="1" applyAlignment="1">
      <alignment horizontal="left"/>
    </xf>
    <xf numFmtId="37" fontId="4" fillId="0" borderId="0" xfId="0" applyNumberFormat="1" applyFont="1" applyAlignment="1">
      <alignment horizontal="center"/>
    </xf>
    <xf numFmtId="37" fontId="8" fillId="0" borderId="0" xfId="0" applyNumberFormat="1" applyFont="1"/>
    <xf numFmtId="37" fontId="9" fillId="0" borderId="0" xfId="0" applyNumberFormat="1" applyFont="1"/>
    <xf numFmtId="177" fontId="4" fillId="0" borderId="0" xfId="0" applyNumberFormat="1" applyFont="1" applyAlignment="1">
      <alignment horizontal="center"/>
    </xf>
    <xf numFmtId="174" fontId="6" fillId="0" borderId="0" xfId="0" applyNumberFormat="1" applyFont="1" applyAlignment="1">
      <alignment horizontal="right"/>
    </xf>
    <xf numFmtId="164" fontId="4" fillId="8" borderId="0" xfId="0" applyNumberFormat="1" applyFont="1" applyFill="1" applyAlignment="1">
      <alignment horizontal="right"/>
    </xf>
    <xf numFmtId="173" fontId="4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37" fontId="15" fillId="0" borderId="0" xfId="0" applyNumberFormat="1" applyFont="1" applyAlignment="1">
      <alignment horizontal="left" indent="1"/>
    </xf>
    <xf numFmtId="0" fontId="2" fillId="8" borderId="21" xfId="0" applyFont="1" applyFill="1" applyBorder="1"/>
    <xf numFmtId="7" fontId="2" fillId="6" borderId="22" xfId="0" applyNumberFormat="1" applyFont="1" applyFill="1" applyBorder="1"/>
    <xf numFmtId="168" fontId="16" fillId="0" borderId="0" xfId="0" applyNumberFormat="1" applyFont="1"/>
    <xf numFmtId="0" fontId="2" fillId="0" borderId="0" xfId="0" applyFont="1" applyAlignment="1">
      <alignment horizontal="left" indent="1"/>
    </xf>
    <xf numFmtId="173" fontId="2" fillId="0" borderId="0" xfId="0" applyNumberFormat="1" applyFont="1" applyAlignment="1">
      <alignment horizontal="right"/>
    </xf>
    <xf numFmtId="10" fontId="3" fillId="0" borderId="0" xfId="0" applyNumberFormat="1" applyFont="1"/>
    <xf numFmtId="174" fontId="2" fillId="0" borderId="0" xfId="0" applyNumberFormat="1" applyFont="1" applyAlignment="1">
      <alignment horizontal="right"/>
    </xf>
    <xf numFmtId="0" fontId="30" fillId="0" borderId="0" xfId="0" applyFont="1" applyAlignment="1">
      <alignment horizontal="center"/>
    </xf>
    <xf numFmtId="175" fontId="4" fillId="0" borderId="23" xfId="0" applyNumberFormat="1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5" fillId="0" borderId="24" xfId="0" applyFon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16" fillId="6" borderId="8" xfId="0" applyFont="1" applyFill="1" applyBorder="1"/>
    <xf numFmtId="7" fontId="2" fillId="6" borderId="25" xfId="0" applyNumberFormat="1" applyFont="1" applyFill="1" applyBorder="1" applyAlignment="1">
      <alignment horizontal="center"/>
    </xf>
    <xf numFmtId="0" fontId="15" fillId="0" borderId="0" xfId="0" applyFont="1" applyAlignment="1">
      <alignment horizontal="left" indent="3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6" fillId="6" borderId="8" xfId="0" applyFont="1" applyFill="1" applyBorder="1" applyAlignment="1">
      <alignment horizontal="left"/>
    </xf>
    <xf numFmtId="168" fontId="2" fillId="6" borderId="17" xfId="0" applyNumberFormat="1" applyFont="1" applyFill="1" applyBorder="1"/>
    <xf numFmtId="5" fontId="9" fillId="0" borderId="0" xfId="0" applyNumberFormat="1" applyFont="1" applyAlignment="1">
      <alignment horizontal="right"/>
    </xf>
    <xf numFmtId="5" fontId="2" fillId="0" borderId="0" xfId="0" applyNumberFormat="1" applyFont="1" applyAlignment="1">
      <alignment horizontal="right"/>
    </xf>
    <xf numFmtId="5" fontId="6" fillId="0" borderId="0" xfId="0" applyNumberFormat="1" applyFont="1" applyAlignment="1">
      <alignment horizontal="right"/>
    </xf>
    <xf numFmtId="164" fontId="22" fillId="9" borderId="0" xfId="3" applyNumberFormat="1" applyAlignment="1">
      <alignment horizontal="right"/>
    </xf>
    <xf numFmtId="37" fontId="22" fillId="9" borderId="0" xfId="3" applyNumberFormat="1" applyAlignment="1">
      <alignment horizontal="right"/>
    </xf>
    <xf numFmtId="172" fontId="4" fillId="3" borderId="0" xfId="0" applyNumberFormat="1" applyFont="1" applyFill="1" applyAlignment="1">
      <alignment horizontal="right"/>
    </xf>
    <xf numFmtId="167" fontId="4" fillId="0" borderId="0" xfId="0" applyNumberFormat="1" applyFont="1" applyAlignment="1">
      <alignment horizontal="right"/>
    </xf>
    <xf numFmtId="5" fontId="4" fillId="0" borderId="0" xfId="0" applyNumberFormat="1" applyFont="1" applyAlignment="1">
      <alignment horizontal="right"/>
    </xf>
    <xf numFmtId="164" fontId="20" fillId="7" borderId="0" xfId="2" applyNumberFormat="1" applyAlignment="1">
      <alignment horizontal="right"/>
    </xf>
    <xf numFmtId="37" fontId="20" fillId="7" borderId="0" xfId="2" applyNumberFormat="1" applyAlignment="1">
      <alignment horizontal="right"/>
    </xf>
    <xf numFmtId="164" fontId="15" fillId="2" borderId="0" xfId="4" applyNumberFormat="1" applyFont="1" applyFill="1"/>
    <xf numFmtId="164" fontId="3" fillId="6" borderId="0" xfId="4" applyNumberFormat="1" applyFont="1" applyFill="1"/>
    <xf numFmtId="5" fontId="15" fillId="0" borderId="0" xfId="0" applyNumberFormat="1" applyFont="1" applyAlignment="1">
      <alignment horizontal="right"/>
    </xf>
    <xf numFmtId="5" fontId="2" fillId="6" borderId="7" xfId="0" applyNumberFormat="1" applyFont="1" applyFill="1" applyBorder="1"/>
    <xf numFmtId="5" fontId="2" fillId="6" borderId="9" xfId="0" applyNumberFormat="1" applyFont="1" applyFill="1" applyBorder="1"/>
    <xf numFmtId="5" fontId="16" fillId="0" borderId="0" xfId="0" applyNumberFormat="1" applyFont="1" applyAlignment="1">
      <alignment horizontal="right"/>
    </xf>
    <xf numFmtId="5" fontId="9" fillId="0" borderId="0" xfId="0" applyNumberFormat="1" applyFont="1"/>
    <xf numFmtId="170" fontId="6" fillId="0" borderId="2" xfId="0" applyNumberFormat="1" applyFont="1" applyBorder="1"/>
    <xf numFmtId="170" fontId="6" fillId="0" borderId="0" xfId="0" applyNumberFormat="1" applyFont="1"/>
    <xf numFmtId="0" fontId="2" fillId="12" borderId="0" xfId="0" applyFont="1" applyFill="1"/>
    <xf numFmtId="7" fontId="9" fillId="12" borderId="0" xfId="0" applyNumberFormat="1" applyFont="1" applyFill="1"/>
    <xf numFmtId="175" fontId="16" fillId="8" borderId="0" xfId="0" applyNumberFormat="1" applyFont="1" applyFill="1"/>
    <xf numFmtId="0" fontId="2" fillId="8" borderId="10" xfId="0" applyFont="1" applyFill="1" applyBorder="1"/>
    <xf numFmtId="0" fontId="2" fillId="8" borderId="12" xfId="0" applyFont="1" applyFill="1" applyBorder="1"/>
    <xf numFmtId="37" fontId="9" fillId="0" borderId="0" xfId="0" applyNumberFormat="1" applyFont="1" applyAlignment="1">
      <alignment horizontal="right"/>
    </xf>
    <xf numFmtId="7" fontId="9" fillId="0" borderId="0" xfId="0" applyNumberFormat="1" applyFont="1" applyAlignment="1">
      <alignment horizontal="right"/>
    </xf>
    <xf numFmtId="7" fontId="16" fillId="0" borderId="0" xfId="0" applyNumberFormat="1" applyFont="1" applyAlignment="1">
      <alignment horizontal="right"/>
    </xf>
    <xf numFmtId="5" fontId="9" fillId="8" borderId="0" xfId="0" applyNumberFormat="1" applyFont="1" applyFill="1" applyAlignment="1">
      <alignment horizontal="right"/>
    </xf>
    <xf numFmtId="179" fontId="0" fillId="0" borderId="0" xfId="0" applyNumberFormat="1"/>
    <xf numFmtId="7" fontId="16" fillId="2" borderId="0" xfId="0" applyNumberFormat="1" applyFont="1" applyFill="1"/>
    <xf numFmtId="7" fontId="4" fillId="13" borderId="0" xfId="0" applyNumberFormat="1" applyFont="1" applyFill="1"/>
    <xf numFmtId="7" fontId="9" fillId="2" borderId="0" xfId="0" applyNumberFormat="1" applyFont="1" applyFill="1" applyAlignment="1">
      <alignment horizontal="center"/>
    </xf>
    <xf numFmtId="165" fontId="15" fillId="0" borderId="0" xfId="0" applyNumberFormat="1" applyFont="1" applyAlignment="1">
      <alignment horizontal="center"/>
    </xf>
    <xf numFmtId="165" fontId="15" fillId="2" borderId="0" xfId="0" applyNumberFormat="1" applyFont="1" applyFill="1" applyAlignment="1">
      <alignment horizontal="center"/>
    </xf>
    <xf numFmtId="166" fontId="5" fillId="0" borderId="0" xfId="0" applyNumberFormat="1" applyFont="1"/>
    <xf numFmtId="166" fontId="5" fillId="6" borderId="0" xfId="0" applyNumberFormat="1" applyFont="1" applyFill="1"/>
    <xf numFmtId="166" fontId="5" fillId="6" borderId="13" xfId="0" applyNumberFormat="1" applyFont="1" applyFill="1" applyBorder="1"/>
    <xf numFmtId="173" fontId="8" fillId="6" borderId="13" xfId="0" applyNumberFormat="1" applyFont="1" applyFill="1" applyBorder="1" applyAlignment="1">
      <alignment horizontal="right"/>
    </xf>
    <xf numFmtId="175" fontId="9" fillId="8" borderId="11" xfId="0" applyNumberFormat="1" applyFont="1" applyFill="1" applyBorder="1"/>
    <xf numFmtId="7" fontId="3" fillId="8" borderId="0" xfId="0" applyNumberFormat="1" applyFont="1" applyFill="1"/>
    <xf numFmtId="0" fontId="2" fillId="12" borderId="0" xfId="0" quotePrefix="1" applyFont="1" applyFill="1" applyAlignment="1">
      <alignment horizontal="center"/>
    </xf>
    <xf numFmtId="175" fontId="9" fillId="8" borderId="16" xfId="0" applyNumberFormat="1" applyFont="1" applyFill="1" applyBorder="1"/>
    <xf numFmtId="175" fontId="9" fillId="8" borderId="13" xfId="0" applyNumberFormat="1" applyFont="1" applyFill="1" applyBorder="1"/>
    <xf numFmtId="0" fontId="2" fillId="8" borderId="15" xfId="0" applyFont="1" applyFill="1" applyBorder="1"/>
    <xf numFmtId="7" fontId="9" fillId="8" borderId="17" xfId="0" applyNumberFormat="1" applyFont="1" applyFill="1" applyBorder="1"/>
    <xf numFmtId="5" fontId="9" fillId="0" borderId="14" xfId="0" applyNumberFormat="1" applyFont="1" applyBorder="1" applyAlignment="1">
      <alignment horizontal="right"/>
    </xf>
    <xf numFmtId="5" fontId="9" fillId="0" borderId="26" xfId="0" applyNumberFormat="1" applyFont="1" applyBorder="1" applyAlignment="1">
      <alignment horizontal="right"/>
    </xf>
    <xf numFmtId="5" fontId="2" fillId="0" borderId="26" xfId="0" applyNumberFormat="1" applyFont="1" applyBorder="1" applyAlignment="1">
      <alignment horizontal="right"/>
    </xf>
    <xf numFmtId="5" fontId="2" fillId="0" borderId="27" xfId="0" applyNumberFormat="1" applyFont="1" applyBorder="1" applyAlignment="1">
      <alignment horizontal="right"/>
    </xf>
    <xf numFmtId="164" fontId="8" fillId="0" borderId="3" xfId="0" applyNumberFormat="1" applyFont="1" applyBorder="1"/>
    <xf numFmtId="164" fontId="20" fillId="7" borderId="28" xfId="2" applyNumberFormat="1" applyBorder="1"/>
    <xf numFmtId="164" fontId="9" fillId="0" borderId="28" xfId="0" applyNumberFormat="1" applyFont="1" applyBorder="1"/>
    <xf numFmtId="164" fontId="9" fillId="0" borderId="4" xfId="0" applyNumberFormat="1" applyFont="1" applyBorder="1"/>
    <xf numFmtId="7" fontId="4" fillId="2" borderId="0" xfId="0" applyNumberFormat="1" applyFont="1" applyFill="1"/>
    <xf numFmtId="7" fontId="5" fillId="11" borderId="0" xfId="0" applyNumberFormat="1" applyFont="1" applyFill="1"/>
    <xf numFmtId="180" fontId="0" fillId="0" borderId="0" xfId="0" applyNumberFormat="1"/>
    <xf numFmtId="0" fontId="31" fillId="0" borderId="0" xfId="0" applyFont="1" applyAlignment="1">
      <alignment horizontal="left"/>
    </xf>
    <xf numFmtId="180" fontId="0" fillId="0" borderId="0" xfId="0" applyNumberFormat="1" applyAlignment="1">
      <alignment horizontal="right"/>
    </xf>
    <xf numFmtId="180" fontId="31" fillId="0" borderId="0" xfId="0" applyNumberFormat="1" applyFont="1"/>
    <xf numFmtId="172" fontId="2" fillId="3" borderId="0" xfId="0" applyNumberFormat="1" applyFont="1" applyFill="1" applyAlignment="1">
      <alignment horizontal="right"/>
    </xf>
    <xf numFmtId="0" fontId="32" fillId="0" borderId="0" xfId="0" applyFont="1" applyAlignment="1">
      <alignment horizontal="left"/>
    </xf>
    <xf numFmtId="7" fontId="16" fillId="0" borderId="0" xfId="0" applyNumberFormat="1" applyFont="1"/>
    <xf numFmtId="177" fontId="15" fillId="0" borderId="0" xfId="4" applyNumberFormat="1" applyFont="1" applyFill="1"/>
    <xf numFmtId="170" fontId="2" fillId="0" borderId="0" xfId="0" applyNumberFormat="1" applyFont="1"/>
    <xf numFmtId="178" fontId="0" fillId="0" borderId="0" xfId="0" applyNumberFormat="1"/>
    <xf numFmtId="167" fontId="0" fillId="0" borderId="0" xfId="0" applyNumberFormat="1"/>
    <xf numFmtId="167" fontId="15" fillId="0" borderId="0" xfId="0" applyNumberFormat="1" applyFont="1"/>
    <xf numFmtId="164" fontId="15" fillId="0" borderId="0" xfId="4" applyNumberFormat="1" applyFont="1" applyFill="1"/>
    <xf numFmtId="0" fontId="1" fillId="0" borderId="0" xfId="0" applyFont="1" applyAlignment="1">
      <alignment horizontal="center"/>
    </xf>
    <xf numFmtId="5" fontId="4" fillId="0" borderId="0" xfId="0" applyNumberFormat="1" applyFont="1"/>
    <xf numFmtId="167" fontId="9" fillId="11" borderId="0" xfId="0" applyNumberFormat="1" applyFont="1" applyFill="1"/>
    <xf numFmtId="180" fontId="9" fillId="11" borderId="0" xfId="0" applyNumberFormat="1" applyFont="1" applyFill="1"/>
    <xf numFmtId="5" fontId="4" fillId="11" borderId="0" xfId="0" applyNumberFormat="1" applyFont="1" applyFill="1"/>
    <xf numFmtId="180" fontId="3" fillId="11" borderId="0" xfId="0" applyNumberFormat="1" applyFont="1" applyFill="1"/>
    <xf numFmtId="167" fontId="3" fillId="11" borderId="0" xfId="0" applyNumberFormat="1" applyFont="1" applyFill="1"/>
    <xf numFmtId="5" fontId="8" fillId="2" borderId="0" xfId="0" applyNumberFormat="1" applyFont="1" applyFill="1"/>
    <xf numFmtId="5" fontId="15" fillId="2" borderId="0" xfId="0" applyNumberFormat="1" applyFont="1" applyFill="1"/>
    <xf numFmtId="181" fontId="2" fillId="2" borderId="0" xfId="0" applyNumberFormat="1" applyFont="1" applyFill="1"/>
    <xf numFmtId="182" fontId="2" fillId="2" borderId="0" xfId="0" applyNumberFormat="1" applyFont="1" applyFill="1"/>
    <xf numFmtId="182" fontId="5" fillId="11" borderId="0" xfId="0" applyNumberFormat="1" applyFont="1" applyFill="1"/>
    <xf numFmtId="181" fontId="2" fillId="0" borderId="0" xfId="0" applyNumberFormat="1" applyFont="1"/>
    <xf numFmtId="182" fontId="2" fillId="0" borderId="0" xfId="0" applyNumberFormat="1" applyFont="1"/>
    <xf numFmtId="164" fontId="3" fillId="0" borderId="0" xfId="2" applyNumberFormat="1" applyFont="1" applyFill="1"/>
    <xf numFmtId="10" fontId="2" fillId="0" borderId="0" xfId="4" applyNumberFormat="1" applyFont="1"/>
    <xf numFmtId="10" fontId="21" fillId="0" borderId="0" xfId="4" applyNumberFormat="1" applyFont="1"/>
    <xf numFmtId="180" fontId="2" fillId="0" borderId="0" xfId="0" applyNumberFormat="1" applyFont="1"/>
    <xf numFmtId="165" fontId="8" fillId="0" borderId="0" xfId="0" applyNumberFormat="1" applyFont="1" applyAlignment="1">
      <alignment horizontal="center"/>
    </xf>
    <xf numFmtId="165" fontId="8" fillId="2" borderId="0" xfId="0" applyNumberFormat="1" applyFont="1" applyFill="1" applyAlignment="1">
      <alignment horizontal="center"/>
    </xf>
    <xf numFmtId="10" fontId="2" fillId="2" borderId="0" xfId="4" applyNumberFormat="1" applyFont="1" applyFill="1"/>
    <xf numFmtId="177" fontId="2" fillId="6" borderId="0" xfId="0" applyNumberFormat="1" applyFont="1" applyFill="1"/>
    <xf numFmtId="177" fontId="33" fillId="0" borderId="0" xfId="0" applyNumberFormat="1" applyFont="1"/>
    <xf numFmtId="177" fontId="33" fillId="6" borderId="0" xfId="0" applyNumberFormat="1" applyFont="1" applyFill="1"/>
    <xf numFmtId="180" fontId="34" fillId="0" borderId="0" xfId="0" applyNumberFormat="1" applyFont="1"/>
    <xf numFmtId="0" fontId="33" fillId="0" borderId="0" xfId="0" applyFont="1"/>
    <xf numFmtId="183" fontId="8" fillId="2" borderId="0" xfId="0" applyNumberFormat="1" applyFont="1" applyFill="1"/>
    <xf numFmtId="183" fontId="3" fillId="6" borderId="0" xfId="2" applyNumberFormat="1" applyFont="1" applyFill="1"/>
    <xf numFmtId="164" fontId="4" fillId="0" borderId="0" xfId="0" applyNumberFormat="1" applyFont="1"/>
    <xf numFmtId="167" fontId="3" fillId="0" borderId="0" xfId="0" applyNumberFormat="1" applyFont="1"/>
    <xf numFmtId="5" fontId="15" fillId="0" borderId="0" xfId="0" applyNumberFormat="1" applyFont="1"/>
    <xf numFmtId="183" fontId="0" fillId="0" borderId="0" xfId="0" applyNumberFormat="1"/>
    <xf numFmtId="183" fontId="8" fillId="0" borderId="0" xfId="0" applyNumberFormat="1" applyFont="1"/>
    <xf numFmtId="170" fontId="4" fillId="0" borderId="0" xfId="0" applyNumberFormat="1" applyFont="1"/>
    <xf numFmtId="169" fontId="3" fillId="0" borderId="0" xfId="0" applyNumberFormat="1" applyFont="1"/>
    <xf numFmtId="180" fontId="9" fillId="0" borderId="0" xfId="0" applyNumberFormat="1" applyFont="1"/>
    <xf numFmtId="164" fontId="25" fillId="0" borderId="0" xfId="3" applyNumberFormat="1" applyFont="1" applyFill="1"/>
    <xf numFmtId="164" fontId="20" fillId="0" borderId="0" xfId="2" applyNumberFormat="1" applyFill="1"/>
    <xf numFmtId="183" fontId="3" fillId="0" borderId="0" xfId="2" applyNumberFormat="1" applyFont="1" applyFill="1"/>
    <xf numFmtId="167" fontId="8" fillId="0" borderId="0" xfId="0" applyNumberFormat="1" applyFont="1"/>
    <xf numFmtId="164" fontId="3" fillId="0" borderId="0" xfId="4" applyNumberFormat="1" applyFont="1" applyFill="1"/>
    <xf numFmtId="170" fontId="5" fillId="0" borderId="0" xfId="0" applyNumberFormat="1" applyFont="1"/>
    <xf numFmtId="177" fontId="3" fillId="0" borderId="0" xfId="4" applyNumberFormat="1" applyFont="1" applyFill="1"/>
    <xf numFmtId="0" fontId="1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16" fillId="0" borderId="0" xfId="0" applyFont="1" applyAlignment="1">
      <alignment horizontal="center"/>
    </xf>
    <xf numFmtId="166" fontId="0" fillId="0" borderId="0" xfId="0" applyNumberFormat="1"/>
    <xf numFmtId="175" fontId="9" fillId="0" borderId="0" xfId="0" applyNumberFormat="1" applyFont="1" applyAlignment="1">
      <alignment horizontal="right"/>
    </xf>
    <xf numFmtId="166" fontId="9" fillId="0" borderId="0" xfId="0" applyNumberFormat="1" applyFont="1"/>
    <xf numFmtId="166" fontId="15" fillId="0" borderId="0" xfId="0" applyNumberFormat="1" applyFont="1"/>
    <xf numFmtId="166" fontId="8" fillId="0" borderId="0" xfId="0" applyNumberFormat="1" applyFont="1"/>
    <xf numFmtId="10" fontId="0" fillId="0" borderId="0" xfId="4" applyNumberFormat="1" applyFont="1"/>
    <xf numFmtId="10" fontId="21" fillId="2" borderId="0" xfId="4" applyNumberFormat="1" applyFont="1" applyFill="1"/>
    <xf numFmtId="44" fontId="4" fillId="2" borderId="0" xfId="0" applyNumberFormat="1" applyFont="1" applyFill="1"/>
    <xf numFmtId="166" fontId="4" fillId="0" borderId="17" xfId="0" applyNumberFormat="1" applyFont="1" applyBorder="1"/>
    <xf numFmtId="178" fontId="3" fillId="11" borderId="0" xfId="0" applyNumberFormat="1" applyFont="1" applyFill="1"/>
    <xf numFmtId="37" fontId="4" fillId="11" borderId="0" xfId="0" applyNumberFormat="1" applyFont="1" applyFill="1"/>
    <xf numFmtId="10" fontId="34" fillId="0" borderId="0" xfId="4" applyNumberFormat="1" applyFont="1"/>
    <xf numFmtId="10" fontId="0" fillId="2" borderId="0" xfId="4" applyNumberFormat="1" applyFont="1" applyFill="1"/>
  </cellXfs>
  <cellStyles count="6">
    <cellStyle name="Bad" xfId="2" builtinId="27"/>
    <cellStyle name="Good" xfId="3" builtinId="26"/>
    <cellStyle name="Normal" xfId="0" builtinId="0"/>
    <cellStyle name="Normal 2" xfId="1" xr:uid="{64F36951-8882-42F8-933D-95B6FCBA1114}"/>
    <cellStyle name="Normal_BalanceSheets" xfId="5" xr:uid="{C5B54A6E-C5C1-481E-B1BC-DB4F7A519446}"/>
    <cellStyle name="Percent" xfId="4" builtinId="5"/>
  </cellStyles>
  <dxfs count="1">
    <dxf>
      <fill>
        <patternFill>
          <bgColor rgb="FFF2F2F2"/>
        </patternFill>
      </fill>
    </dxf>
  </dxfs>
  <tableStyles count="0" defaultTableStyle="TableStyleMedium2" defaultPivotStyle="PivotStyleLight16"/>
  <colors>
    <mruColors>
      <color rgb="FF0000FF"/>
      <color rgb="FF008000"/>
      <color rgb="FFFFFF99"/>
      <color rgb="FF67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NFLX: % of Enterprise Value Covered, by year</a:t>
            </a:r>
          </a:p>
        </c:rich>
      </c:tx>
      <c:layout>
        <c:manualLayout>
          <c:xMode val="edge"/>
          <c:yMode val="edge"/>
          <c:x val="0.32212324017813615"/>
          <c:y val="1.2560026873842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'DCF - BAKED IN'!$G$57:$AJ$57</c:f>
              <c:numCache>
                <c:formatCode>#,##0%_);\(#,##0%\)</c:formatCode>
                <c:ptCount val="30"/>
                <c:pt idx="0">
                  <c:v>1.3176937324268203</c:v>
                </c:pt>
                <c:pt idx="1">
                  <c:v>1.6696850590095076</c:v>
                </c:pt>
                <c:pt idx="2">
                  <c:v>1.9481275553000057</c:v>
                </c:pt>
                <c:pt idx="3">
                  <c:v>2.2258367342507723</c:v>
                </c:pt>
                <c:pt idx="4">
                  <c:v>2.5024989943260096</c:v>
                </c:pt>
                <c:pt idx="5">
                  <c:v>2.7781786152677306</c:v>
                </c:pt>
                <c:pt idx="6">
                  <c:v>3.0471724264326148</c:v>
                </c:pt>
                <c:pt idx="7">
                  <c:v>3.3096609300646711</c:v>
                </c:pt>
                <c:pt idx="8">
                  <c:v>3.5657532185748253</c:v>
                </c:pt>
                <c:pt idx="9">
                  <c:v>3.8155606585163744</c:v>
                </c:pt>
                <c:pt idx="10">
                  <c:v>4.059196434489392</c:v>
                </c:pt>
                <c:pt idx="11">
                  <c:v>4.2895811234955383</c:v>
                </c:pt>
                <c:pt idx="12">
                  <c:v>4.5074298426684898</c:v>
                </c:pt>
                <c:pt idx="13">
                  <c:v>4.7134195399948293</c:v>
                </c:pt>
                <c:pt idx="14">
                  <c:v>4.9081909992975827</c:v>
                </c:pt>
                <c:pt idx="15">
                  <c:v>5.0923507423891641</c:v>
                </c:pt>
                <c:pt idx="16">
                  <c:v>5.2664728334726556</c:v>
                </c:pt>
                <c:pt idx="17">
                  <c:v>5.4311005906351495</c:v>
                </c:pt>
                <c:pt idx="18">
                  <c:v>5.5867482090512466</c:v>
                </c:pt>
                <c:pt idx="19">
                  <c:v>5.7339023002985146</c:v>
                </c:pt>
                <c:pt idx="20">
                  <c:v>5.8730233519794304</c:v>
                </c:pt>
                <c:pt idx="21">
                  <c:v>6.0045471116458176</c:v>
                </c:pt>
                <c:pt idx="22">
                  <c:v>6.1288858988317347</c:v>
                </c:pt>
                <c:pt idx="23">
                  <c:v>6.2464298488189467</c:v>
                </c:pt>
                <c:pt idx="24">
                  <c:v>6.3575480915851204</c:v>
                </c:pt>
                <c:pt idx="25">
                  <c:v>6.4625898692186334</c:v>
                </c:pt>
                <c:pt idx="26">
                  <c:v>6.5618855949248864</c:v>
                </c:pt>
                <c:pt idx="27">
                  <c:v>6.655747856597193</c:v>
                </c:pt>
                <c:pt idx="28">
                  <c:v>6.7444723677802587</c:v>
                </c:pt>
                <c:pt idx="29">
                  <c:v>6.8283388687158064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3-4214-8915-5F7A8069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10752"/>
        <c:axId val="137499520"/>
      </c:barChart>
      <c:catAx>
        <c:axId val="1375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9520"/>
        <c:crosses val="autoZero"/>
        <c:auto val="1"/>
        <c:lblAlgn val="ctr"/>
        <c:lblOffset val="100"/>
        <c:noMultiLvlLbl val="0"/>
      </c:catAx>
      <c:valAx>
        <c:axId val="1374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%_);\(#,##0%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846042</xdr:colOff>
      <xdr:row>57</xdr:row>
      <xdr:rowOff>186017</xdr:rowOff>
    </xdr:from>
    <xdr:to>
      <xdr:col>18</xdr:col>
      <xdr:colOff>549087</xdr:colOff>
      <xdr:row>90</xdr:row>
      <xdr:rowOff>67236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058AE-77FA-7471-4375-17D1E0D8F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ngcanyoncapcom-my.sharepoint.com/personal/brett_doubletreecap_com/Documents/!%20Fundamental%20Edge/crai_m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CIQHiddenCacheSheet"/>
      <sheetName val="SUM"/>
      <sheetName val="MOD"/>
      <sheetName val="9.29.21 Call Prep"/>
      <sheetName val="7 YEAR MODEL"/>
      <sheetName val="DCF"/>
      <sheetName val="COMPS"/>
      <sheetName val="CRAI WALK-THROUGH"/>
      <sheetName val="6.16.20 Call"/>
      <sheetName val="3.5.20 CFO call"/>
      <sheetName val="BC NOTES"/>
      <sheetName val="FCF"/>
      <sheetName val="CONSENSUS - 6.15.20"/>
      <sheetName val="CONSENSUS - 4.22.20"/>
      <sheetName val="CONSENSUS 2.23.20"/>
      <sheetName val="EP Q120"/>
      <sheetName val="EP Q220"/>
      <sheetName val="CIT Questions"/>
      <sheetName val="REPURCHASE"/>
      <sheetName val="QUESTIONS"/>
      <sheetName val="12.17.19 questions"/>
      <sheetName val="Share Count"/>
      <sheetName val="IR CALL"/>
      <sheetName val="NOTES"/>
      <sheetName val="FORGIVABLE LOANS"/>
    </sheetNames>
    <sheetDataSet>
      <sheetData sheetId="0"/>
      <sheetData sheetId="1"/>
      <sheetData sheetId="2">
        <row r="65">
          <cell r="Q65">
            <v>299.79399999999998</v>
          </cell>
        </row>
        <row r="220">
          <cell r="AI220">
            <v>48.088000000000001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52CF-7F17-4852-9E2B-72B40A38D196}">
  <dimension ref="A1:B1"/>
  <sheetViews>
    <sheetView workbookViewId="0"/>
  </sheetViews>
  <sheetFormatPr baseColWidth="10" defaultColWidth="8.83203125" defaultRowHeight="15"/>
  <sheetData>
    <row r="1" spans="1:2">
      <c r="B1" t="s">
        <v>223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F7390-B816-47F9-BD58-B94A5BBC6416}">
  <dimension ref="A1:I1"/>
  <sheetViews>
    <sheetView workbookViewId="0"/>
  </sheetViews>
  <sheetFormatPr baseColWidth="10" defaultColWidth="8.83203125" defaultRowHeight="15"/>
  <sheetData>
    <row r="1" spans="1:9">
      <c r="A1">
        <v>9</v>
      </c>
      <c r="B1" t="s">
        <v>59</v>
      </c>
      <c r="C1" t="s">
        <v>56</v>
      </c>
      <c r="D1" t="s">
        <v>57</v>
      </c>
      <c r="E1" t="s">
        <v>58</v>
      </c>
      <c r="F1" t="s">
        <v>60</v>
      </c>
      <c r="G1" t="s">
        <v>61</v>
      </c>
      <c r="H1" t="s">
        <v>62</v>
      </c>
      <c r="I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6429-BC46-49FC-B900-892B84501348}">
  <sheetPr>
    <tabColor rgb="FF008000"/>
  </sheetPr>
  <dimension ref="B1:AF53"/>
  <sheetViews>
    <sheetView zoomScale="125" zoomScaleNormal="70" workbookViewId="0">
      <selection activeCell="C27" sqref="B14:C27"/>
    </sheetView>
  </sheetViews>
  <sheetFormatPr baseColWidth="10" defaultColWidth="8.83203125" defaultRowHeight="15"/>
  <cols>
    <col min="1" max="1" width="1.6640625" customWidth="1"/>
    <col min="2" max="2" width="25.33203125" bestFit="1" customWidth="1"/>
    <col min="3" max="3" width="17.5" customWidth="1"/>
    <col min="4" max="4" width="1.5" customWidth="1"/>
    <col min="5" max="5" width="17.5" bestFit="1" customWidth="1"/>
    <col min="6" max="6" width="16.33203125" bestFit="1" customWidth="1"/>
    <col min="7" max="7" width="16.6640625" bestFit="1" customWidth="1"/>
    <col min="8" max="8" width="17" bestFit="1" customWidth="1"/>
    <col min="9" max="9" width="16.33203125" bestFit="1" customWidth="1"/>
    <col min="10" max="10" width="16.6640625" bestFit="1" customWidth="1"/>
    <col min="11" max="11" width="17.1640625" bestFit="1" customWidth="1"/>
    <col min="12" max="12" width="17.5" bestFit="1" customWidth="1"/>
    <col min="13" max="14" width="18" bestFit="1" customWidth="1"/>
    <col min="15" max="15" width="17.5" bestFit="1" customWidth="1"/>
    <col min="16" max="16" width="5.6640625" bestFit="1" customWidth="1"/>
    <col min="17" max="17" width="22.33203125" bestFit="1" customWidth="1"/>
    <col min="18" max="18" width="12.5" bestFit="1" customWidth="1"/>
    <col min="19" max="19" width="12.83203125" bestFit="1" customWidth="1"/>
    <col min="20" max="20" width="10.1640625" bestFit="1" customWidth="1"/>
    <col min="21" max="21" width="9.6640625" customWidth="1"/>
    <col min="22" max="22" width="9.1640625" bestFit="1" customWidth="1"/>
    <col min="23" max="23" width="9.33203125" bestFit="1" customWidth="1"/>
    <col min="24" max="24" width="8" bestFit="1" customWidth="1"/>
    <col min="25" max="25" width="10.5" bestFit="1" customWidth="1"/>
    <col min="26" max="26" width="9.5" bestFit="1" customWidth="1"/>
    <col min="28" max="28" width="9.33203125" bestFit="1" customWidth="1"/>
    <col min="29" max="29" width="9.5" style="2" customWidth="1"/>
    <col min="30" max="30" width="9.33203125" bestFit="1" customWidth="1"/>
    <col min="31" max="31" width="9.5" bestFit="1" customWidth="1"/>
    <col min="32" max="32" width="12.1640625" bestFit="1" customWidth="1"/>
  </cols>
  <sheetData>
    <row r="1" spans="2:30">
      <c r="B1" s="132"/>
      <c r="C1" s="21"/>
      <c r="E1" s="61" t="s">
        <v>79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34"/>
      <c r="Q1" s="34"/>
      <c r="R1" s="34"/>
      <c r="S1" s="34"/>
      <c r="T1" s="34"/>
      <c r="U1" s="34"/>
      <c r="W1" s="34"/>
      <c r="X1" s="110"/>
      <c r="Y1" s="110"/>
      <c r="Z1" s="34"/>
      <c r="AA1" s="34"/>
    </row>
    <row r="2" spans="2:30">
      <c r="B2" s="2" t="s">
        <v>28</v>
      </c>
      <c r="C2" s="59" t="s">
        <v>283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Q2" s="63" t="s">
        <v>30</v>
      </c>
      <c r="R2" s="63"/>
      <c r="S2" s="63"/>
      <c r="T2" s="63"/>
      <c r="V2" s="397"/>
      <c r="W2" s="397"/>
      <c r="X2" s="397"/>
      <c r="Y2" s="397"/>
      <c r="Z2" s="397"/>
      <c r="AB2" s="398"/>
      <c r="AC2" s="397"/>
      <c r="AD2" s="397"/>
    </row>
    <row r="3" spans="2:30" ht="16" thickBot="1">
      <c r="B3" s="2" t="s">
        <v>29</v>
      </c>
      <c r="C3" s="60">
        <v>45225</v>
      </c>
      <c r="F3" s="116" t="s">
        <v>31</v>
      </c>
      <c r="G3" s="116" t="s">
        <v>64</v>
      </c>
      <c r="H3" s="116" t="s">
        <v>70</v>
      </c>
      <c r="I3" s="116" t="s">
        <v>81</v>
      </c>
      <c r="J3" s="116" t="s">
        <v>331</v>
      </c>
      <c r="K3" s="116" t="s">
        <v>25</v>
      </c>
      <c r="L3" s="116" t="s">
        <v>67</v>
      </c>
      <c r="M3" s="116" t="s">
        <v>75</v>
      </c>
      <c r="N3" s="116" t="s">
        <v>224</v>
      </c>
      <c r="O3" s="116" t="s">
        <v>285</v>
      </c>
      <c r="P3" s="66"/>
      <c r="Q3" s="67" t="s">
        <v>221</v>
      </c>
      <c r="R3" s="67" t="s">
        <v>18</v>
      </c>
      <c r="S3" s="67" t="s">
        <v>32</v>
      </c>
      <c r="T3" s="67" t="s">
        <v>9</v>
      </c>
      <c r="V3" s="399"/>
      <c r="W3" s="399"/>
      <c r="X3" s="399"/>
      <c r="Y3" s="399"/>
      <c r="Z3" s="399"/>
      <c r="AB3" s="399"/>
      <c r="AC3" s="399"/>
      <c r="AD3" s="399"/>
    </row>
    <row r="4" spans="2:30" ht="16" thickBot="1">
      <c r="B4" s="6" t="s">
        <v>27</v>
      </c>
      <c r="C4" s="7"/>
      <c r="E4" s="2" t="s">
        <v>47</v>
      </c>
      <c r="F4" s="201">
        <f>MOD!$D$80</f>
        <v>3651985</v>
      </c>
      <c r="G4" s="201">
        <f>MOD!$J$80</f>
        <v>4805239</v>
      </c>
      <c r="H4" s="201">
        <f>MOD!$P$80</f>
        <v>3378200</v>
      </c>
      <c r="I4" s="201">
        <f>MOD!$V$80</f>
        <v>5991700</v>
      </c>
      <c r="J4" s="201">
        <f>MOD!$AB$80</f>
        <v>8399000</v>
      </c>
      <c r="K4" s="201">
        <f>MOD!$AH$80</f>
        <v>11839469</v>
      </c>
      <c r="L4" s="201">
        <f>MOD!$AI$80</f>
        <v>16956036.485800002</v>
      </c>
      <c r="M4" s="201">
        <f>MOD!AJ80</f>
        <v>23224878.756751079</v>
      </c>
      <c r="N4" s="201">
        <f>MOD!AK80</f>
        <v>32205239.585488182</v>
      </c>
      <c r="O4" s="201">
        <f>MOD!AL80</f>
        <v>45332141.998608708</v>
      </c>
      <c r="P4" s="66" t="s">
        <v>33</v>
      </c>
      <c r="Q4" s="54">
        <f>+Q5*1.08</f>
        <v>5.4881741811383744</v>
      </c>
      <c r="R4" s="68">
        <v>30</v>
      </c>
      <c r="S4" s="69">
        <f>+Q4*R4</f>
        <v>164.64522543415123</v>
      </c>
      <c r="T4" s="70">
        <f>+S4/$C$5-1</f>
        <v>0.4258701431900167</v>
      </c>
      <c r="V4" s="48"/>
      <c r="W4" s="21"/>
      <c r="X4" s="21"/>
      <c r="Y4" s="400"/>
      <c r="Z4" s="21"/>
      <c r="AB4" s="401"/>
      <c r="AC4" s="402"/>
      <c r="AD4" s="402"/>
    </row>
    <row r="5" spans="2:30">
      <c r="B5" s="18" t="s">
        <v>284</v>
      </c>
      <c r="C5" s="200">
        <v>115.47</v>
      </c>
      <c r="E5" s="10" t="s">
        <v>14</v>
      </c>
      <c r="F5" s="93"/>
      <c r="G5" s="93">
        <f>+G4/F4-1</f>
        <v>0.31578826309527552</v>
      </c>
      <c r="H5" s="93">
        <f>+H4/G4-1</f>
        <v>-0.29697565511309632</v>
      </c>
      <c r="I5" s="93">
        <f>+I4/H4-1</f>
        <v>0.77363684802557575</v>
      </c>
      <c r="J5" s="93">
        <f t="shared" ref="J5:O5" si="0">+J4/I4-1</f>
        <v>0.40177245189178357</v>
      </c>
      <c r="K5" s="93">
        <f>+K4/J4-1</f>
        <v>0.40962840814382662</v>
      </c>
      <c r="L5" s="93">
        <f>+L4/K4-1</f>
        <v>0.43216190572398161</v>
      </c>
      <c r="M5" s="93">
        <f t="shared" si="0"/>
        <v>0.36971153466206452</v>
      </c>
      <c r="N5" s="93">
        <f t="shared" si="0"/>
        <v>0.38666986910003409</v>
      </c>
      <c r="O5" s="93">
        <f t="shared" si="0"/>
        <v>0.40760145187789765</v>
      </c>
      <c r="P5" s="29" t="s">
        <v>34</v>
      </c>
      <c r="Q5" s="71">
        <f>+L13</f>
        <v>5.0816427603133096</v>
      </c>
      <c r="R5" s="68">
        <v>25</v>
      </c>
      <c r="S5" s="69">
        <f>+Q5*R5</f>
        <v>127.04106900783275</v>
      </c>
      <c r="T5" s="70">
        <f>+S5/$C$5-1</f>
        <v>0.10020844381945748</v>
      </c>
      <c r="V5" s="48"/>
      <c r="W5" s="21"/>
      <c r="X5" s="21"/>
      <c r="Y5" s="400"/>
      <c r="Z5" s="21"/>
      <c r="AB5" s="401"/>
      <c r="AC5" s="402"/>
      <c r="AD5" s="402"/>
    </row>
    <row r="6" spans="2:30">
      <c r="B6" s="3" t="s">
        <v>0</v>
      </c>
      <c r="C6" s="303">
        <v>643</v>
      </c>
      <c r="E6" s="2" t="s">
        <v>78</v>
      </c>
      <c r="F6" s="37"/>
      <c r="G6" s="119"/>
      <c r="H6" s="119"/>
      <c r="I6" s="119"/>
      <c r="J6" s="49"/>
      <c r="K6" s="50"/>
      <c r="L6" s="35"/>
      <c r="M6" s="35"/>
      <c r="N6" s="35"/>
      <c r="O6" s="35"/>
      <c r="P6" s="66" t="s">
        <v>35</v>
      </c>
      <c r="Q6" s="54">
        <f>Q5*0.92</f>
        <v>4.6751113394882449</v>
      </c>
      <c r="R6" s="68">
        <v>20</v>
      </c>
      <c r="S6" s="69">
        <f>+Q6*R6</f>
        <v>93.502226789764904</v>
      </c>
      <c r="T6" s="70">
        <f>+S6/$C$5-1</f>
        <v>-0.19024658534887928</v>
      </c>
      <c r="V6" s="48"/>
      <c r="W6" s="21"/>
      <c r="X6" s="21"/>
      <c r="Y6" s="400"/>
      <c r="Z6" s="21"/>
      <c r="AB6" s="401"/>
      <c r="AC6" s="402"/>
      <c r="AD6" s="402"/>
    </row>
    <row r="7" spans="2:30">
      <c r="B7" s="4" t="s">
        <v>2</v>
      </c>
      <c r="C7" s="19">
        <f>+C5*C6*1000</f>
        <v>74247210</v>
      </c>
      <c r="P7" s="66"/>
      <c r="Q7" s="105"/>
      <c r="R7" s="66"/>
      <c r="S7" s="106"/>
      <c r="T7" s="66"/>
      <c r="V7" s="48"/>
      <c r="W7" s="21"/>
      <c r="X7" s="21"/>
      <c r="Y7" s="400"/>
      <c r="Z7" s="21"/>
      <c r="AB7" s="401"/>
      <c r="AC7" s="402"/>
      <c r="AD7" s="402"/>
    </row>
    <row r="8" spans="2:30" s="2" customFormat="1">
      <c r="B8" s="3" t="s">
        <v>3</v>
      </c>
      <c r="C8" s="120">
        <f>+MOD!$Y$211</f>
        <v>7465510</v>
      </c>
      <c r="E8" s="2" t="s">
        <v>48</v>
      </c>
      <c r="F8" s="201">
        <f>MOD!$D$134</f>
        <v>18826.401000000002</v>
      </c>
      <c r="G8" s="201">
        <f>MOD!$J$134</f>
        <v>-501428.83799999999</v>
      </c>
      <c r="H8" s="201">
        <f>MOD!$P$134</f>
        <v>-3438665.1239999998</v>
      </c>
      <c r="I8" s="201">
        <f>MOD!$V$134</f>
        <v>542244.31900000002</v>
      </c>
      <c r="J8" s="201">
        <f>MOD!$AB$134</f>
        <v>1891081</v>
      </c>
      <c r="K8" s="201">
        <f>MOD!$AH$134</f>
        <v>2539871.070448386</v>
      </c>
      <c r="L8" s="201">
        <f>MOD!$AI$134</f>
        <v>3722228.4962769109</v>
      </c>
      <c r="M8" s="201">
        <f>MOD!AJ134</f>
        <v>5098379.3059983151</v>
      </c>
      <c r="N8" s="201">
        <f>MOD!AK134</f>
        <v>7391821.3607258853</v>
      </c>
      <c r="O8" s="201">
        <f>MOD!AL134</f>
        <v>10404738.479379818</v>
      </c>
      <c r="P8" s="94"/>
      <c r="Q8" s="72" t="s">
        <v>36</v>
      </c>
      <c r="R8" s="67" t="s">
        <v>37</v>
      </c>
      <c r="S8" s="67" t="s">
        <v>38</v>
      </c>
      <c r="T8" s="67" t="s">
        <v>24</v>
      </c>
      <c r="V8" s="48"/>
      <c r="W8" s="21"/>
      <c r="X8" s="21"/>
      <c r="Y8" s="400"/>
      <c r="Z8" s="21"/>
      <c r="AB8" s="401"/>
      <c r="AC8" s="402"/>
      <c r="AD8" s="402"/>
    </row>
    <row r="9" spans="2:30" s="2" customFormat="1">
      <c r="B9" s="3" t="s">
        <v>4</v>
      </c>
      <c r="C9" s="120">
        <f>+MOD!$Y$212</f>
        <v>1980863</v>
      </c>
      <c r="E9" s="10" t="s">
        <v>15</v>
      </c>
      <c r="F9" s="93">
        <f t="shared" ref="F9:M9" si="1">+F8/F$4</f>
        <v>5.1551145472941429E-3</v>
      </c>
      <c r="G9" s="93">
        <f t="shared" si="1"/>
        <v>-0.10435044708494208</v>
      </c>
      <c r="H9" s="93">
        <f t="shared" si="1"/>
        <v>-1.0178986217512285</v>
      </c>
      <c r="I9" s="93">
        <f t="shared" si="1"/>
        <v>9.0499243787239017E-2</v>
      </c>
      <c r="J9" s="93">
        <f t="shared" si="1"/>
        <v>0.2251554947017502</v>
      </c>
      <c r="K9" s="93">
        <f t="shared" si="1"/>
        <v>0.21452575875221988</v>
      </c>
      <c r="L9" s="93">
        <f t="shared" si="1"/>
        <v>0.21952232170496491</v>
      </c>
      <c r="M9" s="93">
        <f t="shared" si="1"/>
        <v>0.21952232170496488</v>
      </c>
      <c r="N9" s="93">
        <f t="shared" ref="N9:O9" si="2">+N8/N$4</f>
        <v>0.22952232170496478</v>
      </c>
      <c r="O9" s="93">
        <f t="shared" si="2"/>
        <v>0.22952232170496489</v>
      </c>
      <c r="P9"/>
      <c r="Q9" s="66" t="s">
        <v>39</v>
      </c>
      <c r="R9" s="73">
        <v>12.177445563860903</v>
      </c>
      <c r="S9" s="73">
        <v>22.323830016137709</v>
      </c>
      <c r="T9" s="74">
        <v>17.20468314523411</v>
      </c>
      <c r="V9" s="48"/>
      <c r="W9" s="21"/>
      <c r="X9" s="21"/>
      <c r="Y9" s="400"/>
      <c r="Z9" s="21"/>
      <c r="AB9" s="401"/>
      <c r="AC9" s="402"/>
      <c r="AD9" s="402"/>
    </row>
    <row r="10" spans="2:30" s="2" customFormat="1">
      <c r="B10" s="4" t="s">
        <v>5</v>
      </c>
      <c r="C10" s="19">
        <f>+C8-C9</f>
        <v>5484647</v>
      </c>
      <c r="E10" s="10" t="s">
        <v>14</v>
      </c>
      <c r="F10" s="93"/>
      <c r="G10" s="93">
        <f>+G8/F8-1</f>
        <v>-27.634343866360858</v>
      </c>
      <c r="H10" s="93">
        <f>+H8/G8-1</f>
        <v>5.8577330687948983</v>
      </c>
      <c r="I10" s="93">
        <f>+I8/H8-1</f>
        <v>-1.1576903535082355</v>
      </c>
      <c r="J10" s="93">
        <f t="shared" ref="J10:O10" si="3">+IFERROR(J8/I8-1,"n.a.")</f>
        <v>2.4875072614638123</v>
      </c>
      <c r="K10" s="93">
        <f t="shared" si="3"/>
        <v>0.34307894291592267</v>
      </c>
      <c r="L10" s="93">
        <f t="shared" si="3"/>
        <v>0.46551867911145295</v>
      </c>
      <c r="M10" s="93">
        <f t="shared" si="3"/>
        <v>0.3697115346620643</v>
      </c>
      <c r="N10" s="93">
        <f t="shared" si="3"/>
        <v>0.44983747129785012</v>
      </c>
      <c r="O10" s="93">
        <f t="shared" si="3"/>
        <v>0.40760145187789831</v>
      </c>
      <c r="Q10" s="66" t="s">
        <v>74</v>
      </c>
      <c r="R10" s="73">
        <v>6.4650229357798166</v>
      </c>
      <c r="S10" s="73">
        <v>22.323830016137709</v>
      </c>
      <c r="T10" s="74">
        <v>15.723990935850289</v>
      </c>
      <c r="V10" s="48"/>
      <c r="W10" s="21"/>
      <c r="X10" s="21"/>
      <c r="Y10" s="400"/>
      <c r="Z10" s="21"/>
      <c r="AB10" s="401"/>
      <c r="AC10" s="402"/>
      <c r="AD10" s="402"/>
    </row>
    <row r="11" spans="2:30" ht="16" thickBot="1">
      <c r="B11" s="5" t="s">
        <v>6</v>
      </c>
      <c r="C11" s="20">
        <f>+C7+C10</f>
        <v>79731857</v>
      </c>
      <c r="E11" s="2" t="s">
        <v>78</v>
      </c>
      <c r="F11" s="37"/>
      <c r="G11" s="119"/>
      <c r="H11" s="133"/>
      <c r="I11" s="133"/>
      <c r="J11" s="49"/>
      <c r="K11" s="50"/>
      <c r="L11" s="35"/>
      <c r="M11" s="35"/>
      <c r="N11" s="35"/>
      <c r="O11" s="35"/>
      <c r="Q11" s="66" t="s">
        <v>40</v>
      </c>
      <c r="R11" s="73">
        <v>6.4650229357798166</v>
      </c>
      <c r="S11" s="73">
        <v>26.55950366610265</v>
      </c>
      <c r="T11" s="74">
        <v>18.498818131560615</v>
      </c>
      <c r="V11" s="48"/>
      <c r="W11" s="21"/>
      <c r="X11" s="21"/>
      <c r="Y11" s="400"/>
      <c r="Z11" s="21"/>
      <c r="AB11" s="401"/>
      <c r="AC11" s="402"/>
      <c r="AD11" s="402"/>
    </row>
    <row r="12" spans="2:30" s="2" customFormat="1">
      <c r="B12" s="2" t="s">
        <v>71</v>
      </c>
      <c r="C12" s="44">
        <f>+C9/C6</f>
        <v>3080.6578538102644</v>
      </c>
      <c r="P12"/>
      <c r="Q12" s="66" t="s">
        <v>41</v>
      </c>
      <c r="R12" s="73">
        <v>6.4650229357798166</v>
      </c>
      <c r="S12" s="73">
        <v>26.55950366610265</v>
      </c>
      <c r="T12" s="74">
        <v>16.732505589669934</v>
      </c>
      <c r="V12" s="48"/>
      <c r="W12" s="21"/>
      <c r="X12" s="21"/>
      <c r="Y12" s="400"/>
      <c r="Z12" s="21"/>
      <c r="AB12" s="401"/>
      <c r="AC12" s="402"/>
      <c r="AD12" s="402"/>
    </row>
    <row r="13" spans="2:30">
      <c r="E13" s="75" t="s">
        <v>222</v>
      </c>
      <c r="F13" s="95">
        <f>MOD!D162</f>
        <v>-1.755186754367485E-2</v>
      </c>
      <c r="G13" s="95">
        <f>MOD!J162</f>
        <v>-2.6414475199189424</v>
      </c>
      <c r="H13" s="95">
        <f>MOD!P162</f>
        <v>-12.275711267605633</v>
      </c>
      <c r="I13" s="95">
        <f>MOD!V162</f>
        <v>0.10585551948051948</v>
      </c>
      <c r="J13" s="95">
        <f>MOD!AB162</f>
        <v>2.8779411764705882</v>
      </c>
      <c r="K13" s="95">
        <f>MOD!AH162</f>
        <v>3.4915001812857627</v>
      </c>
      <c r="L13" s="95">
        <f>MOD!AI162</f>
        <v>5.0816427603133096</v>
      </c>
      <c r="M13" s="95">
        <f>MOD!AJ162</f>
        <v>6.903542666977172</v>
      </c>
      <c r="N13" s="96">
        <f>MOD!AK162</f>
        <v>9.9244988936165299</v>
      </c>
      <c r="O13" s="96">
        <f>MOD!AL162</f>
        <v>13.844472476620291</v>
      </c>
      <c r="Q13" s="66"/>
      <c r="R13" s="73"/>
      <c r="S13" s="73"/>
      <c r="T13" s="73"/>
      <c r="V13" s="48"/>
      <c r="W13" s="21"/>
      <c r="X13" s="21"/>
      <c r="Y13" s="400"/>
      <c r="Z13" s="21"/>
      <c r="AB13" s="401"/>
      <c r="AC13" s="402"/>
      <c r="AD13" s="402"/>
    </row>
    <row r="14" spans="2:30">
      <c r="B14" s="57" t="s">
        <v>26</v>
      </c>
      <c r="C14" s="58"/>
      <c r="E14" s="76" t="s">
        <v>14</v>
      </c>
      <c r="F14" s="77" t="e">
        <f>+F13/#REF!-1</f>
        <v>#REF!</v>
      </c>
      <c r="G14" s="118">
        <f t="shared" ref="G14:I14" si="4">+G13/F13-1</f>
        <v>149.49381573477282</v>
      </c>
      <c r="H14" s="118">
        <f t="shared" si="4"/>
        <v>3.6473424798469347</v>
      </c>
      <c r="I14" s="118">
        <f t="shared" si="4"/>
        <v>-1.0086231679104298</v>
      </c>
      <c r="J14" s="118">
        <f t="shared" ref="J14" si="5">+J13/I13-1</f>
        <v>26.187445591821159</v>
      </c>
      <c r="K14" s="118">
        <f t="shared" ref="K14" si="6">+K13/J13-1</f>
        <v>0.21319372676255433</v>
      </c>
      <c r="L14" s="118">
        <f t="shared" ref="L14" si="7">+L13/K13-1</f>
        <v>0.45543247786456331</v>
      </c>
      <c r="M14" s="118">
        <f t="shared" ref="M14:O14" si="8">+M13/L13-1</f>
        <v>0.35852577455711043</v>
      </c>
      <c r="N14" s="323">
        <f t="shared" si="8"/>
        <v>0.43759506855661012</v>
      </c>
      <c r="O14" s="323">
        <f t="shared" si="8"/>
        <v>0.39497949720414605</v>
      </c>
      <c r="Q14" s="72" t="s">
        <v>43</v>
      </c>
      <c r="R14" s="67" t="s">
        <v>37</v>
      </c>
      <c r="S14" s="67" t="s">
        <v>38</v>
      </c>
      <c r="T14" s="67" t="s">
        <v>24</v>
      </c>
      <c r="V14" s="48"/>
      <c r="W14" s="106"/>
      <c r="X14" s="106"/>
      <c r="Y14" s="403"/>
      <c r="Z14" s="106"/>
      <c r="AB14" s="401"/>
      <c r="AC14" s="402"/>
      <c r="AD14" s="402"/>
    </row>
    <row r="15" spans="2:30">
      <c r="B15" t="s">
        <v>347</v>
      </c>
      <c r="C15" s="110">
        <f>+O13</f>
        <v>13.844472476620291</v>
      </c>
      <c r="E15" s="2" t="s">
        <v>42</v>
      </c>
      <c r="F15" s="37"/>
      <c r="G15" s="119"/>
      <c r="H15" s="119"/>
      <c r="I15" s="49"/>
      <c r="J15" s="49"/>
      <c r="K15" s="49">
        <f>+MOD!AH165</f>
        <v>3.94</v>
      </c>
      <c r="L15" s="49">
        <f>+MOD!AI165</f>
        <v>4.3600000000000003</v>
      </c>
      <c r="M15" s="49">
        <f>+MOD!AJ165</f>
        <v>5.17</v>
      </c>
      <c r="N15" s="49"/>
      <c r="O15" s="49"/>
      <c r="Q15" s="66" t="s">
        <v>39</v>
      </c>
      <c r="R15" s="128">
        <v>-9.402429231078095</v>
      </c>
      <c r="S15" s="128">
        <v>0.92963083749294739</v>
      </c>
      <c r="T15" s="129">
        <v>-4.4306691722240421</v>
      </c>
      <c r="V15" s="48"/>
      <c r="W15" s="21"/>
      <c r="X15" s="21"/>
      <c r="Y15" s="400"/>
      <c r="Z15" s="21"/>
      <c r="AB15" s="401"/>
      <c r="AC15" s="402"/>
      <c r="AD15" s="402"/>
    </row>
    <row r="16" spans="2:30">
      <c r="B16" t="s">
        <v>18</v>
      </c>
      <c r="C16" s="51">
        <v>25</v>
      </c>
      <c r="E16" s="10" t="s">
        <v>14</v>
      </c>
      <c r="G16" s="21"/>
      <c r="H16" s="21"/>
      <c r="I16" s="21"/>
      <c r="J16" s="21"/>
      <c r="K16" s="21"/>
      <c r="L16" s="21"/>
      <c r="M16" s="21"/>
      <c r="N16" s="21"/>
      <c r="O16" s="21"/>
      <c r="Q16" s="66" t="s">
        <v>74</v>
      </c>
      <c r="R16" s="128">
        <v>-10.445948140769833</v>
      </c>
      <c r="S16" s="128">
        <v>4.9873747965392319</v>
      </c>
      <c r="T16" s="129">
        <v>-3.2531531827820479</v>
      </c>
      <c r="V16" s="48"/>
      <c r="W16" s="92"/>
      <c r="X16" s="92"/>
      <c r="Y16" s="404"/>
      <c r="Z16" s="92"/>
      <c r="AB16" s="401"/>
      <c r="AC16" s="402"/>
      <c r="AD16" s="402"/>
    </row>
    <row r="17" spans="2:32">
      <c r="B17" s="2" t="s">
        <v>26</v>
      </c>
      <c r="C17" s="37">
        <f>+C15*C16</f>
        <v>346.1118119155073</v>
      </c>
      <c r="E17" s="22" t="s">
        <v>50</v>
      </c>
      <c r="F17" s="97"/>
      <c r="G17" s="98"/>
      <c r="H17" s="98"/>
      <c r="I17" s="98"/>
      <c r="J17" s="56"/>
      <c r="Q17" s="66" t="s">
        <v>40</v>
      </c>
      <c r="R17" s="128">
        <v>-10.445948140769833</v>
      </c>
      <c r="S17" s="128">
        <v>10.045531934890345</v>
      </c>
      <c r="T17" s="129">
        <v>0.21179404091236112</v>
      </c>
      <c r="V17" s="48"/>
      <c r="W17" s="92"/>
      <c r="X17" s="92"/>
      <c r="Y17" s="404"/>
      <c r="Z17" s="92"/>
      <c r="AB17" s="401"/>
      <c r="AC17" s="402"/>
      <c r="AD17" s="402"/>
    </row>
    <row r="18" spans="2:32">
      <c r="B18" s="99" t="s">
        <v>9</v>
      </c>
      <c r="C18" s="100">
        <f>+C17/$C$5-1</f>
        <v>1.9974176142331976</v>
      </c>
      <c r="Q18" s="66" t="s">
        <v>41</v>
      </c>
      <c r="R18" s="128">
        <v>-10.445948140769833</v>
      </c>
      <c r="S18" s="128">
        <v>10.045531934890345</v>
      </c>
      <c r="T18" s="129">
        <v>0.22848892948128288</v>
      </c>
      <c r="V18" s="48"/>
      <c r="W18" s="92"/>
      <c r="X18" s="92"/>
      <c r="Y18" s="404"/>
      <c r="Z18" s="92"/>
      <c r="AB18" s="401"/>
      <c r="AC18" s="402"/>
      <c r="AD18" s="402"/>
    </row>
    <row r="19" spans="2:32">
      <c r="B19" s="101" t="s">
        <v>52</v>
      </c>
      <c r="C19" s="102">
        <f>+C17/$C$5</f>
        <v>2.9974176142331976</v>
      </c>
      <c r="E19" s="36" t="s">
        <v>283</v>
      </c>
      <c r="F19" s="64" t="s">
        <v>31</v>
      </c>
      <c r="G19" s="64" t="s">
        <v>31</v>
      </c>
      <c r="H19" s="65" t="s">
        <v>70</v>
      </c>
      <c r="I19" s="65" t="s">
        <v>81</v>
      </c>
      <c r="J19" s="65" t="s">
        <v>331</v>
      </c>
      <c r="K19" s="65">
        <v>2023</v>
      </c>
      <c r="L19" s="65" t="s">
        <v>67</v>
      </c>
      <c r="M19" s="65" t="s">
        <v>75</v>
      </c>
      <c r="N19" s="65" t="s">
        <v>224</v>
      </c>
      <c r="O19" s="65" t="s">
        <v>285</v>
      </c>
      <c r="V19" s="48"/>
      <c r="W19" s="92"/>
      <c r="X19" s="92"/>
      <c r="Y19" s="404"/>
      <c r="Z19" s="92"/>
      <c r="AB19" s="401"/>
      <c r="AC19" s="402"/>
      <c r="AD19" s="402"/>
    </row>
    <row r="20" spans="2:32">
      <c r="B20" s="46" t="s">
        <v>53</v>
      </c>
      <c r="C20" s="47">
        <f>+RATE(3,0,-C5,C17,0,0)</f>
        <v>0.44183562431459772</v>
      </c>
      <c r="E20" s="78" t="s">
        <v>44</v>
      </c>
      <c r="F20" s="79">
        <f t="shared" ref="F20:O20" si="9">+$C$11/F4</f>
        <v>21.832471108178154</v>
      </c>
      <c r="G20" s="79">
        <f t="shared" si="9"/>
        <v>16.592693308282897</v>
      </c>
      <c r="H20" s="79">
        <f t="shared" si="9"/>
        <v>23.601875851044934</v>
      </c>
      <c r="I20" s="79">
        <f t="shared" si="9"/>
        <v>13.307050920439941</v>
      </c>
      <c r="J20" s="79">
        <f t="shared" si="9"/>
        <v>9.49301785926896</v>
      </c>
      <c r="K20" s="80">
        <f t="shared" si="9"/>
        <v>6.7344115686269372</v>
      </c>
      <c r="L20" s="80">
        <f t="shared" si="9"/>
        <v>4.7022697236333633</v>
      </c>
      <c r="M20" s="80">
        <f t="shared" si="9"/>
        <v>3.4330365223897368</v>
      </c>
      <c r="N20" s="81">
        <f t="shared" si="9"/>
        <v>2.4757417745132226</v>
      </c>
      <c r="O20" s="81">
        <f t="shared" si="9"/>
        <v>1.7588371844958717</v>
      </c>
      <c r="P20" s="408"/>
      <c r="Q20" s="72" t="s">
        <v>45</v>
      </c>
      <c r="R20" s="67" t="s">
        <v>37</v>
      </c>
      <c r="S20" s="67" t="s">
        <v>38</v>
      </c>
      <c r="T20" s="67" t="s">
        <v>24</v>
      </c>
      <c r="V20" s="48"/>
      <c r="W20" s="92"/>
      <c r="X20" s="92"/>
      <c r="Y20" s="404"/>
      <c r="Z20" s="92"/>
      <c r="AB20" s="401"/>
      <c r="AC20" s="402"/>
      <c r="AD20" s="402"/>
    </row>
    <row r="21" spans="2:32">
      <c r="E21" s="82" t="s">
        <v>7</v>
      </c>
      <c r="F21" s="320">
        <f t="shared" ref="F21:O21" si="10">+$C$11/F8</f>
        <v>4235.1088240391773</v>
      </c>
      <c r="G21" s="320">
        <f t="shared" si="10"/>
        <v>-159.00931689134322</v>
      </c>
      <c r="H21" s="320">
        <f t="shared" si="10"/>
        <v>-23.186862961303003</v>
      </c>
      <c r="I21" s="320">
        <f t="shared" si="10"/>
        <v>147.04046535156047</v>
      </c>
      <c r="J21" s="320">
        <f t="shared" si="10"/>
        <v>42.16205281529453</v>
      </c>
      <c r="K21" s="321">
        <f t="shared" si="10"/>
        <v>31.39208833380831</v>
      </c>
      <c r="L21" s="321">
        <f t="shared" si="10"/>
        <v>21.420462789898657</v>
      </c>
      <c r="M21" s="321">
        <f t="shared" si="10"/>
        <v>15.638667155696782</v>
      </c>
      <c r="N21" s="83">
        <f t="shared" si="10"/>
        <v>10.786496738629278</v>
      </c>
      <c r="O21" s="83">
        <f t="shared" si="10"/>
        <v>7.6630332572042192</v>
      </c>
      <c r="Q21" s="66" t="s">
        <v>39</v>
      </c>
      <c r="R21" s="131">
        <f t="shared" ref="R21:T24" si="11">+$P$20+R15</f>
        <v>-9.402429231078095</v>
      </c>
      <c r="S21" s="131">
        <f t="shared" si="11"/>
        <v>0.92963083749294739</v>
      </c>
      <c r="T21" s="130">
        <f t="shared" si="11"/>
        <v>-4.4306691722240421</v>
      </c>
      <c r="V21" s="48"/>
      <c r="W21" s="92"/>
      <c r="X21" s="92"/>
      <c r="Y21" s="404"/>
      <c r="Z21" s="92"/>
      <c r="AB21" s="401"/>
      <c r="AC21" s="402"/>
      <c r="AD21" s="402"/>
    </row>
    <row r="22" spans="2:32">
      <c r="B22" s="57" t="s">
        <v>55</v>
      </c>
      <c r="C22" s="58"/>
      <c r="E22" s="82" t="s">
        <v>8</v>
      </c>
      <c r="F22" s="320">
        <f t="shared" ref="F22:N22" si="12">+$C$5/F13</f>
        <v>-6578.7871126917098</v>
      </c>
      <c r="G22" s="320">
        <f t="shared" si="12"/>
        <v>-43.714667480330405</v>
      </c>
      <c r="H22" s="320">
        <f t="shared" si="12"/>
        <v>-9.4063795964893462</v>
      </c>
      <c r="I22" s="320">
        <f t="shared" si="12"/>
        <v>1090.8264450135721</v>
      </c>
      <c r="J22" s="320">
        <f t="shared" si="12"/>
        <v>40.12243229432805</v>
      </c>
      <c r="K22" s="321">
        <f t="shared" si="12"/>
        <v>33.071743950898949</v>
      </c>
      <c r="L22" s="321">
        <f t="shared" si="12"/>
        <v>22.722966852727104</v>
      </c>
      <c r="M22" s="321">
        <f t="shared" si="12"/>
        <v>16.726194878514512</v>
      </c>
      <c r="N22" s="83">
        <f t="shared" si="12"/>
        <v>11.634844362194517</v>
      </c>
      <c r="O22" s="83">
        <f t="shared" ref="O22" si="13">+$C$5/O13</f>
        <v>8.3405128071870394</v>
      </c>
      <c r="Q22" s="66" t="s">
        <v>74</v>
      </c>
      <c r="R22" s="131">
        <f t="shared" si="11"/>
        <v>-10.445948140769833</v>
      </c>
      <c r="S22" s="131">
        <f t="shared" si="11"/>
        <v>4.9873747965392319</v>
      </c>
      <c r="T22" s="130">
        <f t="shared" si="11"/>
        <v>-3.2531531827820479</v>
      </c>
      <c r="V22" s="48"/>
      <c r="W22" s="92"/>
      <c r="X22" s="92"/>
      <c r="Y22" s="404"/>
      <c r="Z22" s="21"/>
      <c r="AB22" s="401"/>
      <c r="AC22" s="402"/>
      <c r="AD22" s="402"/>
    </row>
    <row r="23" spans="2:32">
      <c r="B23" t="s">
        <v>221</v>
      </c>
      <c r="C23" s="110">
        <f>+L13</f>
        <v>5.0816427603133096</v>
      </c>
      <c r="E23" s="84" t="s">
        <v>21</v>
      </c>
      <c r="F23" s="85"/>
      <c r="G23" s="85"/>
      <c r="H23" s="85"/>
      <c r="I23" s="85"/>
      <c r="J23" s="85"/>
      <c r="K23" s="86">
        <f>+$C$5/K15</f>
        <v>29.30710659898477</v>
      </c>
      <c r="L23" s="86">
        <f>+$C$5/L15</f>
        <v>26.48394495412844</v>
      </c>
      <c r="M23" s="86">
        <f>+$C$5/M15</f>
        <v>22.334622823984525</v>
      </c>
      <c r="N23" s="322"/>
      <c r="O23" s="322"/>
      <c r="Q23" s="66" t="s">
        <v>40</v>
      </c>
      <c r="R23" s="131">
        <f t="shared" si="11"/>
        <v>-10.445948140769833</v>
      </c>
      <c r="S23" s="131">
        <f t="shared" si="11"/>
        <v>10.045531934890345</v>
      </c>
      <c r="T23" s="130">
        <f t="shared" si="11"/>
        <v>0.21179404091236112</v>
      </c>
      <c r="V23" s="48"/>
      <c r="W23" s="21"/>
      <c r="X23" s="21"/>
      <c r="Y23" s="400"/>
      <c r="Z23" s="21"/>
      <c r="AB23" s="401"/>
      <c r="AC23" s="402"/>
      <c r="AD23" s="402"/>
    </row>
    <row r="24" spans="2:32">
      <c r="B24" t="s">
        <v>18</v>
      </c>
      <c r="C24" s="51">
        <v>25</v>
      </c>
      <c r="Q24" s="66" t="s">
        <v>41</v>
      </c>
      <c r="R24" s="131">
        <f t="shared" si="11"/>
        <v>-10.445948140769833</v>
      </c>
      <c r="S24" s="131">
        <f t="shared" si="11"/>
        <v>10.045531934890345</v>
      </c>
      <c r="T24" s="130">
        <f t="shared" si="11"/>
        <v>0.22848892948128288</v>
      </c>
      <c r="V24" s="48"/>
      <c r="W24" s="21"/>
      <c r="X24" s="21"/>
      <c r="Y24" s="400"/>
      <c r="Z24" s="21"/>
      <c r="AB24" s="401"/>
      <c r="AC24" s="402"/>
      <c r="AD24" s="402"/>
    </row>
    <row r="25" spans="2:32">
      <c r="B25" s="17" t="s">
        <v>19</v>
      </c>
      <c r="C25" s="45">
        <f>+C23*C24</f>
        <v>127.04106900783275</v>
      </c>
      <c r="V25" s="48"/>
      <c r="W25" s="21"/>
      <c r="X25" s="21"/>
      <c r="Y25" s="400"/>
      <c r="Z25" s="21"/>
      <c r="AB25" s="401"/>
      <c r="AC25" s="402"/>
      <c r="AD25" s="402"/>
    </row>
    <row r="26" spans="2:32">
      <c r="B26" s="101" t="s">
        <v>9</v>
      </c>
      <c r="C26" s="115">
        <f>+C25/$C$5-1</f>
        <v>0.10020844381945748</v>
      </c>
      <c r="E26" s="104" t="s">
        <v>151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Q26" s="88" t="s">
        <v>46</v>
      </c>
      <c r="R26" s="31"/>
      <c r="S26" s="31"/>
      <c r="T26" s="31"/>
      <c r="V26" s="48"/>
      <c r="W26" s="21"/>
      <c r="X26" s="21"/>
      <c r="Y26" s="400"/>
      <c r="Z26" s="21"/>
      <c r="AB26" s="401"/>
      <c r="AC26" s="402"/>
      <c r="AD26" s="402"/>
    </row>
    <row r="27" spans="2:32">
      <c r="B27" s="46" t="s">
        <v>52</v>
      </c>
      <c r="C27" s="23">
        <f>+C25/$C$5</f>
        <v>1.1002084438194575</v>
      </c>
      <c r="E27" s="39"/>
      <c r="F27" s="39"/>
      <c r="G27" s="39"/>
      <c r="H27" s="87"/>
      <c r="I27" s="40"/>
      <c r="J27" s="40"/>
      <c r="K27" s="40"/>
      <c r="L27" s="39"/>
      <c r="M27" s="39"/>
      <c r="N27" s="39"/>
      <c r="O27" s="39"/>
      <c r="Q27" s="103"/>
      <c r="V27" s="48"/>
      <c r="W27" s="21"/>
      <c r="X27" s="21"/>
      <c r="Y27" s="400"/>
      <c r="Z27" s="21"/>
      <c r="AB27" s="401"/>
      <c r="AC27" s="402"/>
      <c r="AD27" s="402"/>
    </row>
    <row r="28" spans="2:32">
      <c r="E28" s="39"/>
      <c r="F28" s="39"/>
      <c r="G28" s="39"/>
      <c r="H28" s="87"/>
      <c r="I28" s="40"/>
      <c r="J28" s="40"/>
      <c r="K28" s="40"/>
      <c r="L28" s="39"/>
      <c r="M28" s="39"/>
      <c r="N28" s="39"/>
      <c r="O28" s="39"/>
      <c r="Q28" s="29"/>
      <c r="V28" s="48"/>
      <c r="W28" s="106"/>
      <c r="X28" s="106"/>
      <c r="Y28" s="403"/>
      <c r="Z28" s="106"/>
      <c r="AB28" s="401"/>
      <c r="AC28" s="402"/>
      <c r="AD28" s="402"/>
    </row>
    <row r="29" spans="2:32">
      <c r="B29" s="52" t="s">
        <v>54</v>
      </c>
      <c r="C29" s="53"/>
      <c r="E29" s="39"/>
      <c r="F29" s="39"/>
      <c r="G29" s="39"/>
      <c r="H29" s="87"/>
      <c r="I29" s="40"/>
      <c r="J29" s="40"/>
      <c r="K29" s="40"/>
      <c r="L29" s="39"/>
      <c r="M29" s="39"/>
      <c r="N29" s="39"/>
      <c r="O29" s="39"/>
      <c r="Q29" s="29"/>
      <c r="V29" s="48"/>
      <c r="W29" s="106"/>
      <c r="X29" s="106"/>
      <c r="Y29" s="403"/>
      <c r="Z29" s="106"/>
      <c r="AA29" s="34"/>
      <c r="AB29" s="401"/>
      <c r="AC29" s="402"/>
      <c r="AD29" s="402"/>
    </row>
    <row r="30" spans="2:32">
      <c r="B30" t="s">
        <v>351</v>
      </c>
      <c r="C30" s="113">
        <f>Q6</f>
        <v>4.6751113394882449</v>
      </c>
      <c r="E30" s="39"/>
      <c r="F30" s="39"/>
      <c r="G30" s="39"/>
      <c r="H30" s="87"/>
      <c r="I30" s="40"/>
      <c r="J30" s="40"/>
      <c r="K30" s="40"/>
      <c r="L30" s="39"/>
      <c r="M30" s="39"/>
      <c r="N30" s="39"/>
      <c r="O30" s="39"/>
      <c r="R30" s="29"/>
      <c r="W30" s="48"/>
      <c r="X30" s="106"/>
      <c r="Y30" s="106"/>
      <c r="Z30" s="403"/>
      <c r="AA30" s="106"/>
      <c r="AB30" s="34"/>
      <c r="AC30" s="401"/>
      <c r="AD30" s="402"/>
      <c r="AE30" s="402"/>
    </row>
    <row r="31" spans="2:32">
      <c r="B31" t="s">
        <v>18</v>
      </c>
      <c r="C31" s="51">
        <v>20</v>
      </c>
      <c r="E31" s="39"/>
      <c r="F31" s="39"/>
      <c r="G31" s="39"/>
      <c r="H31" s="87"/>
      <c r="I31" s="40"/>
      <c r="J31" s="40"/>
      <c r="K31" s="40"/>
      <c r="L31" s="39"/>
      <c r="M31" s="39"/>
      <c r="N31" s="39"/>
      <c r="O31" s="39"/>
      <c r="R31" s="29"/>
      <c r="W31" s="48"/>
      <c r="X31" s="106"/>
      <c r="Y31" s="106"/>
      <c r="Z31" s="403"/>
      <c r="AA31" s="106"/>
      <c r="AB31" s="34"/>
      <c r="AC31" s="401"/>
      <c r="AD31" s="402"/>
      <c r="AE31" s="402"/>
      <c r="AF31" s="36"/>
    </row>
    <row r="32" spans="2:32">
      <c r="B32" s="17" t="s">
        <v>49</v>
      </c>
      <c r="C32" s="45">
        <f>+C30*C31</f>
        <v>93.502226789764904</v>
      </c>
      <c r="E32" s="39"/>
      <c r="F32" s="89"/>
      <c r="G32" s="89"/>
      <c r="H32" s="87"/>
      <c r="I32" s="40"/>
      <c r="J32" s="40"/>
      <c r="K32" s="40"/>
      <c r="L32" s="39"/>
      <c r="M32" s="39"/>
      <c r="N32" s="39"/>
      <c r="O32" s="39"/>
      <c r="R32" s="29"/>
      <c r="W32" s="48"/>
      <c r="X32" s="21"/>
      <c r="Y32" s="21"/>
      <c r="Z32" s="400"/>
      <c r="AA32" s="21"/>
      <c r="AC32" s="401"/>
      <c r="AD32" s="402"/>
      <c r="AE32" s="402"/>
      <c r="AF32" s="109"/>
    </row>
    <row r="33" spans="2:32">
      <c r="B33" s="46" t="s">
        <v>9</v>
      </c>
      <c r="C33" s="47">
        <f>+C32/$C$5-1</f>
        <v>-0.19024658534887928</v>
      </c>
      <c r="E33" s="39"/>
      <c r="F33" s="39"/>
      <c r="G33" s="39"/>
      <c r="H33" s="87"/>
      <c r="I33" s="40"/>
      <c r="J33" s="40"/>
      <c r="K33" s="40"/>
      <c r="L33" s="39"/>
      <c r="M33" s="39"/>
      <c r="N33" s="39"/>
      <c r="O33" s="39"/>
      <c r="R33" s="29"/>
      <c r="W33" s="48"/>
      <c r="X33" s="21"/>
      <c r="Y33" s="21"/>
      <c r="Z33" s="400"/>
      <c r="AA33" s="21"/>
      <c r="AC33" s="401"/>
      <c r="AD33" s="402"/>
      <c r="AE33" s="402"/>
    </row>
    <row r="34" spans="2:32">
      <c r="E34" s="39"/>
      <c r="F34" s="39"/>
      <c r="G34" s="39"/>
      <c r="H34" s="87"/>
      <c r="I34" s="40"/>
      <c r="J34" s="40"/>
      <c r="K34" s="40"/>
      <c r="L34" s="39"/>
      <c r="M34" s="39"/>
      <c r="N34" s="39"/>
      <c r="O34" s="39"/>
      <c r="R34" s="29"/>
      <c r="W34" s="48"/>
      <c r="X34" s="21"/>
      <c r="Y34" s="21"/>
      <c r="Z34" s="400"/>
      <c r="AA34" s="21"/>
      <c r="AC34" s="401"/>
      <c r="AD34" s="402"/>
      <c r="AE34" s="402"/>
    </row>
    <row r="35" spans="2:32">
      <c r="R35" s="29"/>
      <c r="AC35"/>
    </row>
    <row r="36" spans="2:32">
      <c r="E36" s="104" t="s">
        <v>152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R36" s="29"/>
      <c r="AC36"/>
      <c r="AF36" s="36"/>
    </row>
    <row r="37" spans="2:32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R37" s="29"/>
      <c r="AC37"/>
    </row>
    <row r="38" spans="2:32"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Q38" s="90"/>
      <c r="R38" s="29"/>
      <c r="U38" s="90"/>
      <c r="AC38"/>
    </row>
    <row r="39" spans="2:32"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Q39" s="66"/>
      <c r="R39" s="29"/>
      <c r="U39" s="66"/>
      <c r="AC39"/>
    </row>
    <row r="40" spans="2:32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Q40" s="66"/>
      <c r="R40" s="29"/>
      <c r="U40" s="66"/>
      <c r="AC40"/>
    </row>
    <row r="41" spans="2:32">
      <c r="B41" s="33" t="s">
        <v>51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Q41" s="66"/>
      <c r="R41" s="29"/>
      <c r="U41" s="66"/>
      <c r="AC41"/>
      <c r="AF41" s="36"/>
    </row>
    <row r="42" spans="2:32">
      <c r="B42" s="34"/>
      <c r="Q42" s="66"/>
      <c r="R42" s="29"/>
      <c r="U42" s="66"/>
      <c r="AC42"/>
    </row>
    <row r="43" spans="2:32">
      <c r="B43" s="34"/>
      <c r="Q43" s="66"/>
      <c r="R43" s="29"/>
      <c r="U43" s="66"/>
      <c r="AC43"/>
    </row>
    <row r="44" spans="2:32">
      <c r="B44" s="34"/>
      <c r="Q44" s="66"/>
      <c r="R44" s="29"/>
      <c r="U44" s="66"/>
      <c r="AC44"/>
    </row>
    <row r="45" spans="2:32">
      <c r="Q45" s="66"/>
      <c r="R45" s="29"/>
      <c r="U45" s="66"/>
      <c r="AC45"/>
    </row>
    <row r="46" spans="2:32">
      <c r="Q46" s="66"/>
      <c r="R46" s="29"/>
      <c r="U46" s="66"/>
      <c r="AC46"/>
    </row>
    <row r="47" spans="2:32">
      <c r="Q47" s="66"/>
      <c r="R47" s="29"/>
      <c r="U47" s="66"/>
      <c r="AC47"/>
    </row>
    <row r="48" spans="2:32">
      <c r="E48" s="114"/>
      <c r="R48" s="29"/>
      <c r="AC48"/>
    </row>
    <row r="49" spans="18:29">
      <c r="R49" s="29"/>
      <c r="AC49"/>
    </row>
    <row r="50" spans="18:29">
      <c r="R50" s="29"/>
      <c r="AC50"/>
    </row>
    <row r="51" spans="18:29">
      <c r="R51" s="29"/>
      <c r="AC51"/>
    </row>
    <row r="52" spans="18:29">
      <c r="AC52"/>
    </row>
    <row r="53" spans="18:29">
      <c r="S53" s="41"/>
      <c r="AC53"/>
    </row>
  </sheetData>
  <phoneticPr fontId="19" type="noConversion"/>
  <conditionalFormatting sqref="AA30:AA34 Z4:Z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C635-F5B3-4ADC-B2CE-B988EEB4DB26}">
  <sheetPr>
    <tabColor rgb="FF008000"/>
  </sheetPr>
  <dimension ref="A1:AL346"/>
  <sheetViews>
    <sheetView zoomScale="125" zoomScaleNormal="85" zoomScaleSheetLayoutView="80" workbookViewId="0">
      <pane xSplit="2" ySplit="4" topLeftCell="D30" activePane="bottomRight" state="frozen"/>
      <selection activeCell="D724" sqref="D724"/>
      <selection pane="topRight" activeCell="D724" sqref="D724"/>
      <selection pane="bottomLeft" activeCell="D724" sqref="D724"/>
      <selection pane="bottomRight" activeCell="AB134" sqref="AB134"/>
    </sheetView>
  </sheetViews>
  <sheetFormatPr baseColWidth="10" defaultColWidth="11.5" defaultRowHeight="14.5" customHeight="1" outlineLevelRow="1" outlineLevelCol="1"/>
  <cols>
    <col min="1" max="1" width="1.6640625" customWidth="1"/>
    <col min="2" max="2" width="59" customWidth="1"/>
    <col min="3" max="3" width="1.6640625" hidden="1" customWidth="1"/>
    <col min="4" max="4" width="14.5" bestFit="1" customWidth="1"/>
    <col min="5" max="5" width="1.6640625" hidden="1" customWidth="1" outlineLevel="1"/>
    <col min="6" max="9" width="11.5" hidden="1" customWidth="1" outlineLevel="1"/>
    <col min="10" max="10" width="14.83203125" bestFit="1" customWidth="1" collapsed="1"/>
    <col min="11" max="11" width="1.6640625" hidden="1" customWidth="1" outlineLevel="1"/>
    <col min="12" max="15" width="11.5" hidden="1" customWidth="1" outlineLevel="1"/>
    <col min="16" max="16" width="13" bestFit="1" customWidth="1" collapsed="1"/>
    <col min="17" max="17" width="1.6640625" hidden="1" customWidth="1" outlineLevel="1"/>
    <col min="18" max="18" width="11.5" hidden="1" customWidth="1" outlineLevel="1"/>
    <col min="19" max="20" width="13.5" hidden="1" customWidth="1" outlineLevel="1"/>
    <col min="21" max="21" width="11.5" hidden="1" customWidth="1" outlineLevel="1"/>
    <col min="22" max="22" width="12.5" bestFit="1" customWidth="1" collapsed="1"/>
    <col min="23" max="23" width="1.6640625" hidden="1" customWidth="1" outlineLevel="1"/>
    <col min="24" max="27" width="11.5" hidden="1" customWidth="1" outlineLevel="1"/>
    <col min="28" max="28" width="12.5" bestFit="1" customWidth="1" collapsed="1"/>
    <col min="29" max="29" width="2" hidden="1" customWidth="1"/>
    <col min="30" max="33" width="11.5" hidden="1" customWidth="1" outlineLevel="1"/>
    <col min="34" max="34" width="15" bestFit="1" customWidth="1" collapsed="1"/>
    <col min="35" max="38" width="14.1640625" bestFit="1" customWidth="1"/>
  </cols>
  <sheetData>
    <row r="1" spans="1:38" ht="14.5" customHeight="1">
      <c r="B1" s="218" t="s">
        <v>283</v>
      </c>
      <c r="D1" s="43"/>
      <c r="F1" s="42"/>
      <c r="G1" s="42"/>
      <c r="H1" s="42"/>
      <c r="I1" s="42"/>
      <c r="J1" s="43"/>
      <c r="L1" s="42"/>
      <c r="M1" s="42"/>
      <c r="N1" s="42"/>
      <c r="O1" s="42"/>
      <c r="P1" s="43"/>
      <c r="R1" s="42"/>
      <c r="S1" s="42"/>
      <c r="T1" s="42"/>
      <c r="U1" s="42"/>
      <c r="V1" s="43"/>
      <c r="X1" s="42"/>
      <c r="Y1" s="42"/>
      <c r="Z1" s="42"/>
      <c r="AA1" s="42"/>
      <c r="AB1" s="43"/>
      <c r="AC1" s="42"/>
      <c r="AD1" s="42"/>
      <c r="AE1" s="42"/>
      <c r="AF1" s="42"/>
      <c r="AG1" s="42"/>
      <c r="AH1" s="317">
        <f>AH162</f>
        <v>3.4915001812857627</v>
      </c>
      <c r="AI1" s="317">
        <f t="shared" ref="AI1:AL1" si="0">AI162</f>
        <v>5.0816427603133096</v>
      </c>
      <c r="AJ1" s="317">
        <f t="shared" si="0"/>
        <v>6.903542666977172</v>
      </c>
      <c r="AK1" s="317">
        <f t="shared" si="0"/>
        <v>9.9244988936165299</v>
      </c>
      <c r="AL1" s="317">
        <f t="shared" si="0"/>
        <v>13.844472476620291</v>
      </c>
    </row>
    <row r="2" spans="1:38" s="2" customFormat="1" ht="14.5" customHeight="1">
      <c r="B2" s="2" t="s">
        <v>10</v>
      </c>
      <c r="D2" s="11">
        <v>2018</v>
      </c>
      <c r="F2" s="13" t="s">
        <v>17</v>
      </c>
      <c r="G2" s="14" t="s">
        <v>20</v>
      </c>
      <c r="H2" s="14" t="s">
        <v>22</v>
      </c>
      <c r="I2" s="15" t="s">
        <v>23</v>
      </c>
      <c r="J2" s="9">
        <v>2019</v>
      </c>
      <c r="L2" s="121" t="s">
        <v>65</v>
      </c>
      <c r="M2" s="123" t="s">
        <v>66</v>
      </c>
      <c r="N2" s="123" t="s">
        <v>68</v>
      </c>
      <c r="O2" s="124" t="s">
        <v>69</v>
      </c>
      <c r="P2" s="9">
        <v>2020</v>
      </c>
      <c r="R2" s="121" t="s">
        <v>72</v>
      </c>
      <c r="S2" s="123" t="s">
        <v>73</v>
      </c>
      <c r="T2" s="123" t="s">
        <v>77</v>
      </c>
      <c r="U2" s="124" t="s">
        <v>80</v>
      </c>
      <c r="V2" s="9">
        <v>2021</v>
      </c>
      <c r="X2" s="121" t="s">
        <v>106</v>
      </c>
      <c r="Y2" s="123" t="s">
        <v>107</v>
      </c>
      <c r="Z2" s="123" t="s">
        <v>232</v>
      </c>
      <c r="AA2" s="124" t="s">
        <v>343</v>
      </c>
      <c r="AB2" s="11">
        <v>2022</v>
      </c>
      <c r="AC2" s="354"/>
      <c r="AD2" s="121" t="s">
        <v>335</v>
      </c>
      <c r="AE2" s="123" t="s">
        <v>336</v>
      </c>
      <c r="AF2" s="123" t="s">
        <v>338</v>
      </c>
      <c r="AG2" s="124" t="s">
        <v>337</v>
      </c>
      <c r="AH2" s="9" t="s">
        <v>25</v>
      </c>
      <c r="AI2" s="9" t="s">
        <v>67</v>
      </c>
      <c r="AJ2" s="9" t="s">
        <v>75</v>
      </c>
      <c r="AK2" s="9" t="s">
        <v>224</v>
      </c>
      <c r="AL2" s="9" t="s">
        <v>285</v>
      </c>
    </row>
    <row r="3" spans="1:38" s="145" customFormat="1" ht="14.5" customHeight="1">
      <c r="B3" s="146" t="s">
        <v>11</v>
      </c>
      <c r="C3" s="318"/>
      <c r="D3" s="319">
        <v>43465</v>
      </c>
      <c r="E3" s="318"/>
      <c r="F3" s="318">
        <v>43554</v>
      </c>
      <c r="G3" s="318">
        <v>43646</v>
      </c>
      <c r="H3" s="318">
        <v>43738</v>
      </c>
      <c r="I3" s="318">
        <v>43827</v>
      </c>
      <c r="J3" s="319">
        <v>43830</v>
      </c>
      <c r="K3" s="318"/>
      <c r="L3" s="318">
        <v>43920</v>
      </c>
      <c r="M3" s="318">
        <v>44012</v>
      </c>
      <c r="N3" s="318">
        <v>44104</v>
      </c>
      <c r="O3" s="318">
        <v>44196</v>
      </c>
      <c r="P3" s="319">
        <v>44196</v>
      </c>
      <c r="Q3" s="318"/>
      <c r="R3" s="318">
        <v>44286</v>
      </c>
      <c r="S3" s="318">
        <v>44377</v>
      </c>
      <c r="T3" s="318">
        <v>44469</v>
      </c>
      <c r="U3" s="318">
        <v>44561</v>
      </c>
      <c r="V3" s="319">
        <v>44561</v>
      </c>
      <c r="W3" s="318"/>
      <c r="X3" s="318">
        <v>44651</v>
      </c>
      <c r="Y3" s="318">
        <v>44742</v>
      </c>
      <c r="Z3" s="372">
        <v>44834</v>
      </c>
      <c r="AA3" s="372">
        <v>44926</v>
      </c>
      <c r="AB3" s="373">
        <v>44926</v>
      </c>
      <c r="AC3" s="126"/>
      <c r="AD3" s="318">
        <v>44651</v>
      </c>
      <c r="AE3" s="318">
        <v>44742</v>
      </c>
      <c r="AF3" s="126">
        <v>44834</v>
      </c>
      <c r="AG3" s="126">
        <v>44926</v>
      </c>
      <c r="AH3" s="16">
        <v>45288</v>
      </c>
      <c r="AI3" s="16">
        <v>45654</v>
      </c>
      <c r="AJ3" s="16">
        <v>46019</v>
      </c>
      <c r="AK3" s="16">
        <v>46384</v>
      </c>
      <c r="AL3" s="16">
        <v>46749</v>
      </c>
    </row>
    <row r="4" spans="1:38" ht="14.5" customHeight="1">
      <c r="B4" s="10" t="s">
        <v>12</v>
      </c>
      <c r="C4" s="66"/>
      <c r="D4" s="125" t="e">
        <f>+D3-#REF!</f>
        <v>#REF!</v>
      </c>
      <c r="E4" s="66"/>
      <c r="F4" s="122">
        <f>+F3-D3</f>
        <v>89</v>
      </c>
      <c r="G4" s="122">
        <f>+G3-F3</f>
        <v>92</v>
      </c>
      <c r="H4" s="122">
        <f>+H3-G3</f>
        <v>92</v>
      </c>
      <c r="I4" s="122">
        <f>+I3-H3</f>
        <v>89</v>
      </c>
      <c r="J4" s="125">
        <f>+J3-D3</f>
        <v>365</v>
      </c>
      <c r="K4" s="66"/>
      <c r="L4" s="122">
        <f>+L3-J3</f>
        <v>90</v>
      </c>
      <c r="M4" s="122">
        <f>+M3-L3</f>
        <v>92</v>
      </c>
      <c r="N4" s="122">
        <f>+N3-M3</f>
        <v>92</v>
      </c>
      <c r="O4" s="122">
        <f>+O3-N3</f>
        <v>92</v>
      </c>
      <c r="P4" s="125">
        <f>+P3-J3</f>
        <v>366</v>
      </c>
      <c r="Q4" s="66"/>
      <c r="R4" s="122">
        <f>+R3-P3</f>
        <v>90</v>
      </c>
      <c r="S4" s="122">
        <f>+S3-R3</f>
        <v>91</v>
      </c>
      <c r="T4" s="122">
        <f>+T3-S3</f>
        <v>92</v>
      </c>
      <c r="U4" s="122">
        <f>+U3-T3</f>
        <v>92</v>
      </c>
      <c r="V4" s="125">
        <f>+V3-P3</f>
        <v>365</v>
      </c>
      <c r="W4" s="66"/>
      <c r="X4" s="122">
        <f>+X3-V3</f>
        <v>90</v>
      </c>
      <c r="Y4" s="122">
        <f>+Y3-X3</f>
        <v>91</v>
      </c>
      <c r="Z4" s="30">
        <f>+Z3-Y3</f>
        <v>92</v>
      </c>
      <c r="AA4" s="30">
        <f>+AA3-Z3</f>
        <v>92</v>
      </c>
      <c r="AB4" s="117">
        <f>+AB3-V3</f>
        <v>365</v>
      </c>
      <c r="AC4" s="30"/>
      <c r="AD4" s="122">
        <f>+AD3-AB3</f>
        <v>-275</v>
      </c>
      <c r="AE4" s="122">
        <f>+AE3-AD3</f>
        <v>91</v>
      </c>
      <c r="AF4" s="30">
        <f>+AF3-AE3</f>
        <v>92</v>
      </c>
      <c r="AG4" s="30">
        <f>+AG3-AF3</f>
        <v>92</v>
      </c>
      <c r="AH4" s="117">
        <f>+AH3-AB3</f>
        <v>362</v>
      </c>
      <c r="AI4" s="117">
        <f>+AI3-AH3</f>
        <v>366</v>
      </c>
      <c r="AJ4" s="117">
        <f>+AJ3-AI3</f>
        <v>365</v>
      </c>
      <c r="AK4" s="117">
        <f>+AK3-AJ3</f>
        <v>365</v>
      </c>
      <c r="AL4" s="117">
        <f>+AL3-AK3</f>
        <v>365</v>
      </c>
    </row>
    <row r="5" spans="1:38" s="2" customFormat="1" ht="14.5" customHeight="1">
      <c r="A5" s="212"/>
      <c r="B5" s="1" t="s">
        <v>161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</row>
    <row r="6" spans="1:38" s="2" customFormat="1" ht="14.5" customHeight="1">
      <c r="A6" s="31"/>
      <c r="B6" s="108" t="s">
        <v>146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</row>
    <row r="7" spans="1:38" s="2" customFormat="1" ht="14.5" customHeight="1">
      <c r="D7" s="8"/>
      <c r="J7" s="8"/>
      <c r="P7" s="8"/>
      <c r="V7" s="8"/>
      <c r="AB7" s="8"/>
      <c r="AH7" s="8"/>
      <c r="AI7" s="8"/>
      <c r="AJ7" s="8"/>
      <c r="AK7" s="8"/>
      <c r="AL7" s="8"/>
    </row>
    <row r="8" spans="1:38" s="2" customFormat="1" ht="14.5" customHeight="1">
      <c r="B8" s="33" t="s">
        <v>342</v>
      </c>
      <c r="D8" s="8"/>
      <c r="J8" s="8"/>
      <c r="P8" s="8"/>
      <c r="V8" s="8"/>
      <c r="AB8" s="8"/>
      <c r="AH8" s="8"/>
      <c r="AI8" s="8"/>
      <c r="AJ8" s="8"/>
      <c r="AK8" s="8"/>
      <c r="AL8" s="8"/>
    </row>
    <row r="9" spans="1:38" s="2" customFormat="1" ht="14.5" customHeight="1">
      <c r="B9" s="155" t="s">
        <v>340</v>
      </c>
      <c r="D9" s="8">
        <v>250.3</v>
      </c>
      <c r="J9" s="8">
        <v>326.89999999999998</v>
      </c>
      <c r="N9" s="2">
        <v>61.8</v>
      </c>
      <c r="O9" s="2">
        <v>46.3</v>
      </c>
      <c r="P9" s="194">
        <f>P23+P37+P51+P65</f>
        <v>193.2</v>
      </c>
      <c r="Q9" s="349"/>
      <c r="R9" s="349">
        <v>64.400000000000006</v>
      </c>
      <c r="S9" s="349">
        <v>83.1</v>
      </c>
      <c r="T9" s="349">
        <v>79.7</v>
      </c>
      <c r="U9" s="349">
        <f>V9-R9-S9-T9</f>
        <v>73.399999999999963</v>
      </c>
      <c r="V9" s="194">
        <f>V23+V37+V51+V65</f>
        <v>300.59999999999997</v>
      </c>
      <c r="W9" s="349"/>
      <c r="X9" s="349">
        <v>102.1</v>
      </c>
      <c r="Y9" s="349">
        <v>103.7</v>
      </c>
      <c r="Z9" s="349">
        <v>99.7</v>
      </c>
      <c r="AA9" s="349">
        <f>AB9-X9-Y9-Z9</f>
        <v>88.499999999999986</v>
      </c>
      <c r="AB9" s="194">
        <f>AB23+AB37+AB51+AB65</f>
        <v>394</v>
      </c>
      <c r="AD9" s="2">
        <v>121.1</v>
      </c>
      <c r="AE9" s="2">
        <v>115.1</v>
      </c>
      <c r="AH9" s="194">
        <f>AH23+AH37+AH51+AH65</f>
        <v>533.37</v>
      </c>
      <c r="AI9" s="194">
        <f t="shared" ref="AI9:AL9" si="1">AI23+AI37+AI51+AI65</f>
        <v>737.58690000000013</v>
      </c>
      <c r="AJ9" s="194">
        <f t="shared" si="1"/>
        <v>970.44007099999999</v>
      </c>
      <c r="AK9" s="194">
        <f t="shared" si="1"/>
        <v>1294.1900429300001</v>
      </c>
      <c r="AL9" s="194">
        <f t="shared" si="1"/>
        <v>1750.4653235518999</v>
      </c>
    </row>
    <row r="10" spans="1:38" s="2" customFormat="1" ht="14.5" customHeight="1">
      <c r="B10" s="10" t="s">
        <v>14</v>
      </c>
      <c r="D10" s="8"/>
      <c r="J10" s="148">
        <f>+J9/D9-1</f>
        <v>0.30603276068717533</v>
      </c>
      <c r="K10" s="21"/>
      <c r="L10" s="21"/>
      <c r="M10" s="21"/>
      <c r="N10" s="21"/>
      <c r="O10" s="21"/>
      <c r="P10" s="148">
        <f t="shared" ref="P10:AB10" si="2">+P9/J9-1</f>
        <v>-0.4089935760171306</v>
      </c>
      <c r="Q10" s="21"/>
      <c r="R10" s="405"/>
      <c r="S10" s="405"/>
      <c r="T10" s="405">
        <f>T9/N9-1</f>
        <v>0.28964401294498399</v>
      </c>
      <c r="U10" s="405">
        <f>U9/O9-1</f>
        <v>0.58531317494600366</v>
      </c>
      <c r="V10" s="148">
        <f t="shared" si="2"/>
        <v>0.55590062111801242</v>
      </c>
      <c r="W10" s="21"/>
      <c r="X10" s="405">
        <f>X9/R9-1</f>
        <v>0.58540372670807428</v>
      </c>
      <c r="Y10" s="405">
        <f>Y9/S9-1</f>
        <v>0.24789410348977148</v>
      </c>
      <c r="Z10" s="405">
        <f>Z9/T9-1</f>
        <v>0.25094102885821834</v>
      </c>
      <c r="AA10" s="405">
        <f>AA9/U9-1</f>
        <v>0.20572207084468697</v>
      </c>
      <c r="AB10" s="148">
        <f t="shared" si="2"/>
        <v>0.31071190951430494</v>
      </c>
      <c r="AD10" s="405">
        <f>AD9/X9-1</f>
        <v>0.18609206660137123</v>
      </c>
      <c r="AE10" s="405">
        <f>AE9/Y9-1</f>
        <v>0.10993249758919954</v>
      </c>
      <c r="AH10" s="148">
        <f>+AH9/AB9-1</f>
        <v>0.35373096446700503</v>
      </c>
      <c r="AI10" s="148">
        <f>+AI9/AH9-1</f>
        <v>0.38288036447494256</v>
      </c>
      <c r="AJ10" s="148">
        <f t="shared" ref="AJ10:AL10" si="3">+AJ9/AI9-1</f>
        <v>0.31569591461019697</v>
      </c>
      <c r="AK10" s="148">
        <f t="shared" si="3"/>
        <v>0.33361150431101705</v>
      </c>
      <c r="AL10" s="148">
        <f t="shared" si="3"/>
        <v>0.35255663039170737</v>
      </c>
    </row>
    <row r="11" spans="1:38" s="2" customFormat="1" ht="14.5" customHeight="1">
      <c r="B11" s="10" t="s">
        <v>96</v>
      </c>
      <c r="D11" s="8"/>
      <c r="J11" s="8"/>
      <c r="N11" s="405"/>
      <c r="O11" s="405">
        <f>O9/N9-1</f>
        <v>-0.2508090614886731</v>
      </c>
      <c r="P11" s="8"/>
      <c r="R11" s="405">
        <f>R9/O9-1</f>
        <v>0.39092872570194404</v>
      </c>
      <c r="S11" s="405">
        <f>S9/R9-1</f>
        <v>0.29037267080745321</v>
      </c>
      <c r="T11" s="405">
        <f>T9/S9-1</f>
        <v>-4.0914560770156316E-2</v>
      </c>
      <c r="U11" s="405">
        <f>U9/T9-1</f>
        <v>-7.904642409033924E-2</v>
      </c>
      <c r="V11" s="8"/>
      <c r="X11" s="405">
        <f>X9/U9-1</f>
        <v>0.39100817438692159</v>
      </c>
      <c r="Y11" s="405">
        <f>Y9/X9-1</f>
        <v>1.5670910871694588E-2</v>
      </c>
      <c r="Z11" s="405">
        <f>Z9/Y9-1</f>
        <v>-3.8572806171648932E-2</v>
      </c>
      <c r="AA11" s="405">
        <f>AA9/Z9-1</f>
        <v>-0.11233701103309945</v>
      </c>
      <c r="AB11" s="8"/>
      <c r="AD11" s="405">
        <f>AD9/AA9-1</f>
        <v>0.36836158192090407</v>
      </c>
      <c r="AE11" s="405">
        <f>AE9/AD9-1</f>
        <v>-4.9545829892650661E-2</v>
      </c>
      <c r="AH11" s="8"/>
      <c r="AI11" s="8"/>
      <c r="AJ11" s="8"/>
      <c r="AK11" s="8"/>
      <c r="AL11" s="8"/>
    </row>
    <row r="12" spans="1:38" s="2" customFormat="1" ht="14.5" customHeight="1">
      <c r="B12" s="10"/>
      <c r="D12" s="8"/>
      <c r="J12" s="8"/>
      <c r="P12" s="8"/>
      <c r="V12" s="8"/>
      <c r="AB12" s="8"/>
      <c r="AH12" s="8"/>
      <c r="AI12" s="8"/>
      <c r="AJ12" s="8"/>
      <c r="AK12" s="8"/>
      <c r="AL12" s="8"/>
    </row>
    <row r="13" spans="1:38" s="2" customFormat="1" ht="14.5" customHeight="1">
      <c r="B13" s="2" t="s">
        <v>83</v>
      </c>
      <c r="D13" s="364">
        <v>3651985</v>
      </c>
      <c r="J13" s="365">
        <v>4805239</v>
      </c>
      <c r="L13" s="367">
        <v>841830</v>
      </c>
      <c r="M13" s="367">
        <v>334774</v>
      </c>
      <c r="N13" s="367">
        <v>1342310</v>
      </c>
      <c r="O13" s="367">
        <v>859264</v>
      </c>
      <c r="P13" s="364">
        <f>(P31+P45+P59+P73)*1000</f>
        <v>3378200</v>
      </c>
      <c r="Q13" s="367"/>
      <c r="R13" s="367">
        <v>886936</v>
      </c>
      <c r="S13" s="367">
        <v>1335196</v>
      </c>
      <c r="T13" s="367">
        <v>2237432</v>
      </c>
      <c r="U13" s="367">
        <f>V13-R13-S13-T13</f>
        <v>1532136</v>
      </c>
      <c r="V13" s="235">
        <f>(V31+V45+V59+V73)*1000</f>
        <v>5991700</v>
      </c>
      <c r="X13" s="367">
        <v>1508937</v>
      </c>
      <c r="Y13" s="367">
        <v>2104107</v>
      </c>
      <c r="Z13" s="371">
        <v>2884410</v>
      </c>
      <c r="AA13" s="227">
        <f>AB13-X13-Y13-Z13</f>
        <v>1901546</v>
      </c>
      <c r="AB13" s="235">
        <f>(AB31+AB45+AB59+AB73)*1000</f>
        <v>8399000</v>
      </c>
      <c r="AD13" s="227">
        <f>(AD31+AD45+AD59+AD73)*1000</f>
        <v>1818000</v>
      </c>
      <c r="AE13" s="227">
        <f>(AE31+AE45+AE59+AE73)*1000</f>
        <v>2484000</v>
      </c>
      <c r="AH13" s="236">
        <f>(AH31+AH45+AH59+AH73)*1000</f>
        <v>11839469</v>
      </c>
      <c r="AI13" s="236">
        <f t="shared" ref="AI13:AL13" si="4">(AI31+AI45+AI59+AI73)*1000</f>
        <v>16956036.485800002</v>
      </c>
      <c r="AJ13" s="236">
        <f t="shared" si="4"/>
        <v>23224878.756751079</v>
      </c>
      <c r="AK13" s="236">
        <f t="shared" si="4"/>
        <v>32205239.585488182</v>
      </c>
      <c r="AL13" s="236">
        <f t="shared" si="4"/>
        <v>45332141.998608708</v>
      </c>
    </row>
    <row r="14" spans="1:38" s="2" customFormat="1" ht="14.5" customHeight="1">
      <c r="B14" s="10" t="s">
        <v>14</v>
      </c>
      <c r="D14" s="8"/>
      <c r="J14" s="374">
        <f>J13/D13-1</f>
        <v>0.31578826309527552</v>
      </c>
      <c r="O14" s="367"/>
      <c r="P14" s="374">
        <f>P13/J13-1</f>
        <v>-0.29697565511309632</v>
      </c>
      <c r="Q14" s="369"/>
      <c r="R14" s="370">
        <f>(R13/L13)-1</f>
        <v>5.3580889253174613E-2</v>
      </c>
      <c r="S14" s="370">
        <f>(S13/M13)-1</f>
        <v>2.9883503497882153</v>
      </c>
      <c r="T14" s="370">
        <f>(T13/N13)-1</f>
        <v>0.6668519194522875</v>
      </c>
      <c r="U14" s="370">
        <f>(U13/O13)-1</f>
        <v>0.78307947266497835</v>
      </c>
      <c r="V14" s="374">
        <f>V13/P13-1</f>
        <v>0.77363684802557575</v>
      </c>
      <c r="W14" s="369"/>
      <c r="X14" s="370">
        <f>(X13/R13)-1</f>
        <v>0.70129186322350212</v>
      </c>
      <c r="Y14" s="370">
        <f>(Y13/S13)-1</f>
        <v>0.57587874738989631</v>
      </c>
      <c r="Z14" s="370">
        <f>(Z13/T13)-1</f>
        <v>0.28916096667965774</v>
      </c>
      <c r="AA14" s="370">
        <f>(AA13/U13)-1</f>
        <v>0.24110783899079458</v>
      </c>
      <c r="AB14" s="374">
        <f>AB13/V13-1</f>
        <v>0.40177245189178357</v>
      </c>
      <c r="AD14" s="370">
        <f>(AD13/X13)-1</f>
        <v>0.20482167247539151</v>
      </c>
      <c r="AE14" s="370">
        <f>(AE13/Y13)-1</f>
        <v>0.18054832762782502</v>
      </c>
      <c r="AH14" s="374">
        <f>AH13/AB13-1</f>
        <v>0.40962840814382662</v>
      </c>
      <c r="AI14" s="374">
        <f>AI13/AH13-1</f>
        <v>0.43216190572398161</v>
      </c>
      <c r="AJ14" s="374">
        <f>AJ13/AI13-1</f>
        <v>0.36971153466206452</v>
      </c>
      <c r="AK14" s="374">
        <f>AK13/AJ13-1</f>
        <v>0.38666986910003409</v>
      </c>
      <c r="AL14" s="374">
        <f>AL13/AK13-1</f>
        <v>0.40760145187789765</v>
      </c>
    </row>
    <row r="15" spans="1:38" s="2" customFormat="1" ht="14.5" customHeight="1">
      <c r="B15" s="10" t="s">
        <v>94</v>
      </c>
      <c r="D15" s="8"/>
      <c r="J15" s="8"/>
      <c r="P15" s="374">
        <f>P13/D13-1</f>
        <v>-7.4968818327567077E-2</v>
      </c>
      <c r="Q15" s="369"/>
      <c r="R15" s="370"/>
      <c r="S15" s="370"/>
      <c r="T15" s="370"/>
      <c r="U15" s="370"/>
      <c r="V15" s="374">
        <f>V13/J13-1</f>
        <v>0.24690988315045304</v>
      </c>
      <c r="W15" s="369"/>
      <c r="X15" s="370">
        <f>X13/L13-1</f>
        <v>0.79244859413420765</v>
      </c>
      <c r="Y15" s="370">
        <f>Y13/M13-1</f>
        <v>5.2851565533763072</v>
      </c>
      <c r="Z15" s="370">
        <f>Z13/N13-1</f>
        <v>1.1488404317929541</v>
      </c>
      <c r="AA15" s="370">
        <f>AA13/O13-1</f>
        <v>1.212993911068077</v>
      </c>
      <c r="AB15" s="374">
        <f>AB13/P13-1</f>
        <v>1.4862352732224262</v>
      </c>
      <c r="AD15" s="370">
        <f>AD13/R13-1</f>
        <v>1.0497533080177148</v>
      </c>
      <c r="AE15" s="370">
        <f>AE13/S13-1</f>
        <v>0.86040101977537375</v>
      </c>
      <c r="AH15" s="374">
        <f>AH13/V13-1</f>
        <v>0.97597826994008385</v>
      </c>
      <c r="AI15" s="374">
        <f>AI13/AB13-1</f>
        <v>1.0188161073699251</v>
      </c>
      <c r="AJ15" s="374">
        <f>AJ13/AH13-1</f>
        <v>0.96164868177374174</v>
      </c>
      <c r="AK15" s="374">
        <f>AK13/AI13-1</f>
        <v>0.89933771447465172</v>
      </c>
      <c r="AL15" s="374">
        <f>AL13/AJ13-1</f>
        <v>0.95187852102054227</v>
      </c>
    </row>
    <row r="16" spans="1:38" s="2" customFormat="1" ht="14.5" customHeight="1">
      <c r="B16" s="10" t="s">
        <v>96</v>
      </c>
      <c r="D16" s="8"/>
      <c r="J16" s="8"/>
      <c r="P16" s="8"/>
      <c r="R16" s="370"/>
      <c r="S16" s="370">
        <f>S13/R13-1</f>
        <v>0.50540287010562213</v>
      </c>
      <c r="T16" s="370">
        <f>T13/S13-1</f>
        <v>0.67573300099760636</v>
      </c>
      <c r="U16" s="370">
        <f>U13/T13-1</f>
        <v>-0.31522566942816588</v>
      </c>
      <c r="V16" s="8"/>
      <c r="X16" s="370">
        <f>X13/U13-1</f>
        <v>-1.5141606228167737E-2</v>
      </c>
      <c r="Y16" s="370">
        <f>Y13/X13-1</f>
        <v>0.39442998614256264</v>
      </c>
      <c r="Z16" s="370">
        <f>Z13/Y13-1</f>
        <v>0.37084758522261474</v>
      </c>
      <c r="AA16" s="370">
        <f>AA13/Z13-1</f>
        <v>-0.34075044809857125</v>
      </c>
      <c r="AB16" s="8"/>
      <c r="AD16" s="370">
        <f>AD13/AA13-1</f>
        <v>-4.393582905698834E-2</v>
      </c>
      <c r="AE16" s="370">
        <f>AE13/AD13-1</f>
        <v>0.36633663366336644</v>
      </c>
      <c r="AH16" s="8"/>
      <c r="AI16" s="8"/>
      <c r="AJ16" s="8"/>
      <c r="AK16" s="8"/>
      <c r="AL16" s="8"/>
    </row>
    <row r="17" spans="1:38" s="2" customFormat="1" ht="14.5" customHeight="1">
      <c r="B17" s="10"/>
      <c r="D17" s="8"/>
      <c r="J17" s="8"/>
      <c r="P17" s="8"/>
      <c r="V17" s="8"/>
      <c r="AB17" s="8"/>
      <c r="AH17" s="8"/>
      <c r="AI17" s="8"/>
      <c r="AJ17" s="8"/>
      <c r="AK17" s="8"/>
      <c r="AL17" s="8"/>
    </row>
    <row r="18" spans="1:38" s="2" customFormat="1" ht="14.5" customHeight="1">
      <c r="B18" s="269" t="s">
        <v>341</v>
      </c>
      <c r="D18" s="363">
        <f>D13/D9</f>
        <v>14590.431482221335</v>
      </c>
      <c r="J18" s="363">
        <f>J13/J9</f>
        <v>14699.415723462833</v>
      </c>
      <c r="N18" s="366">
        <f>N13/N9</f>
        <v>21720.226537216829</v>
      </c>
      <c r="O18" s="366">
        <f>O13/O9</f>
        <v>18558.617710583156</v>
      </c>
      <c r="P18" s="363">
        <f>P13/P9</f>
        <v>17485.507246376812</v>
      </c>
      <c r="R18" s="37">
        <f>R13/R9</f>
        <v>13772.298136645961</v>
      </c>
      <c r="S18" s="37">
        <f>S13/S9</f>
        <v>16067.340553549941</v>
      </c>
      <c r="T18" s="37">
        <f>T13/T9</f>
        <v>28073.174404015055</v>
      </c>
      <c r="U18" s="37">
        <f>U13/U9</f>
        <v>20873.787465940066</v>
      </c>
      <c r="V18" s="363">
        <f>V13/V9</f>
        <v>19932.468396540255</v>
      </c>
      <c r="X18" s="37">
        <f>X13/X9</f>
        <v>14779.010773751224</v>
      </c>
      <c r="Y18" s="37">
        <f>Y13/Y9</f>
        <v>20290.327868852459</v>
      </c>
      <c r="Z18" s="37">
        <f>Z13/Z9</f>
        <v>28930.892678034103</v>
      </c>
      <c r="AA18" s="37">
        <f>AA13/AA9</f>
        <v>21486.39548022599</v>
      </c>
      <c r="AB18" s="363">
        <f>AB13/AB9</f>
        <v>21317.258883248731</v>
      </c>
      <c r="AD18" s="37">
        <f>AD13/AD9</f>
        <v>15012.386457473163</v>
      </c>
      <c r="AE18" s="37">
        <f>AE13/AE9</f>
        <v>21581.233709817552</v>
      </c>
      <c r="AH18" s="363">
        <f>AH13/AH9</f>
        <v>22197.478298366987</v>
      </c>
      <c r="AI18" s="363">
        <f t="shared" ref="AI18:AL18" si="5">AI13/AI9</f>
        <v>22988.527163104442</v>
      </c>
      <c r="AJ18" s="363">
        <f t="shared" si="5"/>
        <v>23932.316328218767</v>
      </c>
      <c r="AK18" s="363">
        <f t="shared" si="5"/>
        <v>24884.474858558384</v>
      </c>
      <c r="AL18" s="363">
        <f t="shared" si="5"/>
        <v>25897.195099314773</v>
      </c>
    </row>
    <row r="19" spans="1:38" s="2" customFormat="1" ht="14.5" customHeight="1">
      <c r="B19" s="198" t="s">
        <v>14</v>
      </c>
      <c r="D19" s="8"/>
      <c r="J19" s="374">
        <f>J18/D18-1</f>
        <v>7.4695694486004438E-3</v>
      </c>
      <c r="P19" s="374">
        <f>P18/J18-1</f>
        <v>0.18953756906588404</v>
      </c>
      <c r="R19" s="369"/>
      <c r="S19" s="369"/>
      <c r="T19" s="369">
        <f>T18/N18-1</f>
        <v>0.29248994507090775</v>
      </c>
      <c r="U19" s="369">
        <f>U18/O18-1</f>
        <v>0.12474904065924441</v>
      </c>
      <c r="V19" s="374">
        <f>V18/P18-1</f>
        <v>0.13994224563719637</v>
      </c>
      <c r="X19" s="369">
        <f>X18/R18-1</f>
        <v>7.3096924501405924E-2</v>
      </c>
      <c r="Y19" s="369">
        <f>Y18/S18-1</f>
        <v>0.26283051020347514</v>
      </c>
      <c r="Z19" s="369">
        <f>Z18/T18-1</f>
        <v>3.0552949291561937E-2</v>
      </c>
      <c r="AA19" s="369">
        <f>AA18/U18-1</f>
        <v>2.9348196405924121E-2</v>
      </c>
      <c r="AB19" s="374">
        <f>AB18/V18-1</f>
        <v>6.9474109235203363E-2</v>
      </c>
      <c r="AD19" s="369">
        <f>AD18/X18-1</f>
        <v>1.5791021963150298E-2</v>
      </c>
      <c r="AE19" s="369">
        <f>AE18/Y18-1</f>
        <v>6.3621733927067492E-2</v>
      </c>
      <c r="AH19" s="374">
        <f>AH18/AB18-1</f>
        <v>4.1291397732657886E-2</v>
      </c>
      <c r="AI19" s="406">
        <f>AI18/AH18-1</f>
        <v>3.563687974393237E-2</v>
      </c>
      <c r="AJ19" s="406">
        <f t="shared" ref="AJ19:AL19" si="6">AJ18/AI18-1</f>
        <v>4.1054790436033883E-2</v>
      </c>
      <c r="AK19" s="406">
        <f t="shared" si="6"/>
        <v>3.978547321877568E-2</v>
      </c>
      <c r="AL19" s="406">
        <f t="shared" si="6"/>
        <v>4.0696870097224114E-2</v>
      </c>
    </row>
    <row r="20" spans="1:38" s="2" customFormat="1" ht="14.5" customHeight="1">
      <c r="B20" s="198" t="s">
        <v>96</v>
      </c>
      <c r="D20" s="8"/>
      <c r="J20" s="8"/>
      <c r="O20" s="369">
        <f>O18/N18-1</f>
        <v>-0.14556058249283776</v>
      </c>
      <c r="P20" s="8"/>
      <c r="R20" s="369">
        <f>R18/O18-1</f>
        <v>-0.25790280550947331</v>
      </c>
      <c r="S20" s="369">
        <f>S18/R18-1</f>
        <v>0.16664193543684802</v>
      </c>
      <c r="T20" s="369">
        <f>T18/S18-1</f>
        <v>0.74721972876914777</v>
      </c>
      <c r="U20" s="369">
        <f>U18/T18-1</f>
        <v>-0.25645076094584174</v>
      </c>
      <c r="V20" s="8"/>
      <c r="X20" s="369">
        <f>X18/U18-1</f>
        <v>-0.29198231045198386</v>
      </c>
      <c r="Y20" s="369">
        <f>Y18/X18-1</f>
        <v>0.3729151551123977</v>
      </c>
      <c r="Z20" s="369">
        <f>Z18/Y18-1</f>
        <v>0.42584648533184688</v>
      </c>
      <c r="AA20" s="369">
        <f>AA18/Z18-1</f>
        <v>-0.25731999633251468</v>
      </c>
      <c r="AB20" s="8"/>
      <c r="AD20" s="369">
        <f>AD18/AA18-1</f>
        <v>-0.30130735649499152</v>
      </c>
      <c r="AE20" s="369">
        <f>AE18/AD18-1</f>
        <v>0.43756182742514049</v>
      </c>
      <c r="AH20" s="8"/>
      <c r="AI20" s="8"/>
      <c r="AJ20" s="8"/>
      <c r="AK20" s="8"/>
      <c r="AL20" s="8"/>
    </row>
    <row r="21" spans="1:38" s="2" customFormat="1" ht="14.5" customHeight="1">
      <c r="B21" s="10"/>
      <c r="D21" s="8"/>
      <c r="J21" s="8"/>
      <c r="P21" s="8"/>
      <c r="V21" s="8"/>
      <c r="AB21" s="8"/>
      <c r="AH21" s="8"/>
      <c r="AI21" s="8"/>
      <c r="AJ21" s="8"/>
      <c r="AK21" s="8"/>
      <c r="AL21" s="8"/>
    </row>
    <row r="22" spans="1:38" s="2" customFormat="1" ht="14.5" customHeight="1">
      <c r="B22" s="199" t="s">
        <v>147</v>
      </c>
      <c r="D22" s="8"/>
      <c r="J22" s="8"/>
      <c r="P22" s="8"/>
      <c r="V22" s="8"/>
      <c r="AB22" s="8"/>
      <c r="AH22" s="8"/>
      <c r="AI22" s="8"/>
      <c r="AJ22" s="8"/>
      <c r="AK22" s="8"/>
      <c r="AL22" s="8"/>
    </row>
    <row r="23" spans="1:38" s="2" customFormat="1" ht="14.5" customHeight="1">
      <c r="A23"/>
      <c r="B23" s="155" t="s">
        <v>340</v>
      </c>
      <c r="C23"/>
      <c r="D23" s="207"/>
      <c r="E23"/>
      <c r="F23" s="206"/>
      <c r="G23" s="206"/>
      <c r="H23" s="206"/>
      <c r="I23" s="208"/>
      <c r="J23" s="207"/>
      <c r="K23"/>
      <c r="L23" s="206"/>
      <c r="M23" s="206"/>
      <c r="N23" s="206"/>
      <c r="O23" s="208"/>
      <c r="P23" s="207">
        <v>75.5</v>
      </c>
      <c r="Q23"/>
      <c r="R23" s="206"/>
      <c r="S23" s="206"/>
      <c r="T23" s="206"/>
      <c r="U23" s="208"/>
      <c r="V23" s="207">
        <v>114</v>
      </c>
      <c r="W23"/>
      <c r="X23" s="206"/>
      <c r="Y23" s="206"/>
      <c r="Z23" s="208"/>
      <c r="AA23" s="208"/>
      <c r="AB23" s="209">
        <v>133</v>
      </c>
      <c r="AC23" s="208"/>
      <c r="AD23" s="206"/>
      <c r="AE23" s="206"/>
      <c r="AF23" s="208"/>
      <c r="AG23" s="208"/>
      <c r="AH23" s="209">
        <f>AB23*(1+AH24)</f>
        <v>151.62</v>
      </c>
      <c r="AI23" s="209">
        <f>AH23*(1+AI24)</f>
        <v>169.81440000000003</v>
      </c>
      <c r="AJ23" s="209">
        <f>AI23*(1+AJ24)</f>
        <v>185.09769600000004</v>
      </c>
      <c r="AK23" s="209">
        <f>AJ23*(1+AK24)</f>
        <v>199.90551168000005</v>
      </c>
      <c r="AL23" s="209">
        <f>AK23*(1+AL24)</f>
        <v>215.89795261440005</v>
      </c>
    </row>
    <row r="24" spans="1:38" s="2" customFormat="1" ht="14.5" customHeight="1">
      <c r="A24"/>
      <c r="B24" s="10" t="s">
        <v>14</v>
      </c>
      <c r="C24"/>
      <c r="D24" s="148"/>
      <c r="E24"/>
      <c r="F24" s="21"/>
      <c r="G24" s="21"/>
      <c r="H24" s="21"/>
      <c r="I24" s="21"/>
      <c r="J24" s="148"/>
      <c r="K24"/>
      <c r="L24" s="21"/>
      <c r="M24" s="21"/>
      <c r="N24" s="21"/>
      <c r="O24" s="21"/>
      <c r="P24" s="148"/>
      <c r="Q24"/>
      <c r="R24" s="21"/>
      <c r="S24" s="21"/>
      <c r="T24" s="21"/>
      <c r="U24" s="21"/>
      <c r="V24" s="148">
        <f>+V23/P23-1</f>
        <v>0.50993377483443703</v>
      </c>
      <c r="W24"/>
      <c r="X24" s="21"/>
      <c r="Y24" s="21"/>
      <c r="Z24" s="21"/>
      <c r="AA24" s="21"/>
      <c r="AB24" s="148">
        <f>+AB23/V23-1</f>
        <v>0.16666666666666674</v>
      </c>
      <c r="AC24" s="21"/>
      <c r="AD24" s="21"/>
      <c r="AE24" s="21"/>
      <c r="AF24" s="21"/>
      <c r="AG24" s="21"/>
      <c r="AH24" s="148">
        <v>0.14000000000000001</v>
      </c>
      <c r="AI24" s="148">
        <v>0.12</v>
      </c>
      <c r="AJ24" s="148">
        <v>0.09</v>
      </c>
      <c r="AK24" s="148">
        <v>0.08</v>
      </c>
      <c r="AL24" s="148">
        <v>0.08</v>
      </c>
    </row>
    <row r="25" spans="1:38" s="2" customFormat="1" ht="14.5" customHeight="1">
      <c r="A25"/>
      <c r="B25" s="10" t="s">
        <v>96</v>
      </c>
      <c r="C25"/>
      <c r="D25" s="148"/>
      <c r="E25"/>
      <c r="F25" s="21"/>
      <c r="G25" s="21"/>
      <c r="H25" s="21"/>
      <c r="I25" s="21"/>
      <c r="J25" s="148"/>
      <c r="K25"/>
      <c r="L25" s="21"/>
      <c r="M25" s="21"/>
      <c r="N25" s="21"/>
      <c r="O25" s="21"/>
      <c r="P25" s="148"/>
      <c r="Q25"/>
      <c r="R25" s="21"/>
      <c r="S25" s="21"/>
      <c r="T25" s="21"/>
      <c r="U25" s="21"/>
      <c r="V25" s="148"/>
      <c r="W25"/>
      <c r="X25" s="21"/>
      <c r="Y25" s="21"/>
      <c r="Z25" s="21"/>
      <c r="AA25" s="21"/>
      <c r="AB25" s="148"/>
      <c r="AC25" s="21"/>
      <c r="AD25" s="21"/>
      <c r="AE25" s="21"/>
      <c r="AF25" s="21"/>
      <c r="AG25" s="21"/>
      <c r="AH25" s="148"/>
      <c r="AI25" s="148"/>
      <c r="AJ25" s="148"/>
      <c r="AK25" s="148"/>
      <c r="AL25" s="148"/>
    </row>
    <row r="26" spans="1:38" s="2" customFormat="1" ht="14.5" customHeight="1">
      <c r="A26"/>
      <c r="B26" s="10"/>
      <c r="C26"/>
      <c r="D26" s="207"/>
      <c r="E26"/>
      <c r="F26" s="206"/>
      <c r="G26" s="206"/>
      <c r="H26" s="206"/>
      <c r="I26" s="206"/>
      <c r="J26" s="207"/>
      <c r="K26"/>
      <c r="L26" s="206"/>
      <c r="M26" s="206"/>
      <c r="N26" s="206"/>
      <c r="O26" s="206"/>
      <c r="P26" s="207"/>
      <c r="Q26"/>
      <c r="R26" s="206"/>
      <c r="S26" s="206"/>
      <c r="T26" s="206"/>
      <c r="U26" s="206"/>
      <c r="V26" s="207"/>
      <c r="W26"/>
      <c r="X26" s="206"/>
      <c r="Y26" s="206"/>
      <c r="Z26" s="208"/>
      <c r="AA26" s="208"/>
      <c r="AB26" s="209"/>
      <c r="AC26" s="208"/>
      <c r="AD26" s="206"/>
      <c r="AE26" s="206"/>
      <c r="AF26" s="208"/>
      <c r="AG26" s="208"/>
      <c r="AH26" s="209"/>
      <c r="AI26" s="209"/>
      <c r="AJ26" s="209"/>
      <c r="AK26" s="209"/>
      <c r="AL26" s="209"/>
    </row>
    <row r="27" spans="1:38" s="2" customFormat="1" ht="14.5" customHeight="1">
      <c r="B27" s="269" t="s">
        <v>341</v>
      </c>
      <c r="C27" s="49"/>
      <c r="D27" s="339"/>
      <c r="E27" s="49"/>
      <c r="F27" s="49"/>
      <c r="G27" s="49"/>
      <c r="H27" s="49"/>
      <c r="I27" s="49"/>
      <c r="J27" s="339"/>
      <c r="K27" s="49"/>
      <c r="L27" s="49"/>
      <c r="M27" s="49"/>
      <c r="N27" s="49"/>
      <c r="O27" s="49"/>
      <c r="P27" s="340">
        <f>P31/P23</f>
        <v>23.479470198675497</v>
      </c>
      <c r="Q27" s="49"/>
      <c r="R27" s="49"/>
      <c r="S27" s="49"/>
      <c r="T27" s="49"/>
      <c r="U27" s="49"/>
      <c r="V27" s="340">
        <f>V31/V23</f>
        <v>28.078947368421051</v>
      </c>
      <c r="W27" s="49"/>
      <c r="X27" s="49"/>
      <c r="Y27" s="49"/>
      <c r="Z27" s="119"/>
      <c r="AA27" s="119"/>
      <c r="AB27" s="340">
        <f>AB31/AB23</f>
        <v>31.654135338345863</v>
      </c>
      <c r="AC27" s="119"/>
      <c r="AD27" s="49"/>
      <c r="AE27" s="49"/>
      <c r="AF27" s="119"/>
      <c r="AG27" s="119"/>
      <c r="AH27" s="340">
        <f>+AB27*(1+AH28)</f>
        <v>34.503007518796991</v>
      </c>
      <c r="AI27" s="340">
        <f>+AH27*(1+AI28)</f>
        <v>37.608278195488722</v>
      </c>
      <c r="AJ27" s="340">
        <f>+AI27*(1+AJ28)</f>
        <v>40.99302323308271</v>
      </c>
      <c r="AK27" s="340">
        <f>+AJ27*(1+AK28)</f>
        <v>44.68239532406016</v>
      </c>
      <c r="AL27" s="340">
        <f>+AK27*(1+AL28)</f>
        <v>48.70381090322558</v>
      </c>
    </row>
    <row r="28" spans="1:38" s="2" customFormat="1" ht="14.5" customHeight="1">
      <c r="A28"/>
      <c r="B28" s="198" t="s">
        <v>14</v>
      </c>
      <c r="C28"/>
      <c r="D28" s="148"/>
      <c r="E28"/>
      <c r="F28" s="21"/>
      <c r="G28" s="21"/>
      <c r="H28" s="21"/>
      <c r="I28" s="21"/>
      <c r="J28" s="148"/>
      <c r="K28"/>
      <c r="L28" s="21"/>
      <c r="M28" s="21"/>
      <c r="N28" s="21"/>
      <c r="O28" s="21"/>
      <c r="P28" s="148"/>
      <c r="Q28"/>
      <c r="R28" s="21"/>
      <c r="S28" s="21"/>
      <c r="T28" s="21"/>
      <c r="U28" s="21"/>
      <c r="V28" s="148">
        <f>+V27/P27-1</f>
        <v>0.19589356705352823</v>
      </c>
      <c r="W28"/>
      <c r="X28" s="21"/>
      <c r="Y28" s="21"/>
      <c r="Z28" s="368"/>
      <c r="AA28" s="368"/>
      <c r="AB28" s="148">
        <f>+AB27/V27-1</f>
        <v>0.12732628196545726</v>
      </c>
      <c r="AC28" s="21"/>
      <c r="AD28" s="21"/>
      <c r="AE28" s="21"/>
      <c r="AF28" s="168"/>
      <c r="AG28" s="168"/>
      <c r="AH28" s="168">
        <v>0.09</v>
      </c>
      <c r="AI28" s="168">
        <v>0.09</v>
      </c>
      <c r="AJ28" s="168">
        <v>0.09</v>
      </c>
      <c r="AK28" s="168">
        <v>0.09</v>
      </c>
      <c r="AL28" s="168">
        <v>0.09</v>
      </c>
    </row>
    <row r="29" spans="1:38" s="2" customFormat="1" ht="14.5" customHeight="1">
      <c r="A29"/>
      <c r="B29" s="198" t="s">
        <v>96</v>
      </c>
      <c r="C29"/>
      <c r="D29" s="148"/>
      <c r="E29"/>
      <c r="F29" s="21"/>
      <c r="G29" s="21"/>
      <c r="H29" s="21"/>
      <c r="I29" s="21"/>
      <c r="J29" s="148"/>
      <c r="K29"/>
      <c r="L29" s="21"/>
      <c r="M29" s="21"/>
      <c r="N29" s="21"/>
      <c r="O29" s="21"/>
      <c r="P29" s="148"/>
      <c r="Q29"/>
      <c r="R29" s="21"/>
      <c r="S29" s="21"/>
      <c r="T29" s="21"/>
      <c r="U29" s="21"/>
      <c r="V29" s="148"/>
      <c r="W29"/>
      <c r="X29" s="21"/>
      <c r="Y29" s="21"/>
      <c r="Z29" s="21"/>
      <c r="AA29" s="21"/>
      <c r="AB29" s="148"/>
      <c r="AC29" s="21"/>
      <c r="AD29" s="21"/>
      <c r="AE29" s="21"/>
      <c r="AF29" s="21"/>
      <c r="AG29" s="21"/>
      <c r="AH29" s="148"/>
      <c r="AI29" s="148"/>
      <c r="AJ29" s="148"/>
      <c r="AK29" s="148"/>
      <c r="AL29" s="148"/>
    </row>
    <row r="30" spans="1:38" s="2" customFormat="1" ht="14.5" customHeight="1">
      <c r="A30"/>
      <c r="B30" s="198"/>
      <c r="C30"/>
      <c r="D30" s="148"/>
      <c r="E30"/>
      <c r="F30" s="21"/>
      <c r="G30" s="21"/>
      <c r="H30" s="21"/>
      <c r="I30" s="21"/>
      <c r="J30" s="148"/>
      <c r="K30"/>
      <c r="L30" s="21"/>
      <c r="M30" s="21"/>
      <c r="N30" s="21"/>
      <c r="O30" s="21"/>
      <c r="P30" s="148"/>
      <c r="Q30"/>
      <c r="R30" s="21"/>
      <c r="S30" s="21"/>
      <c r="T30" s="21"/>
      <c r="U30" s="21"/>
      <c r="V30" s="148"/>
      <c r="W30"/>
      <c r="X30" s="21"/>
      <c r="Y30" s="21"/>
      <c r="Z30" s="21"/>
      <c r="AA30" s="21"/>
      <c r="AB30" s="148"/>
      <c r="AC30" s="21"/>
      <c r="AD30" s="21"/>
      <c r="AE30" s="21"/>
      <c r="AF30" s="21"/>
      <c r="AG30" s="21"/>
      <c r="AH30" s="148"/>
      <c r="AI30" s="148"/>
      <c r="AJ30" s="148"/>
      <c r="AK30" s="148"/>
      <c r="AL30" s="148"/>
    </row>
    <row r="31" spans="1:38" s="2" customFormat="1" ht="14.5" customHeight="1">
      <c r="B31" s="2" t="s">
        <v>83</v>
      </c>
      <c r="D31" s="170"/>
      <c r="F31" s="112"/>
      <c r="G31" s="112"/>
      <c r="H31" s="112"/>
      <c r="I31" s="181"/>
      <c r="J31" s="170"/>
      <c r="L31" s="112"/>
      <c r="M31" s="112"/>
      <c r="N31" s="112"/>
      <c r="O31" s="181"/>
      <c r="P31" s="170">
        <v>1772.7</v>
      </c>
      <c r="R31" s="112"/>
      <c r="S31" s="112"/>
      <c r="T31" s="112"/>
      <c r="U31" s="181"/>
      <c r="V31" s="170">
        <v>3201</v>
      </c>
      <c r="X31" s="112"/>
      <c r="Y31" s="112"/>
      <c r="Z31" s="181"/>
      <c r="AA31" s="181"/>
      <c r="AB31" s="180">
        <v>4210</v>
      </c>
      <c r="AC31" s="181"/>
      <c r="AD31" s="112">
        <v>925</v>
      </c>
      <c r="AE31" s="112">
        <v>1192</v>
      </c>
      <c r="AF31" s="181"/>
      <c r="AG31" s="181"/>
      <c r="AH31" s="180">
        <f>AH23*AH27</f>
        <v>5231.3459999999995</v>
      </c>
      <c r="AI31" s="180">
        <f t="shared" ref="AI31:AL31" si="7">AI23*AI27</f>
        <v>6386.4271968000012</v>
      </c>
      <c r="AJ31" s="180">
        <f t="shared" si="7"/>
        <v>7587.7141525180823</v>
      </c>
      <c r="AK31" s="180">
        <f t="shared" si="7"/>
        <v>8932.2571003442881</v>
      </c>
      <c r="AL31" s="180">
        <f t="shared" si="7"/>
        <v>10515.053058525296</v>
      </c>
    </row>
    <row r="32" spans="1:38" s="2" customFormat="1" ht="14.5" customHeight="1">
      <c r="A32"/>
      <c r="B32" s="10" t="s">
        <v>14</v>
      </c>
      <c r="C32"/>
      <c r="D32" s="148"/>
      <c r="E32"/>
      <c r="F32" s="21"/>
      <c r="G32" s="21"/>
      <c r="H32" s="21"/>
      <c r="I32" s="21"/>
      <c r="J32" s="148"/>
      <c r="K32"/>
      <c r="L32" s="21"/>
      <c r="M32" s="21"/>
      <c r="N32" s="21"/>
      <c r="O32" s="21"/>
      <c r="P32" s="148"/>
      <c r="Q32"/>
      <c r="R32" s="21"/>
      <c r="S32" s="21"/>
      <c r="T32" s="21"/>
      <c r="U32" s="21"/>
      <c r="V32" s="148">
        <f>+V31/P31-1</f>
        <v>0.80572008800135375</v>
      </c>
      <c r="W32"/>
      <c r="X32" s="21"/>
      <c r="Y32" s="21"/>
      <c r="Z32" s="21"/>
      <c r="AA32" s="21"/>
      <c r="AB32" s="148">
        <f>+AB31/V31-1</f>
        <v>0.31521399562636665</v>
      </c>
      <c r="AC32" s="21"/>
      <c r="AD32" s="21"/>
      <c r="AE32" s="21"/>
      <c r="AF32" s="21"/>
      <c r="AG32" s="21"/>
      <c r="AH32" s="148">
        <f>+AH31/AB31-1</f>
        <v>0.24259999999999993</v>
      </c>
      <c r="AI32" s="148">
        <f>+AI31/AH31-1</f>
        <v>0.22080000000000033</v>
      </c>
      <c r="AJ32" s="148">
        <f>+AJ31/AI31-1</f>
        <v>0.18810000000000016</v>
      </c>
      <c r="AK32" s="148">
        <f>+AK31/AJ31-1</f>
        <v>0.17720000000000025</v>
      </c>
      <c r="AL32" s="148">
        <f>+AL31/AK31-1</f>
        <v>0.17720000000000002</v>
      </c>
    </row>
    <row r="33" spans="1:38" s="2" customFormat="1" ht="14.5" customHeight="1">
      <c r="A33"/>
      <c r="B33" s="10" t="s">
        <v>94</v>
      </c>
      <c r="C33"/>
      <c r="D33" s="148"/>
      <c r="E33"/>
      <c r="F33" s="21"/>
      <c r="G33" s="21"/>
      <c r="H33" s="21"/>
      <c r="I33" s="21"/>
      <c r="J33" s="148"/>
      <c r="K33"/>
      <c r="L33" s="21"/>
      <c r="M33" s="21"/>
      <c r="N33" s="21"/>
      <c r="O33" s="21"/>
      <c r="P33" s="148"/>
      <c r="Q33"/>
      <c r="R33" s="21"/>
      <c r="S33" s="21"/>
      <c r="T33" s="21"/>
      <c r="U33" s="21"/>
      <c r="V33" s="148"/>
      <c r="W33"/>
      <c r="X33" s="21"/>
      <c r="Y33" s="21"/>
      <c r="Z33" s="21"/>
      <c r="AA33" s="21"/>
      <c r="AB33" s="148">
        <f>+AB31/P31-1</f>
        <v>1.3749083319230553</v>
      </c>
      <c r="AC33" s="21"/>
      <c r="AD33" s="21"/>
      <c r="AE33" s="21"/>
      <c r="AF33" s="21"/>
      <c r="AG33" s="21"/>
      <c r="AH33" s="148">
        <f>+AH31/V31-1</f>
        <v>0.63428491096532325</v>
      </c>
      <c r="AI33" s="148">
        <f>+AI31/AB31-1</f>
        <v>0.51696608000000022</v>
      </c>
      <c r="AJ33" s="148">
        <f>+AJ31/AH31-1</f>
        <v>0.45043248000000058</v>
      </c>
      <c r="AK33" s="148">
        <f>+AK31/AI31-1</f>
        <v>0.39863132000000046</v>
      </c>
      <c r="AL33" s="148">
        <f>+AL31/AJ31-1</f>
        <v>0.38579984000000023</v>
      </c>
    </row>
    <row r="34" spans="1:38" s="2" customFormat="1" ht="14.5" customHeight="1">
      <c r="A34"/>
      <c r="B34" s="10" t="s">
        <v>96</v>
      </c>
      <c r="C34"/>
      <c r="D34" s="148"/>
      <c r="E34"/>
      <c r="F34" s="21"/>
      <c r="G34" s="21"/>
      <c r="H34" s="21"/>
      <c r="I34" s="21"/>
      <c r="J34" s="148"/>
      <c r="K34"/>
      <c r="L34" s="21"/>
      <c r="M34" s="21"/>
      <c r="N34" s="21"/>
      <c r="O34" s="21"/>
      <c r="P34" s="148"/>
      <c r="Q34"/>
      <c r="R34" s="21"/>
      <c r="S34" s="21"/>
      <c r="T34" s="21"/>
      <c r="U34" s="21"/>
      <c r="V34" s="148"/>
      <c r="W34"/>
      <c r="X34" s="21"/>
      <c r="Y34" s="21"/>
      <c r="Z34" s="21"/>
      <c r="AA34" s="21"/>
      <c r="AB34" s="148"/>
      <c r="AC34" s="21"/>
      <c r="AD34" s="21"/>
      <c r="AE34" s="21">
        <f>+AE31/AD31-1</f>
        <v>0.28864864864864859</v>
      </c>
      <c r="AF34" s="21"/>
      <c r="AG34" s="21"/>
      <c r="AH34" s="148"/>
      <c r="AI34" s="148"/>
      <c r="AJ34" s="148"/>
      <c r="AK34" s="148"/>
      <c r="AL34" s="148"/>
    </row>
    <row r="35" spans="1:38" s="2" customFormat="1" ht="14.5" customHeight="1">
      <c r="A35"/>
      <c r="B35"/>
      <c r="C35"/>
      <c r="D35" s="144"/>
      <c r="E35"/>
      <c r="F35"/>
      <c r="G35"/>
      <c r="H35"/>
      <c r="I35"/>
      <c r="J35" s="144"/>
      <c r="K35"/>
      <c r="L35"/>
      <c r="M35"/>
      <c r="N35"/>
      <c r="O35"/>
      <c r="P35" s="144"/>
      <c r="Q35"/>
      <c r="R35"/>
      <c r="S35"/>
      <c r="T35"/>
      <c r="U35"/>
      <c r="V35" s="144"/>
      <c r="W35"/>
      <c r="X35"/>
      <c r="Y35"/>
      <c r="Z35"/>
      <c r="AA35"/>
      <c r="AB35" s="144"/>
      <c r="AC35"/>
      <c r="AD35"/>
      <c r="AE35"/>
      <c r="AF35"/>
      <c r="AG35"/>
      <c r="AH35" s="144"/>
      <c r="AI35" s="144"/>
      <c r="AJ35" s="144"/>
      <c r="AK35" s="144"/>
      <c r="AL35" s="144"/>
    </row>
    <row r="36" spans="1:38" s="2" customFormat="1" ht="14.5" customHeight="1">
      <c r="A36"/>
      <c r="B36" s="199" t="s">
        <v>150</v>
      </c>
      <c r="C36"/>
      <c r="D36" s="144"/>
      <c r="E36"/>
      <c r="F36"/>
      <c r="G36"/>
      <c r="H36"/>
      <c r="I36"/>
      <c r="J36" s="144"/>
      <c r="K36"/>
      <c r="L36"/>
      <c r="M36"/>
      <c r="N36"/>
      <c r="O36"/>
      <c r="P36" s="144"/>
      <c r="Q36"/>
      <c r="R36"/>
      <c r="S36"/>
      <c r="T36"/>
      <c r="U36"/>
      <c r="V36" s="144"/>
      <c r="W36"/>
      <c r="X36"/>
      <c r="Y36"/>
      <c r="Z36"/>
      <c r="AA36"/>
      <c r="AB36" s="144"/>
      <c r="AC36"/>
      <c r="AD36"/>
      <c r="AE36"/>
      <c r="AF36"/>
      <c r="AG36"/>
      <c r="AH36" s="144"/>
      <c r="AI36" s="144"/>
      <c r="AJ36" s="144"/>
      <c r="AK36" s="144"/>
      <c r="AL36" s="144"/>
    </row>
    <row r="37" spans="1:38" s="2" customFormat="1" ht="14.5" customHeight="1">
      <c r="A37"/>
      <c r="B37" s="155" t="s">
        <v>340</v>
      </c>
      <c r="C37"/>
      <c r="D37" s="207"/>
      <c r="E37"/>
      <c r="F37" s="206"/>
      <c r="G37" s="206"/>
      <c r="H37" s="206"/>
      <c r="I37" s="208"/>
      <c r="J37" s="207"/>
      <c r="K37"/>
      <c r="L37" s="206"/>
      <c r="M37" s="206"/>
      <c r="N37" s="206"/>
      <c r="O37" s="208"/>
      <c r="P37" s="207">
        <v>67.7</v>
      </c>
      <c r="Q37"/>
      <c r="R37" s="206"/>
      <c r="S37" s="206"/>
      <c r="T37" s="206"/>
      <c r="U37" s="208"/>
      <c r="V37" s="207">
        <v>118.1</v>
      </c>
      <c r="W37"/>
      <c r="X37" s="206"/>
      <c r="Y37" s="206"/>
      <c r="Z37" s="208"/>
      <c r="AA37" s="208"/>
      <c r="AB37" s="209">
        <v>168</v>
      </c>
      <c r="AC37" s="208"/>
      <c r="AD37" s="206"/>
      <c r="AE37" s="206"/>
      <c r="AF37" s="208"/>
      <c r="AG37" s="208"/>
      <c r="AH37" s="209">
        <f>AB37*(1+AH38)</f>
        <v>268.8</v>
      </c>
      <c r="AI37" s="209">
        <f>AH37*(1+AI38)</f>
        <v>430.08000000000004</v>
      </c>
      <c r="AJ37" s="209">
        <f>AI37*(1+AJ38)</f>
        <v>623.61599999999999</v>
      </c>
      <c r="AK37" s="209">
        <f>AJ37*(1+AK38)</f>
        <v>904.2432</v>
      </c>
      <c r="AL37" s="209">
        <f>AK37*(1+AL38)</f>
        <v>1311.15264</v>
      </c>
    </row>
    <row r="38" spans="1:38" s="2" customFormat="1" ht="14.5" customHeight="1">
      <c r="A38"/>
      <c r="B38" s="10" t="s">
        <v>14</v>
      </c>
      <c r="C38"/>
      <c r="D38" s="148"/>
      <c r="E38"/>
      <c r="F38" s="21"/>
      <c r="G38" s="21"/>
      <c r="H38" s="21"/>
      <c r="I38" s="21"/>
      <c r="J38" s="148"/>
      <c r="K38"/>
      <c r="L38" s="21"/>
      <c r="M38" s="21"/>
      <c r="N38" s="21"/>
      <c r="O38" s="21"/>
      <c r="P38" s="148"/>
      <c r="Q38"/>
      <c r="R38" s="21"/>
      <c r="S38" s="21"/>
      <c r="T38" s="21"/>
      <c r="U38" s="21"/>
      <c r="V38" s="148">
        <f>+V37/P37-1</f>
        <v>0.74446085672082707</v>
      </c>
      <c r="W38"/>
      <c r="X38" s="21"/>
      <c r="Y38" s="21"/>
      <c r="Z38" s="21"/>
      <c r="AA38" s="21"/>
      <c r="AB38" s="148">
        <f>+AB37/V37-1</f>
        <v>0.42252328535139716</v>
      </c>
      <c r="AC38" s="21"/>
      <c r="AD38" s="21"/>
      <c r="AE38" s="21"/>
      <c r="AF38" s="21"/>
      <c r="AG38" s="21"/>
      <c r="AH38" s="148">
        <v>0.6</v>
      </c>
      <c r="AI38" s="148">
        <v>0.6</v>
      </c>
      <c r="AJ38" s="148">
        <v>0.45</v>
      </c>
      <c r="AK38" s="148">
        <v>0.45</v>
      </c>
      <c r="AL38" s="148">
        <v>0.45</v>
      </c>
    </row>
    <row r="39" spans="1:38" s="2" customFormat="1" ht="14.5" customHeight="1">
      <c r="A39"/>
      <c r="B39" s="10" t="s">
        <v>96</v>
      </c>
      <c r="C39"/>
      <c r="D39" s="148"/>
      <c r="E39"/>
      <c r="F39" s="21"/>
      <c r="G39" s="21"/>
      <c r="H39" s="21"/>
      <c r="I39" s="21"/>
      <c r="J39" s="148"/>
      <c r="K39"/>
      <c r="L39" s="21"/>
      <c r="M39" s="21"/>
      <c r="N39" s="21"/>
      <c r="O39" s="21"/>
      <c r="P39" s="148"/>
      <c r="Q39"/>
      <c r="R39" s="21"/>
      <c r="S39" s="21"/>
      <c r="T39" s="21"/>
      <c r="U39" s="21"/>
      <c r="V39" s="148"/>
      <c r="W39"/>
      <c r="X39" s="21"/>
      <c r="Y39" s="21"/>
      <c r="Z39" s="21"/>
      <c r="AA39" s="21"/>
      <c r="AB39" s="148"/>
      <c r="AC39" s="21"/>
      <c r="AD39" s="21"/>
      <c r="AE39" s="21"/>
      <c r="AF39" s="21"/>
      <c r="AG39" s="21"/>
      <c r="AH39" s="148"/>
      <c r="AI39" s="148"/>
      <c r="AJ39" s="148"/>
      <c r="AK39" s="148"/>
      <c r="AL39" s="148"/>
    </row>
    <row r="40" spans="1:38" s="2" customFormat="1" ht="14.5" customHeight="1">
      <c r="A40"/>
      <c r="B40" s="10"/>
      <c r="C40"/>
      <c r="D40" s="207"/>
      <c r="E40"/>
      <c r="F40" s="206"/>
      <c r="G40" s="206"/>
      <c r="H40" s="206"/>
      <c r="I40" s="208"/>
      <c r="J40" s="207"/>
      <c r="K40"/>
      <c r="L40" s="206"/>
      <c r="M40" s="206"/>
      <c r="N40" s="206"/>
      <c r="O40" s="208"/>
      <c r="P40" s="207"/>
      <c r="Q40"/>
      <c r="R40" s="206"/>
      <c r="S40" s="206"/>
      <c r="T40" s="206"/>
      <c r="U40" s="208"/>
      <c r="V40" s="207"/>
      <c r="W40"/>
      <c r="X40" s="206"/>
      <c r="Y40" s="206"/>
      <c r="Z40" s="206"/>
      <c r="AA40" s="206"/>
      <c r="AB40" s="209"/>
      <c r="AC40" s="208"/>
      <c r="AD40" s="206"/>
      <c r="AE40" s="206"/>
      <c r="AF40" s="210"/>
      <c r="AG40" s="210"/>
      <c r="AH40" s="410"/>
      <c r="AI40" s="410"/>
      <c r="AJ40" s="410"/>
      <c r="AK40" s="410"/>
      <c r="AL40" s="410"/>
    </row>
    <row r="41" spans="1:38" s="2" customFormat="1" ht="14.5" customHeight="1">
      <c r="A41"/>
      <c r="B41" s="269" t="s">
        <v>341</v>
      </c>
      <c r="C41"/>
      <c r="D41" s="196"/>
      <c r="E41"/>
      <c r="F41" s="195"/>
      <c r="G41" s="195"/>
      <c r="H41" s="195"/>
      <c r="I41" s="195"/>
      <c r="J41" s="196"/>
      <c r="K41"/>
      <c r="L41" s="195"/>
      <c r="M41" s="195"/>
      <c r="N41" s="195"/>
      <c r="O41" s="195"/>
      <c r="P41" s="197">
        <f>P45/P37</f>
        <v>15.122599704579024</v>
      </c>
      <c r="Q41"/>
      <c r="R41" s="195"/>
      <c r="S41" s="195"/>
      <c r="T41" s="195"/>
      <c r="U41" s="195"/>
      <c r="V41" s="197">
        <f>V45/V37</f>
        <v>16.348856900931416</v>
      </c>
      <c r="W41"/>
      <c r="X41" s="195"/>
      <c r="Y41" s="195"/>
      <c r="Z41" s="48"/>
      <c r="AA41" s="48"/>
      <c r="AB41" s="197">
        <f>AB45/AB37</f>
        <v>17.404761904761905</v>
      </c>
      <c r="AC41" s="48"/>
      <c r="AD41" s="195"/>
      <c r="AE41" s="195"/>
      <c r="AF41" s="48"/>
      <c r="AG41" s="48"/>
      <c r="AH41" s="197">
        <f>+AB41*(1+AH42)</f>
        <v>18.449047619047619</v>
      </c>
      <c r="AI41" s="197">
        <f>+AH41*(1+AI42)</f>
        <v>19.555990476190477</v>
      </c>
      <c r="AJ41" s="197">
        <f>+AI41*(1+AJ42)</f>
        <v>20.729349904761907</v>
      </c>
      <c r="AK41" s="197">
        <f>+AJ41*(1+AK42)</f>
        <v>21.973110899047622</v>
      </c>
      <c r="AL41" s="197">
        <f>+AK41*(1+AL42)</f>
        <v>23.291497552990482</v>
      </c>
    </row>
    <row r="42" spans="1:38" s="2" customFormat="1" ht="14.5" customHeight="1">
      <c r="A42"/>
      <c r="B42" s="198" t="s">
        <v>14</v>
      </c>
      <c r="C42"/>
      <c r="D42" s="148"/>
      <c r="E42"/>
      <c r="F42" s="21"/>
      <c r="G42" s="21"/>
      <c r="H42" s="21"/>
      <c r="I42" s="21"/>
      <c r="J42" s="148"/>
      <c r="K42"/>
      <c r="L42" s="21"/>
      <c r="M42" s="21"/>
      <c r="N42" s="21"/>
      <c r="O42" s="21"/>
      <c r="P42" s="148"/>
      <c r="Q42"/>
      <c r="R42" s="21"/>
      <c r="S42" s="21"/>
      <c r="T42" s="21"/>
      <c r="U42" s="21"/>
      <c r="V42" s="148">
        <f>+V41/P41-1</f>
        <v>8.1087724353444912E-2</v>
      </c>
      <c r="W42"/>
      <c r="X42" s="21"/>
      <c r="Y42" s="21"/>
      <c r="Z42" s="368"/>
      <c r="AA42" s="368"/>
      <c r="AB42" s="148">
        <f>+AB41/V41-1</f>
        <v>6.458586127635213E-2</v>
      </c>
      <c r="AC42" s="21"/>
      <c r="AD42" s="21"/>
      <c r="AE42" s="21"/>
      <c r="AF42" s="168"/>
      <c r="AG42" s="168"/>
      <c r="AH42" s="168">
        <v>0.06</v>
      </c>
      <c r="AI42" s="168">
        <v>0.06</v>
      </c>
      <c r="AJ42" s="168">
        <v>0.06</v>
      </c>
      <c r="AK42" s="168">
        <v>0.06</v>
      </c>
      <c r="AL42" s="168">
        <v>0.06</v>
      </c>
    </row>
    <row r="43" spans="1:38" s="2" customFormat="1" ht="14.5" customHeight="1">
      <c r="A43"/>
      <c r="B43" s="198" t="s">
        <v>96</v>
      </c>
      <c r="C43"/>
      <c r="D43" s="148"/>
      <c r="E43"/>
      <c r="F43" s="21"/>
      <c r="G43" s="21"/>
      <c r="H43" s="21"/>
      <c r="I43" s="21"/>
      <c r="J43" s="148"/>
      <c r="K43"/>
      <c r="L43" s="21"/>
      <c r="M43" s="21"/>
      <c r="N43" s="21"/>
      <c r="O43" s="21"/>
      <c r="P43" s="148"/>
      <c r="Q43"/>
      <c r="R43" s="21"/>
      <c r="S43" s="21"/>
      <c r="T43" s="21"/>
      <c r="U43" s="21"/>
      <c r="V43" s="148"/>
      <c r="W43"/>
      <c r="X43" s="21"/>
      <c r="Y43" s="21"/>
      <c r="Z43" s="21"/>
      <c r="AA43" s="21"/>
      <c r="AB43" s="148"/>
      <c r="AC43" s="21"/>
      <c r="AD43" s="21"/>
      <c r="AE43" s="21"/>
      <c r="AF43" s="21"/>
      <c r="AG43" s="21"/>
      <c r="AH43" s="148"/>
      <c r="AI43" s="148"/>
      <c r="AJ43" s="148"/>
      <c r="AK43" s="148"/>
      <c r="AL43" s="148"/>
    </row>
    <row r="44" spans="1:38" s="2" customFormat="1" ht="14.5" customHeight="1">
      <c r="A44"/>
      <c r="B44" s="198"/>
      <c r="C44"/>
      <c r="D44" s="148"/>
      <c r="E44"/>
      <c r="F44" s="21"/>
      <c r="G44" s="21"/>
      <c r="H44" s="21"/>
      <c r="I44" s="21"/>
      <c r="J44" s="148"/>
      <c r="K44"/>
      <c r="L44" s="21"/>
      <c r="M44" s="21"/>
      <c r="N44" s="21"/>
      <c r="O44" s="21"/>
      <c r="P44" s="148"/>
      <c r="Q44"/>
      <c r="R44" s="21"/>
      <c r="S44" s="21"/>
      <c r="T44" s="21"/>
      <c r="U44" s="21"/>
      <c r="V44" s="148"/>
      <c r="W44"/>
      <c r="X44" s="21"/>
      <c r="Y44" s="21"/>
      <c r="Z44" s="21"/>
      <c r="AA44" s="21"/>
      <c r="AB44" s="148"/>
      <c r="AC44" s="21"/>
      <c r="AD44" s="21"/>
      <c r="AE44" s="21"/>
      <c r="AF44" s="21"/>
      <c r="AG44" s="21"/>
      <c r="AH44" s="148"/>
      <c r="AI44" s="148"/>
      <c r="AJ44" s="148"/>
      <c r="AK44" s="148"/>
      <c r="AL44" s="148"/>
    </row>
    <row r="45" spans="1:38" s="2" customFormat="1" ht="14.5" customHeight="1">
      <c r="B45" s="2" t="s">
        <v>83</v>
      </c>
      <c r="D45" s="170"/>
      <c r="F45" s="112"/>
      <c r="G45" s="112"/>
      <c r="H45" s="112"/>
      <c r="I45" s="181"/>
      <c r="J45" s="170"/>
      <c r="L45" s="112"/>
      <c r="M45" s="112"/>
      <c r="N45" s="112"/>
      <c r="O45" s="181"/>
      <c r="P45" s="170">
        <v>1023.8</v>
      </c>
      <c r="R45" s="112"/>
      <c r="S45" s="112"/>
      <c r="T45" s="112"/>
      <c r="U45" s="181"/>
      <c r="V45" s="170">
        <v>1930.8</v>
      </c>
      <c r="X45" s="112"/>
      <c r="Y45" s="112"/>
      <c r="Z45" s="181"/>
      <c r="AA45" s="181"/>
      <c r="AB45" s="180">
        <v>2924</v>
      </c>
      <c r="AC45" s="181"/>
      <c r="AD45" s="112">
        <v>458</v>
      </c>
      <c r="AE45" s="112">
        <v>941</v>
      </c>
      <c r="AF45" s="181"/>
      <c r="AG45" s="181"/>
      <c r="AH45" s="180">
        <f>AH37*AH41</f>
        <v>4959.1040000000003</v>
      </c>
      <c r="AI45" s="180">
        <f t="shared" ref="AI45:AL45" si="8">AI37*AI41</f>
        <v>8410.6403840000003</v>
      </c>
      <c r="AJ45" s="180">
        <f t="shared" si="8"/>
        <v>12927.154270208001</v>
      </c>
      <c r="AK45" s="180">
        <f t="shared" si="8"/>
        <v>19869.036113309699</v>
      </c>
      <c r="AL45" s="180">
        <f t="shared" si="8"/>
        <v>30538.708506157011</v>
      </c>
    </row>
    <row r="46" spans="1:38" ht="14.5" customHeight="1">
      <c r="B46" s="10" t="s">
        <v>14</v>
      </c>
      <c r="D46" s="148"/>
      <c r="F46" s="21"/>
      <c r="G46" s="21"/>
      <c r="H46" s="21"/>
      <c r="I46" s="21"/>
      <c r="J46" s="148"/>
      <c r="L46" s="21"/>
      <c r="M46" s="21"/>
      <c r="N46" s="21"/>
      <c r="O46" s="21"/>
      <c r="P46" s="148"/>
      <c r="R46" s="21"/>
      <c r="S46" s="21"/>
      <c r="T46" s="21"/>
      <c r="U46" s="21"/>
      <c r="V46" s="148">
        <f>+V45/P45-1</f>
        <v>0.88591521781597971</v>
      </c>
      <c r="X46" s="21"/>
      <c r="Y46" s="21"/>
      <c r="Z46" s="21"/>
      <c r="AA46" s="21"/>
      <c r="AB46" s="148">
        <f>+AB45/V45-1</f>
        <v>0.51439817692148337</v>
      </c>
      <c r="AC46" s="21"/>
      <c r="AD46" s="21"/>
      <c r="AE46" s="21"/>
      <c r="AF46" s="21"/>
      <c r="AG46" s="21"/>
      <c r="AH46" s="148">
        <f>+AH45/AB45-1</f>
        <v>0.69600000000000017</v>
      </c>
      <c r="AI46" s="148">
        <f>+AI45/AH45-1</f>
        <v>0.69599999999999995</v>
      </c>
      <c r="AJ46" s="148">
        <f>+AJ45/AI45-1</f>
        <v>0.53699999999999992</v>
      </c>
      <c r="AK46" s="148">
        <f>+AK45/AJ45-1</f>
        <v>0.53700000000000014</v>
      </c>
      <c r="AL46" s="148">
        <f>+AL45/AK45-1</f>
        <v>0.53700000000000014</v>
      </c>
    </row>
    <row r="47" spans="1:38" s="2" customFormat="1" ht="14.5" customHeight="1">
      <c r="A47"/>
      <c r="B47" s="10" t="s">
        <v>94</v>
      </c>
      <c r="C47"/>
      <c r="D47" s="148"/>
      <c r="E47"/>
      <c r="F47" s="21"/>
      <c r="G47" s="21"/>
      <c r="H47" s="21"/>
      <c r="I47" s="21"/>
      <c r="J47" s="148"/>
      <c r="K47"/>
      <c r="L47" s="21"/>
      <c r="M47" s="21"/>
      <c r="N47" s="21"/>
      <c r="O47" s="21"/>
      <c r="P47" s="148"/>
      <c r="Q47"/>
      <c r="R47" s="21"/>
      <c r="S47" s="21"/>
      <c r="T47" s="21"/>
      <c r="U47" s="21"/>
      <c r="V47" s="148"/>
      <c r="W47"/>
      <c r="X47" s="21"/>
      <c r="Y47" s="21"/>
      <c r="Z47" s="21"/>
      <c r="AA47" s="21"/>
      <c r="AB47" s="148">
        <f t="shared" ref="AB47" si="9">+AB45/P45-1</f>
        <v>1.856026567689002</v>
      </c>
      <c r="AC47" s="21"/>
      <c r="AD47" s="21"/>
      <c r="AE47" s="21"/>
      <c r="AF47" s="21"/>
      <c r="AG47" s="21"/>
      <c r="AH47" s="148">
        <f>+AH45/V45-1</f>
        <v>1.5684193080588358</v>
      </c>
      <c r="AI47" s="148">
        <f>+AI45/AB45-1</f>
        <v>1.8764160000000003</v>
      </c>
      <c r="AJ47" s="148">
        <f>+AJ45/AH45-1</f>
        <v>1.6067520000000002</v>
      </c>
      <c r="AK47" s="148">
        <f>+AK45/AI45-1</f>
        <v>1.3623690000000002</v>
      </c>
      <c r="AL47" s="148">
        <f>+AL45/AJ45-1</f>
        <v>1.3623690000000006</v>
      </c>
    </row>
    <row r="48" spans="1:38" s="2" customFormat="1" ht="14.5" customHeight="1">
      <c r="A48"/>
      <c r="B48" s="10" t="s">
        <v>96</v>
      </c>
      <c r="C48"/>
      <c r="D48" s="148"/>
      <c r="E48"/>
      <c r="F48" s="21"/>
      <c r="G48" s="21"/>
      <c r="H48" s="21"/>
      <c r="I48" s="21"/>
      <c r="J48" s="148"/>
      <c r="K48"/>
      <c r="L48" s="21"/>
      <c r="M48" s="21"/>
      <c r="N48" s="21"/>
      <c r="O48" s="21"/>
      <c r="P48" s="148"/>
      <c r="Q48"/>
      <c r="R48" s="21"/>
      <c r="S48" s="21"/>
      <c r="T48" s="21"/>
      <c r="U48" s="21"/>
      <c r="V48" s="148"/>
      <c r="W48"/>
      <c r="X48" s="21"/>
      <c r="Y48" s="21"/>
      <c r="Z48" s="21"/>
      <c r="AA48" s="21"/>
      <c r="AB48" s="148"/>
      <c r="AC48" s="21"/>
      <c r="AD48" s="21"/>
      <c r="AE48" s="21">
        <f>+AE45/AD45-1</f>
        <v>1.054585152838428</v>
      </c>
      <c r="AF48" s="21"/>
      <c r="AG48" s="21"/>
      <c r="AH48" s="148"/>
      <c r="AI48" s="148"/>
      <c r="AJ48" s="148"/>
      <c r="AK48" s="148"/>
      <c r="AL48" s="148"/>
    </row>
    <row r="49" spans="1:38" s="2" customFormat="1" ht="14.5" customHeight="1">
      <c r="A49"/>
      <c r="B49" s="10"/>
      <c r="C49"/>
      <c r="D49" s="144"/>
      <c r="E49"/>
      <c r="F49"/>
      <c r="G49"/>
      <c r="H49"/>
      <c r="I49"/>
      <c r="J49" s="144"/>
      <c r="K49"/>
      <c r="L49"/>
      <c r="M49"/>
      <c r="N49"/>
      <c r="O49"/>
      <c r="P49" s="144"/>
      <c r="Q49"/>
      <c r="R49"/>
      <c r="S49"/>
      <c r="T49"/>
      <c r="U49"/>
      <c r="V49" s="144"/>
      <c r="W49"/>
      <c r="X49"/>
      <c r="Y49"/>
      <c r="Z49"/>
      <c r="AA49"/>
      <c r="AB49" s="144"/>
      <c r="AC49"/>
      <c r="AD49"/>
      <c r="AE49"/>
      <c r="AF49"/>
      <c r="AG49"/>
      <c r="AH49" s="144"/>
      <c r="AI49" s="144"/>
      <c r="AJ49" s="144"/>
      <c r="AK49" s="144"/>
      <c r="AL49" s="144"/>
    </row>
    <row r="50" spans="1:38" s="2" customFormat="1" ht="14.5" customHeight="1">
      <c r="A50"/>
      <c r="B50" s="199" t="s">
        <v>149</v>
      </c>
      <c r="C50"/>
      <c r="D50" s="144"/>
      <c r="E50"/>
      <c r="F50"/>
      <c r="G50"/>
      <c r="H50"/>
      <c r="I50"/>
      <c r="J50" s="144"/>
      <c r="K50"/>
      <c r="L50"/>
      <c r="M50"/>
      <c r="N50"/>
      <c r="O50"/>
      <c r="P50" s="144"/>
      <c r="Q50"/>
      <c r="R50"/>
      <c r="S50"/>
      <c r="T50"/>
      <c r="U50"/>
      <c r="V50" s="144"/>
      <c r="W50"/>
      <c r="X50"/>
      <c r="Y50"/>
      <c r="Z50"/>
      <c r="AA50"/>
      <c r="AB50" s="144"/>
      <c r="AC50"/>
      <c r="AD50"/>
      <c r="AE50"/>
      <c r="AF50"/>
      <c r="AG50"/>
      <c r="AH50" s="144"/>
      <c r="AI50" s="144"/>
      <c r="AJ50" s="144"/>
      <c r="AK50" s="144"/>
      <c r="AL50" s="144"/>
    </row>
    <row r="51" spans="1:38" s="2" customFormat="1" ht="14.5" customHeight="1">
      <c r="A51"/>
      <c r="B51" s="155" t="s">
        <v>340</v>
      </c>
      <c r="C51"/>
      <c r="D51" s="207"/>
      <c r="E51"/>
      <c r="F51" s="206"/>
      <c r="G51" s="206"/>
      <c r="H51" s="206"/>
      <c r="I51" s="208"/>
      <c r="J51" s="207"/>
      <c r="K51"/>
      <c r="L51" s="206"/>
      <c r="M51" s="206"/>
      <c r="N51" s="206"/>
      <c r="O51" s="208"/>
      <c r="P51" s="207">
        <v>22.4</v>
      </c>
      <c r="Q51"/>
      <c r="R51" s="206"/>
      <c r="S51" s="206"/>
      <c r="T51" s="206"/>
      <c r="U51" s="208"/>
      <c r="V51" s="207">
        <v>38.799999999999997</v>
      </c>
      <c r="W51"/>
      <c r="X51" s="206"/>
      <c r="Y51" s="206"/>
      <c r="Z51" s="208"/>
      <c r="AA51" s="208"/>
      <c r="AB51" s="209">
        <v>53</v>
      </c>
      <c r="AC51" s="208"/>
      <c r="AD51" s="206"/>
      <c r="AE51" s="206"/>
      <c r="AF51" s="208"/>
      <c r="AG51" s="208"/>
      <c r="AH51" s="209">
        <f>AB51*(1+AH52)</f>
        <v>60.949999999999996</v>
      </c>
      <c r="AI51" s="209">
        <f>AH51*(1+AI52)</f>
        <v>70.092499999999987</v>
      </c>
      <c r="AJ51" s="209">
        <f>AI51*(1+AJ52)</f>
        <v>80.606374999999986</v>
      </c>
      <c r="AK51" s="209">
        <f>AJ51*(1+AK52)</f>
        <v>92.697331249999976</v>
      </c>
      <c r="AL51" s="209">
        <f>AK51*(1+AL52)</f>
        <v>106.60193093749996</v>
      </c>
    </row>
    <row r="52" spans="1:38" s="2" customFormat="1" ht="14.5" customHeight="1">
      <c r="A52"/>
      <c r="B52" s="10" t="s">
        <v>14</v>
      </c>
      <c r="C52"/>
      <c r="D52" s="148"/>
      <c r="E52"/>
      <c r="F52" s="21"/>
      <c r="G52" s="21"/>
      <c r="H52" s="21"/>
      <c r="I52" s="21"/>
      <c r="J52" s="148"/>
      <c r="K52"/>
      <c r="L52" s="21"/>
      <c r="M52" s="21"/>
      <c r="N52" s="21"/>
      <c r="O52" s="21"/>
      <c r="P52" s="148"/>
      <c r="Q52"/>
      <c r="R52" s="21"/>
      <c r="S52" s="21"/>
      <c r="T52" s="21"/>
      <c r="U52" s="21"/>
      <c r="V52" s="148">
        <f>+V51/P51-1</f>
        <v>0.73214285714285721</v>
      </c>
      <c r="W52"/>
      <c r="X52" s="21"/>
      <c r="Y52" s="21"/>
      <c r="Z52" s="21"/>
      <c r="AA52" s="21"/>
      <c r="AB52" s="148">
        <f>+AB51/V51-1</f>
        <v>0.365979381443299</v>
      </c>
      <c r="AC52" s="21"/>
      <c r="AD52" s="21"/>
      <c r="AE52" s="21"/>
      <c r="AF52" s="21"/>
      <c r="AG52" s="21"/>
      <c r="AH52" s="148">
        <v>0.15</v>
      </c>
      <c r="AI52" s="148">
        <v>0.15</v>
      </c>
      <c r="AJ52" s="148">
        <v>0.15</v>
      </c>
      <c r="AK52" s="148">
        <v>0.15</v>
      </c>
      <c r="AL52" s="148">
        <v>0.15</v>
      </c>
    </row>
    <row r="53" spans="1:38" s="2" customFormat="1" ht="14.5" customHeight="1">
      <c r="A53"/>
      <c r="B53" s="10" t="s">
        <v>96</v>
      </c>
      <c r="C53"/>
      <c r="D53" s="148"/>
      <c r="E53"/>
      <c r="F53" s="21"/>
      <c r="G53" s="21"/>
      <c r="H53" s="21"/>
      <c r="I53" s="21"/>
      <c r="J53" s="148"/>
      <c r="K53"/>
      <c r="L53" s="21"/>
      <c r="M53" s="21"/>
      <c r="N53" s="21"/>
      <c r="O53" s="21"/>
      <c r="P53" s="148"/>
      <c r="Q53"/>
      <c r="R53" s="21"/>
      <c r="S53" s="21"/>
      <c r="T53" s="21"/>
      <c r="U53" s="21"/>
      <c r="V53" s="148"/>
      <c r="W53"/>
      <c r="X53" s="21"/>
      <c r="Y53" s="21"/>
      <c r="Z53" s="21"/>
      <c r="AA53" s="21"/>
      <c r="AB53" s="148"/>
      <c r="AC53" s="21"/>
      <c r="AD53" s="21"/>
      <c r="AE53" s="21"/>
      <c r="AF53" s="21"/>
      <c r="AG53" s="21"/>
      <c r="AH53" s="148"/>
      <c r="AI53" s="148"/>
      <c r="AJ53" s="148"/>
      <c r="AK53" s="148"/>
      <c r="AL53" s="148"/>
    </row>
    <row r="54" spans="1:38" s="2" customFormat="1" ht="14.5" customHeight="1">
      <c r="A54"/>
      <c r="B54" s="10"/>
      <c r="C54"/>
      <c r="D54" s="207"/>
      <c r="E54"/>
      <c r="F54" s="206"/>
      <c r="G54" s="206"/>
      <c r="H54" s="206"/>
      <c r="I54" s="208"/>
      <c r="J54" s="207"/>
      <c r="K54"/>
      <c r="L54" s="206"/>
      <c r="M54" s="206"/>
      <c r="N54" s="206"/>
      <c r="O54" s="208"/>
      <c r="P54" s="207"/>
      <c r="Q54"/>
      <c r="R54" s="206"/>
      <c r="S54" s="206"/>
      <c r="T54" s="206"/>
      <c r="U54" s="208"/>
      <c r="V54" s="207"/>
      <c r="W54"/>
      <c r="X54" s="206"/>
      <c r="Y54" s="206"/>
      <c r="Z54" s="206"/>
      <c r="AA54" s="206"/>
      <c r="AB54" s="209"/>
      <c r="AC54" s="208"/>
      <c r="AD54" s="206"/>
      <c r="AE54" s="206"/>
      <c r="AF54" s="210"/>
      <c r="AG54" s="210"/>
      <c r="AH54" s="409"/>
      <c r="AI54" s="409"/>
      <c r="AJ54" s="409"/>
      <c r="AK54" s="409"/>
      <c r="AL54" s="409"/>
    </row>
    <row r="55" spans="1:38" s="2" customFormat="1" ht="14.5" customHeight="1">
      <c r="A55"/>
      <c r="B55" s="269" t="s">
        <v>341</v>
      </c>
      <c r="C55"/>
      <c r="D55" s="196"/>
      <c r="E55"/>
      <c r="F55" s="195"/>
      <c r="G55" s="195"/>
      <c r="H55" s="195"/>
      <c r="I55" s="195"/>
      <c r="J55" s="196"/>
      <c r="K55"/>
      <c r="L55" s="195"/>
      <c r="M55" s="195"/>
      <c r="N55" s="195"/>
      <c r="O55" s="195"/>
      <c r="P55" s="197">
        <f>P59/P51</f>
        <v>10.803571428571429</v>
      </c>
      <c r="Q55"/>
      <c r="R55" s="195"/>
      <c r="S55" s="195"/>
      <c r="T55" s="195"/>
      <c r="U55" s="195"/>
      <c r="V55" s="197">
        <f>V59/V51</f>
        <v>11.113402061855671</v>
      </c>
      <c r="W55"/>
      <c r="X55" s="195"/>
      <c r="Y55" s="195"/>
      <c r="Z55" s="48"/>
      <c r="AA55" s="48"/>
      <c r="AB55" s="197">
        <f>AB59/AB51</f>
        <v>12.132075471698114</v>
      </c>
      <c r="AC55" s="48"/>
      <c r="AD55" s="195"/>
      <c r="AE55" s="195"/>
      <c r="AF55" s="48"/>
      <c r="AG55" s="48"/>
      <c r="AH55" s="197">
        <f>+AB55*(1+AH56)</f>
        <v>12.860000000000001</v>
      </c>
      <c r="AI55" s="197">
        <f>+AH55*(1+AI56)</f>
        <v>13.631600000000002</v>
      </c>
      <c r="AJ55" s="197">
        <f>+AI55*(1+AJ56)</f>
        <v>14.449496000000003</v>
      </c>
      <c r="AK55" s="197">
        <f>+AJ55*(1+AK56)</f>
        <v>15.316465760000005</v>
      </c>
      <c r="AL55" s="197">
        <f>+AK55*(1+AL56)</f>
        <v>16.235453705600005</v>
      </c>
    </row>
    <row r="56" spans="1:38" s="2" customFormat="1" ht="14.5" customHeight="1">
      <c r="A56"/>
      <c r="B56" s="198" t="s">
        <v>14</v>
      </c>
      <c r="C56"/>
      <c r="D56" s="148"/>
      <c r="E56"/>
      <c r="F56" s="21"/>
      <c r="G56" s="21"/>
      <c r="H56" s="21"/>
      <c r="I56" s="21"/>
      <c r="J56" s="148"/>
      <c r="K56"/>
      <c r="L56" s="21"/>
      <c r="M56" s="21"/>
      <c r="N56" s="21"/>
      <c r="O56" s="21"/>
      <c r="P56" s="148"/>
      <c r="Q56"/>
      <c r="R56" s="21"/>
      <c r="S56" s="21"/>
      <c r="T56" s="21"/>
      <c r="U56" s="21"/>
      <c r="V56" s="148">
        <f>+V55/P55-1</f>
        <v>2.8678537956888572E-2</v>
      </c>
      <c r="W56"/>
      <c r="X56" s="21"/>
      <c r="Y56" s="21"/>
      <c r="Z56" s="368"/>
      <c r="AA56" s="368"/>
      <c r="AB56" s="148">
        <f>+AB55/V55-1</f>
        <v>9.1661707564672401E-2</v>
      </c>
      <c r="AC56" s="21"/>
      <c r="AD56" s="21"/>
      <c r="AE56" s="21"/>
      <c r="AF56" s="168"/>
      <c r="AG56" s="168"/>
      <c r="AH56" s="168">
        <v>0.06</v>
      </c>
      <c r="AI56" s="168">
        <v>0.06</v>
      </c>
      <c r="AJ56" s="168">
        <v>0.06</v>
      </c>
      <c r="AK56" s="168">
        <v>0.06</v>
      </c>
      <c r="AL56" s="168">
        <v>0.06</v>
      </c>
    </row>
    <row r="57" spans="1:38" s="2" customFormat="1" ht="14.5" customHeight="1">
      <c r="A57"/>
      <c r="B57" s="198" t="s">
        <v>96</v>
      </c>
      <c r="C57"/>
      <c r="D57" s="148"/>
      <c r="E57"/>
      <c r="F57" s="21"/>
      <c r="G57" s="21"/>
      <c r="H57" s="21"/>
      <c r="I57" s="21"/>
      <c r="J57" s="148"/>
      <c r="K57"/>
      <c r="L57" s="21"/>
      <c r="M57" s="21"/>
      <c r="N57" s="21"/>
      <c r="O57" s="21"/>
      <c r="P57" s="148"/>
      <c r="Q57"/>
      <c r="R57" s="21"/>
      <c r="S57" s="21"/>
      <c r="T57" s="21"/>
      <c r="U57" s="21"/>
      <c r="V57" s="148"/>
      <c r="W57"/>
      <c r="X57" s="21"/>
      <c r="Y57" s="21"/>
      <c r="Z57" s="21"/>
      <c r="AA57" s="21"/>
      <c r="AB57" s="148"/>
      <c r="AC57" s="21"/>
      <c r="AD57" s="21"/>
      <c r="AE57" s="21"/>
      <c r="AF57" s="21"/>
      <c r="AG57" s="21"/>
      <c r="AH57" s="148"/>
      <c r="AI57" s="148"/>
      <c r="AJ57" s="148"/>
      <c r="AK57" s="148"/>
      <c r="AL57" s="148"/>
    </row>
    <row r="58" spans="1:38" s="2" customFormat="1" ht="14.5" customHeight="1">
      <c r="A58"/>
      <c r="B58" s="198"/>
      <c r="C58"/>
      <c r="D58" s="148"/>
      <c r="E58"/>
      <c r="F58" s="21"/>
      <c r="G58" s="21"/>
      <c r="H58" s="21"/>
      <c r="I58" s="21"/>
      <c r="J58" s="148"/>
      <c r="K58"/>
      <c r="L58" s="21"/>
      <c r="M58" s="21"/>
      <c r="N58" s="21"/>
      <c r="O58" s="21"/>
      <c r="P58" s="148"/>
      <c r="Q58"/>
      <c r="R58" s="21"/>
      <c r="S58" s="21"/>
      <c r="T58" s="21"/>
      <c r="U58" s="21"/>
      <c r="V58" s="148"/>
      <c r="W58"/>
      <c r="X58" s="21"/>
      <c r="Y58" s="21"/>
      <c r="Z58" s="21"/>
      <c r="AA58" s="21"/>
      <c r="AB58" s="148"/>
      <c r="AC58" s="21"/>
      <c r="AD58" s="21"/>
      <c r="AE58" s="21"/>
      <c r="AF58" s="21"/>
      <c r="AG58" s="21"/>
      <c r="AH58" s="148"/>
      <c r="AI58" s="148"/>
      <c r="AJ58" s="148"/>
      <c r="AK58" s="148"/>
      <c r="AL58" s="148"/>
    </row>
    <row r="59" spans="1:38" s="2" customFormat="1" ht="14.5" customHeight="1">
      <c r="B59" s="2" t="s">
        <v>83</v>
      </c>
      <c r="D59" s="170"/>
      <c r="F59" s="112"/>
      <c r="G59" s="112"/>
      <c r="H59" s="112"/>
      <c r="I59" s="181"/>
      <c r="J59" s="170"/>
      <c r="L59" s="112"/>
      <c r="M59" s="112"/>
      <c r="N59" s="112"/>
      <c r="O59" s="181"/>
      <c r="P59" s="170">
        <v>242</v>
      </c>
      <c r="R59" s="112"/>
      <c r="S59" s="112"/>
      <c r="T59" s="112"/>
      <c r="U59" s="181"/>
      <c r="V59" s="170">
        <v>431.2</v>
      </c>
      <c r="X59" s="112"/>
      <c r="Y59" s="112"/>
      <c r="Z59" s="181"/>
      <c r="AA59" s="181"/>
      <c r="AB59" s="180">
        <v>643</v>
      </c>
      <c r="AC59" s="181"/>
      <c r="AD59" s="112">
        <v>235</v>
      </c>
      <c r="AE59" s="112">
        <v>163</v>
      </c>
      <c r="AF59" s="181"/>
      <c r="AG59" s="181"/>
      <c r="AH59" s="180">
        <f>AH51*AH55</f>
        <v>783.81700000000001</v>
      </c>
      <c r="AI59" s="180">
        <f t="shared" ref="AI59:AL59" si="10">AI51*AI55</f>
        <v>955.47292300000004</v>
      </c>
      <c r="AJ59" s="180">
        <f t="shared" si="10"/>
        <v>1164.7214931370002</v>
      </c>
      <c r="AK59" s="180">
        <f t="shared" si="10"/>
        <v>1419.7955001340031</v>
      </c>
      <c r="AL59" s="180">
        <f t="shared" si="10"/>
        <v>1730.7307146633495</v>
      </c>
    </row>
    <row r="60" spans="1:38" ht="14.5" customHeight="1">
      <c r="B60" s="10" t="s">
        <v>14</v>
      </c>
      <c r="D60" s="148"/>
      <c r="F60" s="21"/>
      <c r="G60" s="21"/>
      <c r="H60" s="21"/>
      <c r="I60" s="21"/>
      <c r="J60" s="148"/>
      <c r="L60" s="21"/>
      <c r="M60" s="21"/>
      <c r="N60" s="21"/>
      <c r="O60" s="21"/>
      <c r="P60" s="148"/>
      <c r="R60" s="21"/>
      <c r="S60" s="21"/>
      <c r="T60" s="21"/>
      <c r="U60" s="21"/>
      <c r="V60" s="148">
        <f>+V59/P59-1</f>
        <v>0.78181818181818175</v>
      </c>
      <c r="X60" s="21"/>
      <c r="Y60" s="21"/>
      <c r="Z60" s="21"/>
      <c r="AA60" s="21"/>
      <c r="AB60" s="148">
        <f>+AB59/V59-1</f>
        <v>0.49118738404452689</v>
      </c>
      <c r="AC60" s="21"/>
      <c r="AD60" s="21"/>
      <c r="AE60" s="21"/>
      <c r="AF60" s="21"/>
      <c r="AG60" s="21"/>
      <c r="AH60" s="148">
        <f>+AH59/AB59-1</f>
        <v>0.21900000000000008</v>
      </c>
      <c r="AI60" s="148">
        <f>+AI59/AH59-1</f>
        <v>0.21900000000000008</v>
      </c>
      <c r="AJ60" s="148">
        <f>+AJ59/AI59-1</f>
        <v>0.21900000000000008</v>
      </c>
      <c r="AK60" s="148">
        <f>+AK59/AJ59-1</f>
        <v>0.21899999999999986</v>
      </c>
      <c r="AL60" s="148">
        <f>+AL59/AK59-1</f>
        <v>0.21899999999999986</v>
      </c>
    </row>
    <row r="61" spans="1:38" s="2" customFormat="1" ht="14.5" customHeight="1">
      <c r="A61"/>
      <c r="B61" s="10" t="s">
        <v>94</v>
      </c>
      <c r="C61"/>
      <c r="D61" s="148"/>
      <c r="E61"/>
      <c r="F61" s="21"/>
      <c r="G61" s="21"/>
      <c r="H61" s="21"/>
      <c r="I61" s="21"/>
      <c r="J61" s="148"/>
      <c r="K61"/>
      <c r="L61" s="21"/>
      <c r="M61" s="21"/>
      <c r="N61" s="21"/>
      <c r="O61" s="21"/>
      <c r="P61" s="148"/>
      <c r="Q61"/>
      <c r="R61" s="21"/>
      <c r="S61" s="21"/>
      <c r="T61" s="21"/>
      <c r="U61" s="21"/>
      <c r="V61" s="148"/>
      <c r="W61"/>
      <c r="X61" s="21"/>
      <c r="Y61" s="21"/>
      <c r="Z61" s="21"/>
      <c r="AA61" s="21"/>
      <c r="AB61" s="148">
        <f t="shared" ref="AB61" si="11">+AB59/P59-1</f>
        <v>1.6570247933884299</v>
      </c>
      <c r="AC61" s="21"/>
      <c r="AD61" s="21"/>
      <c r="AE61" s="21"/>
      <c r="AF61" s="21"/>
      <c r="AG61" s="21"/>
      <c r="AH61" s="148">
        <f>+AH59/V59-1</f>
        <v>0.81775742115027827</v>
      </c>
      <c r="AI61" s="148">
        <f>+AI59/AB59-1</f>
        <v>0.48596100000000009</v>
      </c>
      <c r="AJ61" s="148">
        <f>+AJ59/AH59-1</f>
        <v>0.48596100000000009</v>
      </c>
      <c r="AK61" s="148">
        <f>+AK59/AI59-1</f>
        <v>0.48596100000000009</v>
      </c>
      <c r="AL61" s="148">
        <f>+AL59/AJ59-1</f>
        <v>0.48596099999999964</v>
      </c>
    </row>
    <row r="62" spans="1:38" s="2" customFormat="1" ht="14.5" customHeight="1">
      <c r="A62"/>
      <c r="B62" s="10" t="s">
        <v>96</v>
      </c>
      <c r="C62"/>
      <c r="D62" s="148"/>
      <c r="E62"/>
      <c r="F62" s="21"/>
      <c r="G62" s="21"/>
      <c r="H62" s="21"/>
      <c r="I62" s="21"/>
      <c r="J62" s="148"/>
      <c r="K62"/>
      <c r="L62" s="21"/>
      <c r="M62" s="21"/>
      <c r="N62" s="21"/>
      <c r="O62" s="21"/>
      <c r="P62" s="148"/>
      <c r="Q62"/>
      <c r="R62" s="21"/>
      <c r="S62" s="21"/>
      <c r="T62" s="21"/>
      <c r="U62" s="21"/>
      <c r="V62" s="148"/>
      <c r="W62"/>
      <c r="X62" s="21"/>
      <c r="Y62" s="21"/>
      <c r="Z62" s="21"/>
      <c r="AA62" s="21"/>
      <c r="AB62" s="148"/>
      <c r="AC62" s="21"/>
      <c r="AD62" s="21"/>
      <c r="AE62" s="21">
        <f>+AE59/AD59-1</f>
        <v>-0.30638297872340425</v>
      </c>
      <c r="AF62" s="21"/>
      <c r="AG62" s="21"/>
      <c r="AH62" s="148"/>
      <c r="AI62" s="148"/>
      <c r="AJ62" s="148"/>
      <c r="AK62" s="148"/>
      <c r="AL62" s="148"/>
    </row>
    <row r="63" spans="1:38" s="2" customFormat="1" ht="14.5" customHeight="1">
      <c r="A63"/>
      <c r="B63"/>
      <c r="C63"/>
      <c r="D63" s="144"/>
      <c r="E63"/>
      <c r="F63"/>
      <c r="G63"/>
      <c r="H63"/>
      <c r="I63"/>
      <c r="J63" s="144"/>
      <c r="K63"/>
      <c r="L63"/>
      <c r="M63"/>
      <c r="N63"/>
      <c r="O63"/>
      <c r="P63" s="144"/>
      <c r="Q63"/>
      <c r="R63"/>
      <c r="S63"/>
      <c r="T63"/>
      <c r="U63"/>
      <c r="V63" s="144"/>
      <c r="W63"/>
      <c r="X63"/>
      <c r="Y63"/>
      <c r="Z63"/>
      <c r="AA63"/>
      <c r="AB63" s="144"/>
      <c r="AC63"/>
      <c r="AD63"/>
      <c r="AE63"/>
      <c r="AF63"/>
      <c r="AG63"/>
      <c r="AH63" s="144"/>
      <c r="AI63" s="144"/>
      <c r="AJ63" s="144"/>
      <c r="AK63" s="144"/>
      <c r="AL63" s="144"/>
    </row>
    <row r="64" spans="1:38" s="2" customFormat="1" ht="14.5" customHeight="1">
      <c r="A64"/>
      <c r="B64" s="199" t="s">
        <v>148</v>
      </c>
      <c r="C64"/>
      <c r="D64" s="144"/>
      <c r="E64"/>
      <c r="F64"/>
      <c r="G64"/>
      <c r="H64"/>
      <c r="I64"/>
      <c r="J64" s="144"/>
      <c r="K64"/>
      <c r="L64"/>
      <c r="M64"/>
      <c r="N64"/>
      <c r="O64"/>
      <c r="P64" s="144"/>
      <c r="Q64"/>
      <c r="R64"/>
      <c r="S64"/>
      <c r="T64"/>
      <c r="U64"/>
      <c r="V64" s="144"/>
      <c r="W64"/>
      <c r="X64"/>
      <c r="Y64"/>
      <c r="Z64"/>
      <c r="AA64"/>
      <c r="AB64" s="144"/>
      <c r="AC64"/>
      <c r="AD64"/>
      <c r="AE64"/>
      <c r="AF64"/>
      <c r="AG64"/>
      <c r="AH64" s="144"/>
      <c r="AI64" s="144"/>
      <c r="AJ64" s="144"/>
      <c r="AK64" s="144"/>
      <c r="AL64" s="144"/>
    </row>
    <row r="65" spans="1:38" s="2" customFormat="1" ht="14.5" customHeight="1">
      <c r="A65"/>
      <c r="B65" s="155" t="s">
        <v>340</v>
      </c>
      <c r="C65"/>
      <c r="D65" s="207"/>
      <c r="E65"/>
      <c r="F65" s="206"/>
      <c r="G65" s="206"/>
      <c r="H65" s="206"/>
      <c r="I65" s="208"/>
      <c r="J65" s="207"/>
      <c r="K65"/>
      <c r="L65" s="206"/>
      <c r="M65" s="206"/>
      <c r="N65" s="206"/>
      <c r="O65" s="208"/>
      <c r="P65" s="207">
        <v>27.6</v>
      </c>
      <c r="Q65"/>
      <c r="R65" s="206"/>
      <c r="S65" s="206"/>
      <c r="T65" s="206"/>
      <c r="U65" s="208"/>
      <c r="V65" s="207">
        <v>29.7</v>
      </c>
      <c r="W65"/>
      <c r="X65" s="206"/>
      <c r="Y65" s="206"/>
      <c r="Z65" s="208"/>
      <c r="AA65" s="208"/>
      <c r="AB65" s="209">
        <v>40</v>
      </c>
      <c r="AC65" s="208"/>
      <c r="AD65" s="206"/>
      <c r="AE65" s="206"/>
      <c r="AF65" s="208"/>
      <c r="AG65" s="208"/>
      <c r="AH65" s="209">
        <f>AB65*(1+AH66)</f>
        <v>52</v>
      </c>
      <c r="AI65" s="209">
        <f>AH65*(1+AI66)</f>
        <v>67.600000000000009</v>
      </c>
      <c r="AJ65" s="209">
        <f>AI65*(1+AJ66)</f>
        <v>81.12</v>
      </c>
      <c r="AK65" s="209">
        <f>AJ65*(1+AK66)</f>
        <v>97.344000000000008</v>
      </c>
      <c r="AL65" s="209">
        <f>AK65*(1+AL66)</f>
        <v>116.81280000000001</v>
      </c>
    </row>
    <row r="66" spans="1:38" s="2" customFormat="1" ht="14.5" customHeight="1">
      <c r="A66"/>
      <c r="B66" s="10" t="s">
        <v>14</v>
      </c>
      <c r="C66"/>
      <c r="D66" s="148"/>
      <c r="E66"/>
      <c r="F66" s="21"/>
      <c r="G66" s="21"/>
      <c r="H66" s="21"/>
      <c r="I66" s="21"/>
      <c r="J66" s="148"/>
      <c r="K66"/>
      <c r="L66" s="21"/>
      <c r="M66" s="21"/>
      <c r="N66" s="21"/>
      <c r="O66" s="21"/>
      <c r="P66" s="148"/>
      <c r="Q66"/>
      <c r="R66" s="21"/>
      <c r="S66" s="21"/>
      <c r="T66" s="21"/>
      <c r="U66" s="21"/>
      <c r="V66" s="148">
        <f>+V65/P65-1</f>
        <v>7.6086956521739024E-2</v>
      </c>
      <c r="W66"/>
      <c r="X66" s="21"/>
      <c r="Y66" s="21"/>
      <c r="Z66" s="21"/>
      <c r="AA66" s="21"/>
      <c r="AB66" s="148">
        <f>+AB65/V65-1</f>
        <v>0.34680134680134689</v>
      </c>
      <c r="AC66" s="21"/>
      <c r="AD66" s="21"/>
      <c r="AE66" s="21"/>
      <c r="AF66" s="21"/>
      <c r="AG66" s="21"/>
      <c r="AH66" s="148">
        <v>0.3</v>
      </c>
      <c r="AI66" s="148">
        <v>0.3</v>
      </c>
      <c r="AJ66" s="148">
        <v>0.2</v>
      </c>
      <c r="AK66" s="148">
        <v>0.2</v>
      </c>
      <c r="AL66" s="148">
        <v>0.2</v>
      </c>
    </row>
    <row r="67" spans="1:38" s="2" customFormat="1" ht="14.5" customHeight="1">
      <c r="A67"/>
      <c r="B67" s="10" t="s">
        <v>96</v>
      </c>
      <c r="C67"/>
      <c r="D67" s="148"/>
      <c r="E67"/>
      <c r="F67" s="21"/>
      <c r="G67" s="21"/>
      <c r="H67" s="21"/>
      <c r="I67" s="21"/>
      <c r="J67" s="148"/>
      <c r="K67"/>
      <c r="L67" s="21"/>
      <c r="M67" s="21"/>
      <c r="N67" s="21"/>
      <c r="O67" s="21"/>
      <c r="P67" s="148"/>
      <c r="Q67"/>
      <c r="R67" s="21"/>
      <c r="S67" s="21"/>
      <c r="T67" s="21"/>
      <c r="U67" s="21"/>
      <c r="V67" s="148"/>
      <c r="W67"/>
      <c r="X67" s="21"/>
      <c r="Y67" s="21"/>
      <c r="Z67" s="21"/>
      <c r="AA67" s="21"/>
      <c r="AB67" s="148"/>
      <c r="AC67" s="21"/>
      <c r="AD67" s="21"/>
      <c r="AE67" s="21"/>
      <c r="AF67" s="21"/>
      <c r="AG67" s="21"/>
      <c r="AH67" s="148"/>
      <c r="AI67" s="148"/>
      <c r="AJ67" s="148"/>
      <c r="AK67" s="148"/>
      <c r="AL67" s="148"/>
    </row>
    <row r="68" spans="1:38" s="2" customFormat="1" ht="14.5" customHeight="1">
      <c r="A68"/>
      <c r="B68" s="10"/>
      <c r="C68"/>
      <c r="D68" s="207"/>
      <c r="E68"/>
      <c r="F68" s="206"/>
      <c r="G68" s="206"/>
      <c r="H68" s="206"/>
      <c r="I68" s="206"/>
      <c r="J68" s="207"/>
      <c r="K68"/>
      <c r="L68" s="206"/>
      <c r="M68" s="206"/>
      <c r="N68" s="206"/>
      <c r="O68" s="206"/>
      <c r="P68" s="207"/>
      <c r="Q68"/>
      <c r="R68" s="206"/>
      <c r="S68" s="206"/>
      <c r="T68" s="206"/>
      <c r="U68" s="206"/>
      <c r="V68" s="207"/>
      <c r="W68"/>
      <c r="X68" s="206"/>
      <c r="Y68" s="206"/>
      <c r="Z68" s="208"/>
      <c r="AA68" s="208"/>
      <c r="AB68" s="209"/>
      <c r="AC68" s="208"/>
      <c r="AD68" s="206"/>
      <c r="AE68" s="206"/>
      <c r="AF68" s="208"/>
      <c r="AG68" s="208"/>
      <c r="AH68" s="209"/>
      <c r="AI68" s="209"/>
      <c r="AJ68" s="209"/>
      <c r="AK68" s="209"/>
      <c r="AL68" s="209"/>
    </row>
    <row r="69" spans="1:38" s="2" customFormat="1" ht="14.5" customHeight="1">
      <c r="A69"/>
      <c r="B69" s="269" t="s">
        <v>341</v>
      </c>
      <c r="C69"/>
      <c r="D69" s="196"/>
      <c r="E69"/>
      <c r="F69" s="195"/>
      <c r="G69" s="195"/>
      <c r="H69" s="195"/>
      <c r="I69" s="195"/>
      <c r="J69" s="196"/>
      <c r="K69"/>
      <c r="L69" s="195"/>
      <c r="M69" s="195"/>
      <c r="N69" s="195"/>
      <c r="O69" s="195"/>
      <c r="P69" s="196">
        <f>P73/P65</f>
        <v>12.307971014492752</v>
      </c>
      <c r="Q69"/>
      <c r="R69" s="195"/>
      <c r="S69" s="195"/>
      <c r="T69" s="195"/>
      <c r="U69" s="195"/>
      <c r="V69" s="196">
        <f>V73/V65</f>
        <v>14.434343434343434</v>
      </c>
      <c r="W69"/>
      <c r="X69" s="195"/>
      <c r="Y69" s="195"/>
      <c r="Z69" s="48"/>
      <c r="AA69" s="48"/>
      <c r="AB69" s="196">
        <f>AB73/AB65</f>
        <v>15.55</v>
      </c>
      <c r="AC69" s="48"/>
      <c r="AD69" s="195"/>
      <c r="AE69" s="195"/>
      <c r="AF69" s="48"/>
      <c r="AG69" s="48"/>
      <c r="AH69" s="197">
        <f>+AB69*(1+AH70)</f>
        <v>16.638500000000001</v>
      </c>
      <c r="AI69" s="197">
        <f>+AH69*(1+AI70)</f>
        <v>17.803195000000002</v>
      </c>
      <c r="AJ69" s="197">
        <f>+AI69*(1+AJ70)</f>
        <v>19.049418650000003</v>
      </c>
      <c r="AK69" s="197">
        <f>+AJ69*(1+AK70)</f>
        <v>20.382877955500003</v>
      </c>
      <c r="AL69" s="197">
        <f>+AK69*(1+AL70)</f>
        <v>21.809679412385005</v>
      </c>
    </row>
    <row r="70" spans="1:38" s="2" customFormat="1" ht="14.5" customHeight="1">
      <c r="A70"/>
      <c r="B70" s="198" t="s">
        <v>14</v>
      </c>
      <c r="C70"/>
      <c r="D70" s="148"/>
      <c r="E70"/>
      <c r="F70" s="21"/>
      <c r="G70" s="21"/>
      <c r="H70" s="21"/>
      <c r="I70" s="21"/>
      <c r="J70" s="148"/>
      <c r="K70"/>
      <c r="L70" s="21"/>
      <c r="M70" s="21"/>
      <c r="N70" s="21"/>
      <c r="O70" s="21"/>
      <c r="P70" s="148"/>
      <c r="Q70"/>
      <c r="R70" s="21"/>
      <c r="S70" s="21"/>
      <c r="T70" s="21"/>
      <c r="U70" s="21"/>
      <c r="V70" s="148">
        <f>+V69/P69-1</f>
        <v>0.17276384688807433</v>
      </c>
      <c r="W70"/>
      <c r="X70" s="21"/>
      <c r="Y70" s="21"/>
      <c r="Z70" s="368"/>
      <c r="AA70" s="368"/>
      <c r="AB70" s="148">
        <f>+AB69/V69-1</f>
        <v>7.7291812456263154E-2</v>
      </c>
      <c r="AC70" s="21"/>
      <c r="AD70" s="21"/>
      <c r="AE70" s="21"/>
      <c r="AF70" s="168"/>
      <c r="AG70" s="168"/>
      <c r="AH70" s="168">
        <v>7.0000000000000007E-2</v>
      </c>
      <c r="AI70" s="168">
        <v>7.0000000000000007E-2</v>
      </c>
      <c r="AJ70" s="168">
        <v>7.0000000000000007E-2</v>
      </c>
      <c r="AK70" s="168">
        <v>7.0000000000000007E-2</v>
      </c>
      <c r="AL70" s="168">
        <v>7.0000000000000007E-2</v>
      </c>
    </row>
    <row r="71" spans="1:38" s="2" customFormat="1" ht="14.5" customHeight="1">
      <c r="A71"/>
      <c r="B71" s="198" t="s">
        <v>96</v>
      </c>
      <c r="C71"/>
      <c r="D71" s="148"/>
      <c r="E71"/>
      <c r="F71" s="21"/>
      <c r="G71" s="21"/>
      <c r="H71" s="21"/>
      <c r="I71" s="21"/>
      <c r="J71" s="148"/>
      <c r="K71"/>
      <c r="L71" s="21"/>
      <c r="M71" s="21"/>
      <c r="N71" s="21"/>
      <c r="O71" s="21"/>
      <c r="P71" s="148"/>
      <c r="Q71"/>
      <c r="R71" s="21"/>
      <c r="S71" s="21"/>
      <c r="T71" s="21"/>
      <c r="U71" s="21"/>
      <c r="V71" s="148"/>
      <c r="W71"/>
      <c r="X71" s="21"/>
      <c r="Y71" s="21"/>
      <c r="Z71" s="21"/>
      <c r="AA71" s="21"/>
      <c r="AB71" s="148"/>
      <c r="AC71" s="21"/>
      <c r="AD71" s="21"/>
      <c r="AE71" s="21"/>
      <c r="AF71" s="21"/>
      <c r="AG71" s="21"/>
      <c r="AH71" s="148"/>
      <c r="AI71" s="148"/>
      <c r="AJ71" s="148"/>
      <c r="AK71" s="148"/>
      <c r="AL71" s="148"/>
    </row>
    <row r="72" spans="1:38" s="2" customFormat="1" ht="14.5" customHeight="1">
      <c r="A72"/>
      <c r="B72" s="198"/>
      <c r="C72"/>
      <c r="D72" s="148"/>
      <c r="E72"/>
      <c r="F72" s="21"/>
      <c r="G72" s="21"/>
      <c r="H72" s="21"/>
      <c r="I72" s="21"/>
      <c r="J72" s="148"/>
      <c r="K72"/>
      <c r="L72" s="21"/>
      <c r="M72" s="21"/>
      <c r="N72" s="21"/>
      <c r="O72" s="21"/>
      <c r="P72" s="148"/>
      <c r="Q72"/>
      <c r="R72" s="21"/>
      <c r="S72" s="21"/>
      <c r="T72" s="21"/>
      <c r="U72" s="21"/>
      <c r="V72" s="148"/>
      <c r="W72"/>
      <c r="X72" s="21"/>
      <c r="Y72" s="21"/>
      <c r="Z72" s="21"/>
      <c r="AA72" s="21"/>
      <c r="AB72" s="148"/>
      <c r="AC72" s="21"/>
      <c r="AD72" s="21"/>
      <c r="AE72" s="21"/>
      <c r="AF72" s="21"/>
      <c r="AG72" s="21"/>
      <c r="AH72" s="148"/>
      <c r="AI72" s="148"/>
      <c r="AJ72" s="148"/>
      <c r="AK72" s="148"/>
      <c r="AL72" s="148"/>
    </row>
    <row r="73" spans="1:38" s="2" customFormat="1" ht="14.5" customHeight="1">
      <c r="B73" s="2" t="s">
        <v>83</v>
      </c>
      <c r="D73" s="170"/>
      <c r="F73" s="112"/>
      <c r="G73" s="112"/>
      <c r="H73" s="112"/>
      <c r="I73" s="181"/>
      <c r="J73" s="170"/>
      <c r="L73" s="112"/>
      <c r="M73" s="112"/>
      <c r="N73" s="112"/>
      <c r="O73" s="181"/>
      <c r="P73" s="170">
        <v>339.7</v>
      </c>
      <c r="R73" s="112"/>
      <c r="S73" s="112"/>
      <c r="T73" s="112"/>
      <c r="U73" s="181"/>
      <c r="V73" s="170">
        <v>428.7</v>
      </c>
      <c r="X73" s="112"/>
      <c r="Y73" s="112"/>
      <c r="Z73" s="181"/>
      <c r="AA73" s="181"/>
      <c r="AB73" s="180">
        <v>622</v>
      </c>
      <c r="AC73" s="181"/>
      <c r="AD73" s="112">
        <v>200</v>
      </c>
      <c r="AE73" s="112">
        <v>188</v>
      </c>
      <c r="AF73" s="181"/>
      <c r="AG73" s="181"/>
      <c r="AH73" s="180">
        <f>AH65*AH69</f>
        <v>865.202</v>
      </c>
      <c r="AI73" s="180">
        <f t="shared" ref="AI73:AL73" si="12">AI65*AI69</f>
        <v>1203.4959820000004</v>
      </c>
      <c r="AJ73" s="180">
        <f t="shared" si="12"/>
        <v>1545.2888408880003</v>
      </c>
      <c r="AK73" s="180">
        <f t="shared" si="12"/>
        <v>1984.1508717001925</v>
      </c>
      <c r="AL73" s="180">
        <f t="shared" si="12"/>
        <v>2547.6497192630472</v>
      </c>
    </row>
    <row r="74" spans="1:38" ht="14.5" customHeight="1">
      <c r="B74" s="10" t="s">
        <v>14</v>
      </c>
      <c r="D74" s="148"/>
      <c r="F74" s="21"/>
      <c r="G74" s="21"/>
      <c r="H74" s="21"/>
      <c r="I74" s="21"/>
      <c r="J74" s="148"/>
      <c r="L74" s="21"/>
      <c r="M74" s="21"/>
      <c r="N74" s="21"/>
      <c r="O74" s="21"/>
      <c r="P74" s="148"/>
      <c r="R74" s="21"/>
      <c r="S74" s="21"/>
      <c r="T74" s="21"/>
      <c r="U74" s="21"/>
      <c r="V74" s="148">
        <f>+V73/P73-1</f>
        <v>0.26199587871651464</v>
      </c>
      <c r="X74" s="21"/>
      <c r="Y74" s="21"/>
      <c r="Z74" s="21"/>
      <c r="AA74" s="21"/>
      <c r="AB74" s="148">
        <f>+AB73/V73-1</f>
        <v>0.4508980639141591</v>
      </c>
      <c r="AC74" s="21"/>
      <c r="AD74" s="21"/>
      <c r="AE74" s="21"/>
      <c r="AF74" s="21"/>
      <c r="AG74" s="21"/>
      <c r="AH74" s="148">
        <f>+AH73/AB73-1</f>
        <v>0.39100000000000001</v>
      </c>
      <c r="AI74" s="148">
        <f>+AI73/AH73-1</f>
        <v>0.39100000000000046</v>
      </c>
      <c r="AJ74" s="148">
        <f>+AJ73/AI73-1</f>
        <v>0.28399999999999981</v>
      </c>
      <c r="AK74" s="148">
        <f>+AK73/AJ73-1</f>
        <v>0.28400000000000003</v>
      </c>
      <c r="AL74" s="148">
        <f>+AL73/AK73-1</f>
        <v>0.28400000000000003</v>
      </c>
    </row>
    <row r="75" spans="1:38" s="2" customFormat="1" ht="14.5" customHeight="1">
      <c r="A75"/>
      <c r="B75" s="10" t="s">
        <v>94</v>
      </c>
      <c r="C75"/>
      <c r="D75" s="148"/>
      <c r="E75"/>
      <c r="F75" s="21"/>
      <c r="G75" s="21"/>
      <c r="H75" s="21"/>
      <c r="I75" s="21"/>
      <c r="J75" s="148"/>
      <c r="K75"/>
      <c r="L75" s="21"/>
      <c r="M75" s="21"/>
      <c r="N75" s="21"/>
      <c r="O75" s="21"/>
      <c r="P75" s="148"/>
      <c r="Q75"/>
      <c r="R75" s="21"/>
      <c r="S75" s="21"/>
      <c r="T75" s="21"/>
      <c r="U75" s="21"/>
      <c r="V75" s="148"/>
      <c r="W75"/>
      <c r="X75" s="21"/>
      <c r="Y75" s="21"/>
      <c r="Z75" s="21"/>
      <c r="AA75" s="21"/>
      <c r="AB75" s="148">
        <f t="shared" ref="AB75" si="13">+AB73/P73-1</f>
        <v>0.83102737709743901</v>
      </c>
      <c r="AC75" s="21"/>
      <c r="AD75" s="21"/>
      <c r="AE75" s="21"/>
      <c r="AF75" s="21"/>
      <c r="AG75" s="21"/>
      <c r="AH75" s="148">
        <f>+AH73/V73-1</f>
        <v>1.0181992069045953</v>
      </c>
      <c r="AI75" s="148">
        <f>+AI73/AB73-1</f>
        <v>0.93488100000000052</v>
      </c>
      <c r="AJ75" s="148">
        <f>+AJ73/AH73-1</f>
        <v>0.78604400000000041</v>
      </c>
      <c r="AK75" s="148">
        <f>+AK73/AI73-1</f>
        <v>0.6486559999999999</v>
      </c>
      <c r="AL75" s="148">
        <f>+AL73/AJ73-1</f>
        <v>0.64865600000000012</v>
      </c>
    </row>
    <row r="76" spans="1:38" s="2" customFormat="1" ht="14.5" customHeight="1">
      <c r="A76"/>
      <c r="B76" s="10" t="s">
        <v>96</v>
      </c>
      <c r="C76"/>
      <c r="D76" s="148"/>
      <c r="E76"/>
      <c r="F76" s="21"/>
      <c r="G76" s="21"/>
      <c r="H76" s="21"/>
      <c r="I76" s="21"/>
      <c r="J76" s="148"/>
      <c r="K76"/>
      <c r="L76" s="21"/>
      <c r="M76" s="21"/>
      <c r="N76" s="21"/>
      <c r="O76" s="21"/>
      <c r="P76" s="148"/>
      <c r="Q76"/>
      <c r="R76" s="21"/>
      <c r="S76" s="21"/>
      <c r="T76" s="21"/>
      <c r="U76" s="21"/>
      <c r="V76" s="148"/>
      <c r="W76"/>
      <c r="X76" s="21"/>
      <c r="Y76" s="21"/>
      <c r="Z76" s="21"/>
      <c r="AA76" s="21"/>
      <c r="AB76" s="148"/>
      <c r="AC76" s="21"/>
      <c r="AD76" s="21"/>
      <c r="AE76" s="21">
        <f>+AE73/AD73-1</f>
        <v>-6.0000000000000053E-2</v>
      </c>
      <c r="AF76" s="21"/>
      <c r="AG76" s="21"/>
      <c r="AH76" s="148"/>
      <c r="AI76" s="148"/>
      <c r="AJ76" s="148"/>
      <c r="AK76" s="148"/>
      <c r="AL76" s="148"/>
    </row>
    <row r="77" spans="1:38" s="2" customFormat="1" ht="14.5" customHeight="1">
      <c r="A77"/>
      <c r="B77"/>
      <c r="C77"/>
      <c r="D77" s="144"/>
      <c r="E77"/>
      <c r="F77"/>
      <c r="G77"/>
      <c r="H77"/>
      <c r="I77"/>
      <c r="J77" s="144"/>
      <c r="K77"/>
      <c r="L77"/>
      <c r="M77"/>
      <c r="N77"/>
      <c r="O77"/>
      <c r="P77" s="144"/>
      <c r="Q77"/>
      <c r="R77"/>
      <c r="S77"/>
      <c r="T77"/>
      <c r="U77"/>
      <c r="V77" s="144"/>
      <c r="W77"/>
      <c r="X77"/>
      <c r="Y77"/>
      <c r="Z77"/>
      <c r="AA77"/>
      <c r="AB77" s="144"/>
      <c r="AC77"/>
      <c r="AD77"/>
      <c r="AE77"/>
      <c r="AF77"/>
      <c r="AG77"/>
      <c r="AH77" s="144"/>
      <c r="AI77" s="144"/>
      <c r="AJ77" s="144"/>
      <c r="AK77" s="144"/>
      <c r="AL77" s="144"/>
    </row>
    <row r="78" spans="1:38" ht="14.5" customHeight="1">
      <c r="A78" s="147"/>
      <c r="B78" s="1" t="s">
        <v>13</v>
      </c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</row>
    <row r="79" spans="1:38" s="2" customFormat="1" ht="14.5" customHeight="1">
      <c r="B79"/>
      <c r="C79"/>
      <c r="D79" s="144"/>
      <c r="E79"/>
      <c r="F79"/>
      <c r="G79"/>
      <c r="H79"/>
      <c r="I79"/>
      <c r="J79" s="144"/>
      <c r="K79"/>
      <c r="L79"/>
      <c r="M79"/>
      <c r="N79"/>
      <c r="O79"/>
      <c r="P79" s="144"/>
      <c r="Q79"/>
      <c r="R79"/>
      <c r="S79"/>
      <c r="T79"/>
      <c r="U79"/>
      <c r="V79" s="144"/>
      <c r="W79"/>
      <c r="X79"/>
      <c r="Y79"/>
      <c r="Z79"/>
      <c r="AA79"/>
      <c r="AB79" s="144"/>
      <c r="AC79"/>
      <c r="AD79"/>
      <c r="AE79"/>
      <c r="AF79"/>
      <c r="AG79"/>
      <c r="AH79" s="144"/>
      <c r="AI79" s="144"/>
      <c r="AJ79" s="144"/>
      <c r="AK79" s="144"/>
      <c r="AL79" s="144"/>
    </row>
    <row r="80" spans="1:38" s="2" customFormat="1" ht="14.5" customHeight="1">
      <c r="B80" s="2" t="s">
        <v>83</v>
      </c>
      <c r="D80" s="357">
        <v>3651985</v>
      </c>
      <c r="E80" s="237"/>
      <c r="F80" s="186"/>
      <c r="G80" s="186"/>
      <c r="H80" s="186"/>
      <c r="I80" s="186"/>
      <c r="J80" s="357">
        <v>4805239</v>
      </c>
      <c r="K80" s="389"/>
      <c r="L80" s="389"/>
      <c r="M80" s="389"/>
      <c r="N80" s="186"/>
      <c r="O80" s="186"/>
      <c r="P80" s="357">
        <f>P13</f>
        <v>3378200</v>
      </c>
      <c r="Q80" s="237"/>
      <c r="R80" s="186"/>
      <c r="S80" s="186"/>
      <c r="T80" s="186"/>
      <c r="U80" s="186"/>
      <c r="V80" s="357">
        <f>V13</f>
        <v>5991700</v>
      </c>
      <c r="W80" s="237"/>
      <c r="X80" s="186"/>
      <c r="Y80" s="186"/>
      <c r="Z80" s="186"/>
      <c r="AA80" s="186"/>
      <c r="AB80" s="357">
        <f>AB13</f>
        <v>8399000</v>
      </c>
      <c r="AC80" s="186"/>
      <c r="AD80" s="186"/>
      <c r="AE80" s="186"/>
      <c r="AF80" s="186"/>
      <c r="AG80" s="186"/>
      <c r="AH80" s="356">
        <f>AH13</f>
        <v>11839469</v>
      </c>
      <c r="AI80" s="356">
        <f t="shared" ref="AI80:AL80" si="14">AI13</f>
        <v>16956036.485800002</v>
      </c>
      <c r="AJ80" s="356">
        <f t="shared" si="14"/>
        <v>23224878.756751079</v>
      </c>
      <c r="AK80" s="356">
        <f t="shared" si="14"/>
        <v>32205239.585488182</v>
      </c>
      <c r="AL80" s="356">
        <f t="shared" si="14"/>
        <v>45332141.998608708</v>
      </c>
    </row>
    <row r="81" spans="2:38" s="2" customFormat="1" ht="14.5" customHeight="1">
      <c r="B81" s="10" t="s">
        <v>14</v>
      </c>
      <c r="C81"/>
      <c r="D81" s="148"/>
      <c r="E81"/>
      <c r="F81" s="213"/>
      <c r="G81" s="214"/>
      <c r="H81" s="214"/>
      <c r="I81" s="214"/>
      <c r="J81" s="148">
        <f t="shared" ref="J81" si="15">+J80/D80-1</f>
        <v>0.31578826309527552</v>
      </c>
      <c r="K81"/>
      <c r="L81" s="213"/>
      <c r="M81" s="214"/>
      <c r="N81" s="214"/>
      <c r="O81" s="214"/>
      <c r="P81" s="148">
        <f t="shared" ref="P81" si="16">+P80/J80-1</f>
        <v>-0.29697565511309632</v>
      </c>
      <c r="Q81"/>
      <c r="R81" s="213"/>
      <c r="S81" s="214"/>
      <c r="T81" s="214"/>
      <c r="U81" s="214"/>
      <c r="V81" s="148">
        <f t="shared" ref="V81" si="17">+V80/P80-1</f>
        <v>0.77363684802557575</v>
      </c>
      <c r="W81"/>
      <c r="X81" s="391"/>
      <c r="Y81" s="391"/>
      <c r="Z81" s="391"/>
      <c r="AA81" s="214"/>
      <c r="AB81" s="148">
        <f t="shared" ref="AB81" si="18">+AB80/V80-1</f>
        <v>0.40177245189178357</v>
      </c>
      <c r="AC81" s="21"/>
      <c r="AD81" s="391"/>
      <c r="AE81" s="391"/>
      <c r="AF81" s="391"/>
      <c r="AG81" s="214"/>
      <c r="AH81" s="148">
        <f>+AH80/AB80-1</f>
        <v>0.40962840814382662</v>
      </c>
      <c r="AI81" s="148">
        <f t="shared" ref="AI81:AL81" si="19">+AI80/AH80-1</f>
        <v>0.43216190572398161</v>
      </c>
      <c r="AJ81" s="148">
        <f t="shared" si="19"/>
        <v>0.36971153466206452</v>
      </c>
      <c r="AK81" s="148">
        <f t="shared" si="19"/>
        <v>0.38666986910003409</v>
      </c>
      <c r="AL81" s="148">
        <f t="shared" si="19"/>
        <v>0.40760145187789765</v>
      </c>
    </row>
    <row r="82" spans="2:38" s="2" customFormat="1" ht="14.5" customHeight="1">
      <c r="B82" s="10" t="s">
        <v>94</v>
      </c>
      <c r="C82"/>
      <c r="D82" s="148"/>
      <c r="E82"/>
      <c r="F82" s="21"/>
      <c r="G82" s="21"/>
      <c r="H82" s="21"/>
      <c r="I82" s="21"/>
      <c r="J82" s="148"/>
      <c r="K82"/>
      <c r="L82" s="21"/>
      <c r="M82" s="21"/>
      <c r="N82" s="21"/>
      <c r="O82" s="21"/>
      <c r="P82" s="148">
        <f t="shared" ref="P82" si="20">+P80/D80-1</f>
        <v>-7.4968818327567077E-2</v>
      </c>
      <c r="Q82"/>
      <c r="R82" s="21"/>
      <c r="S82" s="21"/>
      <c r="T82" s="21"/>
      <c r="U82" s="21"/>
      <c r="V82" s="148">
        <f t="shared" ref="V82" si="21">+V80/J80-1</f>
        <v>0.24690988315045304</v>
      </c>
      <c r="W82"/>
      <c r="X82" s="21"/>
      <c r="Y82" s="21"/>
      <c r="Z82" s="21"/>
      <c r="AA82" s="21"/>
      <c r="AB82" s="148">
        <f>+AB80/P80-1</f>
        <v>1.4862352732224262</v>
      </c>
      <c r="AC82" s="21"/>
      <c r="AD82" s="21"/>
      <c r="AE82" s="21"/>
      <c r="AF82" s="21"/>
      <c r="AG82" s="21"/>
      <c r="AH82" s="169">
        <f>+AH80/V80-1</f>
        <v>0.97597826994008385</v>
      </c>
      <c r="AI82" s="169">
        <f>+AI80/AB80-1</f>
        <v>1.0188161073699251</v>
      </c>
      <c r="AJ82" s="169">
        <f>+AJ80/AH80-1</f>
        <v>0.96164868177374174</v>
      </c>
      <c r="AK82" s="169">
        <f>+AK80/AI80-1</f>
        <v>0.89933771447465172</v>
      </c>
      <c r="AL82" s="169">
        <f>+AL80/AJ80-1</f>
        <v>0.95187852102054227</v>
      </c>
    </row>
    <row r="83" spans="2:38" s="2" customFormat="1" ht="14.5" customHeight="1">
      <c r="B83" s="10" t="s">
        <v>95</v>
      </c>
      <c r="C83"/>
      <c r="D83" s="148"/>
      <c r="E83"/>
      <c r="F83" s="21"/>
      <c r="G83" s="21"/>
      <c r="H83" s="21"/>
      <c r="I83" s="21"/>
      <c r="J83" s="148"/>
      <c r="K83"/>
      <c r="L83" s="21"/>
      <c r="M83" s="21"/>
      <c r="N83" s="21"/>
      <c r="O83" s="21"/>
      <c r="P83" s="148"/>
      <c r="Q83"/>
      <c r="R83" s="21"/>
      <c r="S83" s="21"/>
      <c r="T83" s="21"/>
      <c r="U83" s="21"/>
      <c r="V83" s="148">
        <f t="shared" ref="V83" si="22">+V80/D80-1</f>
        <v>0.64066938938686779</v>
      </c>
      <c r="W83"/>
      <c r="X83" s="21"/>
      <c r="Y83" s="21"/>
      <c r="Z83" s="21"/>
      <c r="AA83" s="21"/>
      <c r="AB83" s="148">
        <f>+AB80/J80-1</f>
        <v>0.74788392419190797</v>
      </c>
      <c r="AC83" s="21"/>
      <c r="AD83" s="21"/>
      <c r="AE83" s="21"/>
      <c r="AF83" s="21"/>
      <c r="AG83" s="21"/>
      <c r="AH83" s="169">
        <f>+AH80/P80-1</f>
        <v>2.5046678704635603</v>
      </c>
      <c r="AI83" s="169">
        <f>+AI80/V80-1</f>
        <v>1.8299208047465663</v>
      </c>
      <c r="AJ83" s="169">
        <f>+AJ80/AB80-1</f>
        <v>1.7651957086261554</v>
      </c>
      <c r="AK83" s="169">
        <f>+AK80/AH80-1</f>
        <v>1.720159120775449</v>
      </c>
      <c r="AL83" s="169">
        <f>+AL80/AI80-1</f>
        <v>1.6735105245009678</v>
      </c>
    </row>
    <row r="84" spans="2:38" s="2" customFormat="1" ht="14.5" customHeight="1">
      <c r="B84" s="10" t="s">
        <v>96</v>
      </c>
      <c r="C84"/>
      <c r="D84" s="144"/>
      <c r="E84"/>
      <c r="F84" s="21"/>
      <c r="G84" s="21"/>
      <c r="H84" s="21"/>
      <c r="I84" s="21"/>
      <c r="J84" s="144"/>
      <c r="K84"/>
      <c r="L84" s="21"/>
      <c r="M84" s="21"/>
      <c r="N84" s="21"/>
      <c r="O84" s="21"/>
      <c r="P84" s="144"/>
      <c r="Q84"/>
      <c r="R84" s="21"/>
      <c r="S84" s="21"/>
      <c r="T84" s="21"/>
      <c r="U84" s="21"/>
      <c r="V84" s="144"/>
      <c r="W84"/>
      <c r="X84" s="21"/>
      <c r="Y84" s="21"/>
      <c r="Z84" s="21"/>
      <c r="AA84" s="21"/>
      <c r="AB84" s="144"/>
      <c r="AC84"/>
      <c r="AD84" s="21"/>
      <c r="AE84" s="21"/>
      <c r="AF84" s="21"/>
      <c r="AG84" s="21"/>
      <c r="AH84" s="169"/>
      <c r="AI84" s="204"/>
      <c r="AJ84" s="204"/>
      <c r="AK84" s="204"/>
      <c r="AL84" s="204"/>
    </row>
    <row r="85" spans="2:38" s="2" customFormat="1" ht="14.5" customHeight="1">
      <c r="C85"/>
      <c r="D85" s="215"/>
      <c r="E85"/>
      <c r="F85" s="41"/>
      <c r="G85" s="41"/>
      <c r="H85" s="41"/>
      <c r="I85" s="41"/>
      <c r="J85" s="215"/>
      <c r="K85"/>
      <c r="L85" s="383"/>
      <c r="M85" s="383"/>
      <c r="N85" s="383"/>
      <c r="O85" s="352"/>
      <c r="P85" s="174"/>
      <c r="Q85"/>
      <c r="R85" s="383"/>
      <c r="S85" s="383"/>
      <c r="T85" s="383"/>
      <c r="U85" s="352"/>
      <c r="V85" s="174"/>
      <c r="W85"/>
      <c r="X85" s="383"/>
      <c r="Y85" s="383"/>
      <c r="Z85" s="383"/>
      <c r="AA85" s="351"/>
      <c r="AB85" s="175"/>
      <c r="AC85" s="351"/>
      <c r="AD85" s="383"/>
      <c r="AE85" s="383"/>
      <c r="AF85" s="383"/>
      <c r="AG85" s="351"/>
      <c r="AH85" s="176"/>
      <c r="AI85" s="176"/>
      <c r="AJ85" s="176"/>
      <c r="AK85" s="176"/>
      <c r="AL85" s="176"/>
    </row>
    <row r="86" spans="2:38" s="2" customFormat="1" ht="14.5" customHeight="1">
      <c r="B86" s="2" t="s">
        <v>84</v>
      </c>
      <c r="C86" s="227"/>
      <c r="D86" s="359">
        <v>-864032</v>
      </c>
      <c r="E86" s="355"/>
      <c r="F86" s="355"/>
      <c r="G86" s="355"/>
      <c r="H86" s="355"/>
      <c r="I86" s="355"/>
      <c r="J86" s="359">
        <v>-1196313</v>
      </c>
      <c r="K86" s="355"/>
      <c r="L86" s="355"/>
      <c r="M86" s="355"/>
      <c r="N86" s="355"/>
      <c r="O86" s="355"/>
      <c r="P86" s="359">
        <v>-876042</v>
      </c>
      <c r="Q86" s="355"/>
      <c r="R86" s="355"/>
      <c r="S86" s="355"/>
      <c r="T86" s="355"/>
      <c r="U86" s="355"/>
      <c r="V86" s="359">
        <v>-1155833</v>
      </c>
      <c r="W86" s="355"/>
      <c r="X86" s="355"/>
      <c r="Y86" s="355"/>
      <c r="Z86" s="355"/>
      <c r="AA86" s="355"/>
      <c r="AB86" s="359">
        <v>-1499000</v>
      </c>
      <c r="AC86" s="227"/>
      <c r="AD86" s="355"/>
      <c r="AE86" s="355"/>
      <c r="AF86" s="355"/>
      <c r="AG86" s="227"/>
      <c r="AH86" s="358">
        <f>-AH88*AH80</f>
        <v>-2131104.42</v>
      </c>
      <c r="AI86" s="358">
        <f t="shared" ref="AI86:AL86" si="23">-AI88*AI80</f>
        <v>-3052086.5674440004</v>
      </c>
      <c r="AJ86" s="358">
        <f t="shared" si="23"/>
        <v>-4180478.1762151942</v>
      </c>
      <c r="AK86" s="358">
        <f t="shared" si="23"/>
        <v>-5796943.1253878726</v>
      </c>
      <c r="AL86" s="358">
        <f t="shared" si="23"/>
        <v>-8159785.5597495669</v>
      </c>
    </row>
    <row r="87" spans="2:38" ht="14.5" customHeight="1">
      <c r="B87" s="10" t="s">
        <v>14</v>
      </c>
      <c r="D87" s="135"/>
      <c r="F87" s="92"/>
      <c r="G87" s="92"/>
      <c r="H87" s="92"/>
      <c r="I87" s="92"/>
      <c r="J87" s="135">
        <f>+J86/D86-1</f>
        <v>0.38457024739824441</v>
      </c>
      <c r="L87" s="92"/>
      <c r="M87" s="92"/>
      <c r="N87" s="92"/>
      <c r="O87" s="92"/>
      <c r="P87" s="135">
        <f>+P86/J86-1</f>
        <v>-0.26771505450496647</v>
      </c>
      <c r="R87" s="92"/>
      <c r="S87" s="92"/>
      <c r="T87" s="92"/>
      <c r="U87" s="92"/>
      <c r="V87" s="135">
        <f>+V86/P86-1</f>
        <v>0.31938080594309404</v>
      </c>
      <c r="X87" s="92"/>
      <c r="Y87" s="92"/>
      <c r="Z87" s="92"/>
      <c r="AA87" s="92"/>
      <c r="AB87" s="135">
        <f>+AB86/V86-1</f>
        <v>0.29690015772174694</v>
      </c>
      <c r="AC87" s="92"/>
      <c r="AD87" s="92"/>
      <c r="AE87" s="92"/>
      <c r="AF87" s="92"/>
      <c r="AG87" s="92"/>
      <c r="AH87" s="135">
        <f>+AH86/AB86-1</f>
        <v>0.42168406937958625</v>
      </c>
      <c r="AI87" s="135">
        <f>+AI86/AH86-1</f>
        <v>0.43216190572398161</v>
      </c>
      <c r="AJ87" s="135">
        <f>+AJ86/AI86-1</f>
        <v>0.36971153466206452</v>
      </c>
      <c r="AK87" s="135">
        <f>+AK86/AJ86-1</f>
        <v>0.38666986910003409</v>
      </c>
      <c r="AL87" s="135">
        <f>+AL86/AK86-1</f>
        <v>0.40760145187789765</v>
      </c>
    </row>
    <row r="88" spans="2:38" ht="14.5" customHeight="1">
      <c r="B88" s="10" t="s">
        <v>97</v>
      </c>
      <c r="D88" s="135">
        <f>+D86/-D$80</f>
        <v>0.23659242850121234</v>
      </c>
      <c r="F88" s="92"/>
      <c r="G88" s="92"/>
      <c r="H88" s="92"/>
      <c r="I88" s="92"/>
      <c r="J88" s="135">
        <f>+J86/-J$80</f>
        <v>0.24896014537466293</v>
      </c>
      <c r="L88" s="92"/>
      <c r="M88" s="92"/>
      <c r="N88" s="92"/>
      <c r="O88" s="92"/>
      <c r="P88" s="135">
        <f>+P86/-P$80</f>
        <v>0.2593221242081582</v>
      </c>
      <c r="R88" s="92"/>
      <c r="S88" s="92"/>
      <c r="T88" s="92"/>
      <c r="U88" s="92"/>
      <c r="V88" s="135">
        <f>+V86/-V$80</f>
        <v>0.19290568619924228</v>
      </c>
      <c r="X88" s="92"/>
      <c r="Y88" s="92"/>
      <c r="Z88" s="92"/>
      <c r="AA88" s="368"/>
      <c r="AB88" s="135">
        <f t="shared" ref="AB88" si="24">+AB86/-AB$80</f>
        <v>0.17847362781283485</v>
      </c>
      <c r="AC88" s="92"/>
      <c r="AD88" s="92"/>
      <c r="AE88" s="92"/>
      <c r="AF88" s="92"/>
      <c r="AG88" s="368"/>
      <c r="AH88" s="168">
        <v>0.18</v>
      </c>
      <c r="AI88" s="168">
        <v>0.18</v>
      </c>
      <c r="AJ88" s="168">
        <v>0.18</v>
      </c>
      <c r="AK88" s="168">
        <v>0.18</v>
      </c>
      <c r="AL88" s="168">
        <v>0.18</v>
      </c>
    </row>
    <row r="89" spans="2:38" ht="14.5" customHeight="1">
      <c r="B89" s="10" t="s">
        <v>100</v>
      </c>
      <c r="D89" s="209"/>
      <c r="F89" s="208"/>
      <c r="G89" s="208"/>
      <c r="H89" s="208"/>
      <c r="I89" s="208"/>
      <c r="J89" s="209">
        <f t="shared" ref="J89" si="25">+(J88-D88)*10000</f>
        <v>123.6771687345059</v>
      </c>
      <c r="L89" s="208"/>
      <c r="M89" s="208"/>
      <c r="N89" s="208"/>
      <c r="O89" s="208"/>
      <c r="P89" s="209">
        <f t="shared" ref="P89" si="26">+(P88-J88)*10000</f>
        <v>103.61978833495267</v>
      </c>
      <c r="R89" s="208"/>
      <c r="S89" s="208"/>
      <c r="T89" s="208"/>
      <c r="U89" s="208"/>
      <c r="V89" s="209">
        <f t="shared" ref="V89" si="27">+(V88-P88)*10000</f>
        <v>-664.16438008915918</v>
      </c>
      <c r="X89" s="208"/>
      <c r="Y89" s="208"/>
      <c r="Z89" s="208"/>
      <c r="AA89" s="208"/>
      <c r="AB89" s="209">
        <f>+(AB88-V88)*10000</f>
        <v>-144.32058386407431</v>
      </c>
      <c r="AC89" s="208"/>
      <c r="AD89" s="208"/>
      <c r="AE89" s="208"/>
      <c r="AF89" s="208"/>
      <c r="AG89" s="208"/>
      <c r="AH89" s="209">
        <f>+(AH88-AB88)*10000</f>
        <v>15.263721871651425</v>
      </c>
      <c r="AI89" s="209">
        <f t="shared" ref="AI89" si="28">+(AI88-AH88)*10000</f>
        <v>0</v>
      </c>
      <c r="AJ89" s="209">
        <f t="shared" ref="AJ89:AL89" si="29">+(AJ88-AI88)*10000</f>
        <v>0</v>
      </c>
      <c r="AK89" s="209">
        <f t="shared" si="29"/>
        <v>0</v>
      </c>
      <c r="AL89" s="209">
        <f t="shared" si="29"/>
        <v>0</v>
      </c>
    </row>
    <row r="90" spans="2:38" ht="14.5" customHeight="1">
      <c r="D90" s="25"/>
      <c r="F90" s="27"/>
      <c r="G90" s="27"/>
      <c r="H90" s="27"/>
      <c r="I90" s="134"/>
      <c r="J90" s="25"/>
      <c r="L90" s="27"/>
      <c r="M90" s="27"/>
      <c r="N90" s="27"/>
      <c r="O90" s="134"/>
      <c r="P90" s="25"/>
      <c r="R90" s="27"/>
      <c r="S90" s="27"/>
      <c r="T90" s="27"/>
      <c r="U90" s="134"/>
      <c r="V90" s="25"/>
      <c r="X90" s="27"/>
      <c r="Y90" s="27"/>
      <c r="Z90" s="27"/>
      <c r="AB90" s="144"/>
      <c r="AD90" s="27"/>
      <c r="AE90" s="27"/>
      <c r="AF90" s="27"/>
      <c r="AH90" s="144"/>
      <c r="AI90" s="144"/>
      <c r="AJ90" s="144"/>
      <c r="AK90" s="144"/>
      <c r="AL90" s="144"/>
    </row>
    <row r="91" spans="2:38" s="2" customFormat="1" ht="14.5" customHeight="1">
      <c r="B91" s="136" t="s">
        <v>98</v>
      </c>
      <c r="D91" s="173">
        <f>+D80+D86</f>
        <v>2787953</v>
      </c>
      <c r="E91" s="172"/>
      <c r="F91" s="172"/>
      <c r="G91" s="172"/>
      <c r="H91" s="172"/>
      <c r="I91" s="172"/>
      <c r="J91" s="173">
        <f t="shared" ref="J91:AB91" si="30">+J80+J86</f>
        <v>3608926</v>
      </c>
      <c r="K91" s="172"/>
      <c r="L91" s="172"/>
      <c r="M91" s="172"/>
      <c r="N91" s="172"/>
      <c r="O91" s="172"/>
      <c r="P91" s="173">
        <f t="shared" si="30"/>
        <v>2502158</v>
      </c>
      <c r="Q91" s="172"/>
      <c r="R91" s="172"/>
      <c r="S91" s="172"/>
      <c r="T91" s="172"/>
      <c r="U91" s="172"/>
      <c r="V91" s="173">
        <f t="shared" si="30"/>
        <v>4835867</v>
      </c>
      <c r="W91" s="172"/>
      <c r="X91" s="172"/>
      <c r="Y91" s="172"/>
      <c r="Z91" s="172"/>
      <c r="AA91" s="172"/>
      <c r="AB91" s="173">
        <f t="shared" si="30"/>
        <v>6900000</v>
      </c>
      <c r="AC91" s="172"/>
      <c r="AD91" s="172"/>
      <c r="AE91" s="172"/>
      <c r="AF91" s="172"/>
      <c r="AG91" s="172"/>
      <c r="AH91" s="170">
        <f t="shared" ref="AH91:AL91" si="31">+AH80+AH86</f>
        <v>9708364.5800000001</v>
      </c>
      <c r="AI91" s="170">
        <f t="shared" si="31"/>
        <v>13903949.918356001</v>
      </c>
      <c r="AJ91" s="170">
        <f t="shared" si="31"/>
        <v>19044400.580535885</v>
      </c>
      <c r="AK91" s="170">
        <f t="shared" si="31"/>
        <v>26408296.460100308</v>
      </c>
      <c r="AL91" s="170">
        <f t="shared" si="31"/>
        <v>37172356.438859142</v>
      </c>
    </row>
    <row r="92" spans="2:38" ht="14.5" customHeight="1">
      <c r="B92" s="10" t="s">
        <v>14</v>
      </c>
      <c r="D92" s="135"/>
      <c r="F92" s="92"/>
      <c r="G92" s="92"/>
      <c r="H92" s="92"/>
      <c r="I92" s="92"/>
      <c r="J92" s="135">
        <f>+J91/D91-1</f>
        <v>0.29447160694602825</v>
      </c>
      <c r="L92" s="92"/>
      <c r="M92" s="92"/>
      <c r="N92" s="92"/>
      <c r="O92" s="92"/>
      <c r="P92" s="135">
        <f>+P91/J91-1</f>
        <v>-0.30667517150531765</v>
      </c>
      <c r="R92" s="92"/>
      <c r="S92" s="92"/>
      <c r="T92" s="92"/>
      <c r="U92" s="92"/>
      <c r="V92" s="135">
        <f>+V91/P91-1</f>
        <v>0.93267851190852058</v>
      </c>
      <c r="X92" s="92"/>
      <c r="Y92" s="92"/>
      <c r="Z92" s="92"/>
      <c r="AA92" s="92"/>
      <c r="AB92" s="135">
        <f>+AB91/V91-1</f>
        <v>0.42683824844645235</v>
      </c>
      <c r="AC92" s="92"/>
      <c r="AD92" s="92"/>
      <c r="AE92" s="92"/>
      <c r="AF92" s="92"/>
      <c r="AG92" s="92"/>
      <c r="AH92" s="135">
        <f>+AH91/AB91-1</f>
        <v>0.40700935942028993</v>
      </c>
      <c r="AI92" s="135">
        <f>+AI91/AH91-1</f>
        <v>0.43216190572398161</v>
      </c>
      <c r="AJ92" s="135">
        <f>+AJ91/AI91-1</f>
        <v>0.36971153466206452</v>
      </c>
      <c r="AK92" s="135">
        <f>+AK91/AJ91-1</f>
        <v>0.38666986910003409</v>
      </c>
      <c r="AL92" s="135">
        <f>+AL91/AK91-1</f>
        <v>0.40760145187789787</v>
      </c>
    </row>
    <row r="93" spans="2:38" ht="14.5" customHeight="1">
      <c r="B93" s="10" t="s">
        <v>94</v>
      </c>
      <c r="D93" s="135"/>
      <c r="F93" s="92"/>
      <c r="G93" s="92"/>
      <c r="H93" s="92"/>
      <c r="I93" s="92"/>
      <c r="J93" s="135"/>
      <c r="L93" s="92"/>
      <c r="M93" s="92"/>
      <c r="N93" s="92"/>
      <c r="O93" s="92"/>
      <c r="P93" s="135">
        <f>+P91/D91-1</f>
        <v>-0.10251069512290922</v>
      </c>
      <c r="R93" s="92"/>
      <c r="S93" s="92"/>
      <c r="T93" s="92"/>
      <c r="U93" s="92"/>
      <c r="V93" s="135">
        <f>+V91/J91-1</f>
        <v>0.33997399780433302</v>
      </c>
      <c r="X93" s="92"/>
      <c r="Y93" s="92"/>
      <c r="Z93" s="92"/>
      <c r="AA93" s="92"/>
      <c r="AB93" s="135">
        <f>+AB91/P91-1</f>
        <v>1.7576196227416494</v>
      </c>
      <c r="AC93" s="92"/>
      <c r="AD93" s="92"/>
      <c r="AE93" s="92"/>
      <c r="AF93" s="92"/>
      <c r="AG93" s="92"/>
      <c r="AH93" s="135">
        <f>+AH91/V91-1</f>
        <v>1.0075747699430111</v>
      </c>
      <c r="AI93" s="135">
        <f>+AI91/AB91-1</f>
        <v>1.0150652055588409</v>
      </c>
      <c r="AJ93" s="135">
        <f>+AJ91/AH91-1</f>
        <v>0.96164868177374152</v>
      </c>
      <c r="AK93" s="135">
        <f>+AK91/AI91-1</f>
        <v>0.89933771447465172</v>
      </c>
      <c r="AL93" s="135">
        <f>+AL91/AJ91-1</f>
        <v>0.95187852102054249</v>
      </c>
    </row>
    <row r="94" spans="2:38" ht="14.5" customHeight="1">
      <c r="B94" s="10" t="s">
        <v>15</v>
      </c>
      <c r="D94" s="135">
        <f>+D91/D$80</f>
        <v>0.76340757149878768</v>
      </c>
      <c r="F94" s="92"/>
      <c r="G94" s="92"/>
      <c r="H94" s="92"/>
      <c r="I94" s="92"/>
      <c r="J94" s="135">
        <f>+J91/J$80</f>
        <v>0.75103985462533707</v>
      </c>
      <c r="L94" s="92"/>
      <c r="M94" s="92"/>
      <c r="N94" s="92"/>
      <c r="O94" s="92"/>
      <c r="P94" s="135">
        <f>+P91/P$80</f>
        <v>0.74067787579184186</v>
      </c>
      <c r="R94" s="92"/>
      <c r="S94" s="92"/>
      <c r="T94" s="92"/>
      <c r="U94" s="92"/>
      <c r="V94" s="135">
        <f>+V91/V$80</f>
        <v>0.80709431380075769</v>
      </c>
      <c r="X94" s="92"/>
      <c r="Y94" s="92"/>
      <c r="Z94" s="92"/>
      <c r="AA94" s="92"/>
      <c r="AB94" s="135">
        <f t="shared" ref="AB94" si="32">+AB91/AB$80</f>
        <v>0.82152637218716518</v>
      </c>
      <c r="AC94" s="92"/>
      <c r="AD94" s="92"/>
      <c r="AE94" s="92"/>
      <c r="AF94" s="92"/>
      <c r="AG94" s="92"/>
      <c r="AH94" s="135">
        <f t="shared" ref="AH94:AJ94" si="33">+AH91/AH$80</f>
        <v>0.82</v>
      </c>
      <c r="AI94" s="135">
        <f t="shared" si="33"/>
        <v>0.82</v>
      </c>
      <c r="AJ94" s="135">
        <f t="shared" si="33"/>
        <v>0.82</v>
      </c>
      <c r="AK94" s="135">
        <f t="shared" ref="AK94:AL94" si="34">+AK91/AK$80</f>
        <v>0.82</v>
      </c>
      <c r="AL94" s="135">
        <f t="shared" si="34"/>
        <v>0.82000000000000006</v>
      </c>
    </row>
    <row r="95" spans="2:38" ht="14.5" customHeight="1">
      <c r="B95" s="10" t="s">
        <v>100</v>
      </c>
      <c r="D95" s="209"/>
      <c r="F95" s="208"/>
      <c r="G95" s="208"/>
      <c r="H95" s="208"/>
      <c r="I95" s="208"/>
      <c r="J95" s="209">
        <f t="shared" ref="J95" si="35">+(J94-D94)*10000</f>
        <v>-123.67716873450618</v>
      </c>
      <c r="L95" s="208"/>
      <c r="M95" s="208"/>
      <c r="N95" s="208"/>
      <c r="O95" s="208"/>
      <c r="P95" s="209">
        <f t="shared" ref="P95" si="36">+(P94-J94)*10000</f>
        <v>-103.61978833495212</v>
      </c>
      <c r="R95" s="208"/>
      <c r="S95" s="208"/>
      <c r="T95" s="208"/>
      <c r="U95" s="208"/>
      <c r="V95" s="209">
        <f t="shared" ref="V95" si="37">+(V94-P94)*10000</f>
        <v>664.16438008915839</v>
      </c>
      <c r="X95" s="208"/>
      <c r="Y95" s="208"/>
      <c r="Z95" s="208"/>
      <c r="AA95" s="208"/>
      <c r="AB95" s="209">
        <f t="shared" ref="AB95" si="38">+(AB94-V94)*10000</f>
        <v>144.32058386407488</v>
      </c>
      <c r="AC95" s="208"/>
      <c r="AD95" s="208"/>
      <c r="AE95" s="208"/>
      <c r="AF95" s="208"/>
      <c r="AG95" s="208"/>
      <c r="AH95" s="209">
        <f>+(AH94-AB94)*10000</f>
        <v>-15.263721871652258</v>
      </c>
      <c r="AI95" s="209">
        <f t="shared" ref="AI95:AL95" si="39">+(AI94-AH94)*10000</f>
        <v>0</v>
      </c>
      <c r="AJ95" s="209">
        <f t="shared" si="39"/>
        <v>0</v>
      </c>
      <c r="AK95" s="209">
        <f t="shared" si="39"/>
        <v>0</v>
      </c>
      <c r="AL95" s="209">
        <f t="shared" si="39"/>
        <v>1.1102230246251565E-12</v>
      </c>
    </row>
    <row r="96" spans="2:38" s="2" customFormat="1" ht="14.5" customHeight="1">
      <c r="B96" s="2" t="s">
        <v>82</v>
      </c>
      <c r="D96" s="140"/>
      <c r="F96" s="133"/>
      <c r="G96" s="133"/>
      <c r="H96" s="133"/>
      <c r="I96" s="133"/>
      <c r="J96" s="140">
        <f>+(J91-D91)/(J$80-D$80)</f>
        <v>0.71187526772072762</v>
      </c>
      <c r="L96" s="133"/>
      <c r="M96" s="133"/>
      <c r="N96" s="133"/>
      <c r="O96" s="133"/>
      <c r="P96" s="140">
        <f>+(P91-J91)/(P$80-J$80)</f>
        <v>0.77556955345999656</v>
      </c>
      <c r="R96" s="133"/>
      <c r="S96" s="133"/>
      <c r="T96" s="133"/>
      <c r="U96" s="133"/>
      <c r="V96" s="140">
        <f>+(V91-P91)/(V$80-P$80)</f>
        <v>0.89294394490147311</v>
      </c>
      <c r="X96" s="133"/>
      <c r="Y96" s="133"/>
      <c r="Z96" s="133"/>
      <c r="AA96" s="133"/>
      <c r="AB96" s="140">
        <f>+(AB91-V91)/(AB$80-V$80)</f>
        <v>0.85744734765089514</v>
      </c>
      <c r="AC96" s="133"/>
      <c r="AD96" s="133"/>
      <c r="AE96" s="133"/>
      <c r="AF96" s="133"/>
      <c r="AG96" s="133"/>
      <c r="AH96" s="140">
        <f>+(AH91-AB91)/(AH$80-AB$80)</f>
        <v>0.81627376383859296</v>
      </c>
      <c r="AI96" s="140">
        <f>+(AI91-AH91)/(AI$80-AH$80)</f>
        <v>0.82</v>
      </c>
      <c r="AJ96" s="140">
        <f>+(AJ91-AI91)/(AJ$80-AI$80)</f>
        <v>0.82000000000000006</v>
      </c>
      <c r="AK96" s="140">
        <f>+(AK91-AJ91)/(AK$80-AJ$80)</f>
        <v>0.82</v>
      </c>
      <c r="AL96" s="140">
        <f>+(AL91-AK91)/(AL$80-AK$80)</f>
        <v>0.82000000000000017</v>
      </c>
    </row>
    <row r="97" spans="2:38" s="2" customFormat="1" ht="14.5" customHeight="1">
      <c r="B97" s="220" t="s">
        <v>99</v>
      </c>
      <c r="D97" s="140"/>
      <c r="F97" s="32"/>
      <c r="G97" s="32"/>
      <c r="H97" s="32"/>
      <c r="I97" s="32"/>
      <c r="J97" s="140">
        <f>+I97</f>
        <v>0</v>
      </c>
      <c r="L97" s="32"/>
      <c r="M97" s="32"/>
      <c r="N97" s="32"/>
      <c r="O97" s="32"/>
      <c r="P97" s="140">
        <f>+O97</f>
        <v>0</v>
      </c>
      <c r="R97" s="32"/>
      <c r="S97" s="32"/>
      <c r="T97" s="32"/>
      <c r="U97" s="32"/>
      <c r="V97" s="140">
        <f>+U97</f>
        <v>0</v>
      </c>
      <c r="X97" s="32"/>
      <c r="Y97" s="32"/>
      <c r="Z97" s="32"/>
      <c r="AA97" s="32"/>
      <c r="AB97" s="140">
        <f>+AA97</f>
        <v>0</v>
      </c>
      <c r="AC97" s="133"/>
      <c r="AD97" s="32"/>
      <c r="AE97" s="32"/>
      <c r="AF97" s="32"/>
      <c r="AG97" s="32"/>
      <c r="AH97" s="140">
        <f>+(AH91-AB91)/(AH$80-AB80)</f>
        <v>0.81627376383859296</v>
      </c>
      <c r="AI97" s="140">
        <f>+((AI91)-(AH91))/((AI$80)-(AH$80))</f>
        <v>0.82</v>
      </c>
      <c r="AJ97" s="140">
        <f>+((AJ91)-(AI91))/((AJ$80)-(AI$80))</f>
        <v>0.82000000000000006</v>
      </c>
      <c r="AK97" s="140">
        <f>+((AK91)-(AJ91))/((AK$80)-(AJ$80))</f>
        <v>0.82</v>
      </c>
      <c r="AL97" s="140">
        <f>+((AL91)-(AK91))/((AL$80)-(AK$80))</f>
        <v>0.82000000000000017</v>
      </c>
    </row>
    <row r="98" spans="2:38" s="2" customFormat="1" ht="14.5" customHeight="1">
      <c r="B98" s="220"/>
      <c r="D98" s="140"/>
      <c r="F98" s="32"/>
      <c r="G98" s="32"/>
      <c r="H98" s="32"/>
      <c r="I98" s="32"/>
      <c r="J98" s="140"/>
      <c r="L98" s="32"/>
      <c r="M98" s="32"/>
      <c r="N98" s="32"/>
      <c r="O98" s="32"/>
      <c r="P98" s="140"/>
      <c r="R98" s="32"/>
      <c r="S98" s="32"/>
      <c r="T98" s="32"/>
      <c r="U98" s="32"/>
      <c r="V98" s="140"/>
      <c r="X98" s="32"/>
      <c r="Y98" s="32"/>
      <c r="Z98" s="32"/>
      <c r="AA98" s="32"/>
      <c r="AB98" s="140"/>
      <c r="AC98" s="133"/>
      <c r="AD98" s="32"/>
      <c r="AE98" s="32"/>
      <c r="AF98" s="32"/>
      <c r="AG98" s="32"/>
      <c r="AH98" s="140"/>
      <c r="AI98" s="140"/>
      <c r="AJ98" s="140"/>
      <c r="AK98" s="140"/>
      <c r="AL98" s="140"/>
    </row>
    <row r="99" spans="2:38" s="2" customFormat="1" ht="14.5" customHeight="1">
      <c r="B99" s="149" t="s">
        <v>339</v>
      </c>
      <c r="D99" s="359">
        <v>-609202</v>
      </c>
      <c r="E99" s="36"/>
      <c r="F99" s="382"/>
      <c r="G99" s="382"/>
      <c r="H99" s="382"/>
      <c r="I99" s="382"/>
      <c r="J99" s="359">
        <v>-815074</v>
      </c>
      <c r="K99" s="36"/>
      <c r="L99" s="382"/>
      <c r="M99" s="382"/>
      <c r="N99" s="382"/>
      <c r="O99" s="382"/>
      <c r="P99" s="359">
        <v>-877901</v>
      </c>
      <c r="Q99" s="36"/>
      <c r="R99" s="382"/>
      <c r="S99" s="382"/>
      <c r="T99" s="382"/>
      <c r="U99" s="382"/>
      <c r="V99" s="359">
        <v>-847057</v>
      </c>
      <c r="W99" s="36"/>
      <c r="X99" s="382"/>
      <c r="Y99" s="382"/>
      <c r="Z99" s="382"/>
      <c r="AA99" s="382"/>
      <c r="AB99" s="359">
        <v>-1041000</v>
      </c>
      <c r="AC99" s="133"/>
      <c r="AD99" s="32"/>
      <c r="AE99" s="32"/>
      <c r="AF99" s="32"/>
      <c r="AG99" s="32"/>
      <c r="AH99" s="407">
        <f>-AH100*AH80</f>
        <v>-1598328.3150000002</v>
      </c>
      <c r="AI99" s="407">
        <f t="shared" ref="AI99:AL99" si="40">-AI100*AI80</f>
        <v>-2204284.7431540005</v>
      </c>
      <c r="AJ99" s="407">
        <f t="shared" si="40"/>
        <v>-3019234.2383776405</v>
      </c>
      <c r="AK99" s="407">
        <f t="shared" si="40"/>
        <v>-3864628.7502585817</v>
      </c>
      <c r="AL99" s="407">
        <f t="shared" si="40"/>
        <v>-5439857.0398330446</v>
      </c>
    </row>
    <row r="100" spans="2:38" s="2" customFormat="1" ht="14.5" customHeight="1">
      <c r="B100" s="10" t="s">
        <v>97</v>
      </c>
      <c r="D100" s="140">
        <f>D99/-D80</f>
        <v>0.16681393817334955</v>
      </c>
      <c r="F100" s="32"/>
      <c r="G100" s="32"/>
      <c r="H100" s="32"/>
      <c r="I100" s="32"/>
      <c r="J100" s="140">
        <f>J99/-J80</f>
        <v>0.1696219480446238</v>
      </c>
      <c r="L100" s="32"/>
      <c r="M100" s="32"/>
      <c r="N100" s="32"/>
      <c r="O100" s="32"/>
      <c r="P100" s="140">
        <f>P99/-P80</f>
        <v>0.25987241726363153</v>
      </c>
      <c r="R100" s="32"/>
      <c r="S100" s="32"/>
      <c r="T100" s="32"/>
      <c r="U100" s="32"/>
      <c r="V100" s="140">
        <f>V99/-V80</f>
        <v>0.14137173089440391</v>
      </c>
      <c r="X100" s="32"/>
      <c r="Y100" s="32"/>
      <c r="Z100" s="32"/>
      <c r="AA100" s="32"/>
      <c r="AB100" s="140">
        <f>AB99/-AB80</f>
        <v>0.1239433265864984</v>
      </c>
      <c r="AC100" s="133"/>
      <c r="AD100" s="32"/>
      <c r="AE100" s="32"/>
      <c r="AF100" s="32"/>
      <c r="AG100" s="32"/>
      <c r="AH100" s="140">
        <v>0.13500000000000001</v>
      </c>
      <c r="AI100" s="140">
        <v>0.13</v>
      </c>
      <c r="AJ100" s="140">
        <v>0.13</v>
      </c>
      <c r="AK100" s="140">
        <v>0.12</v>
      </c>
      <c r="AL100" s="140">
        <v>0.12</v>
      </c>
    </row>
    <row r="101" spans="2:38" s="2" customFormat="1" ht="14.5" customHeight="1">
      <c r="B101" s="10" t="s">
        <v>100</v>
      </c>
      <c r="D101" s="140"/>
      <c r="F101" s="32"/>
      <c r="G101" s="32"/>
      <c r="H101" s="32"/>
      <c r="I101" s="32"/>
      <c r="J101" s="140"/>
      <c r="L101" s="32"/>
      <c r="M101" s="32"/>
      <c r="N101" s="32"/>
      <c r="O101" s="32"/>
      <c r="P101" s="140"/>
      <c r="R101" s="32"/>
      <c r="S101" s="32"/>
      <c r="T101" s="32"/>
      <c r="U101" s="32"/>
      <c r="V101" s="140"/>
      <c r="X101" s="32"/>
      <c r="Y101" s="32"/>
      <c r="Z101" s="32"/>
      <c r="AA101" s="32"/>
      <c r="AB101" s="140"/>
      <c r="AC101" s="133"/>
      <c r="AD101" s="32"/>
      <c r="AE101" s="32"/>
      <c r="AF101" s="32"/>
      <c r="AG101" s="32"/>
      <c r="AH101" s="140"/>
      <c r="AI101" s="140"/>
      <c r="AJ101" s="140"/>
      <c r="AK101" s="140"/>
      <c r="AL101" s="140"/>
    </row>
    <row r="102" spans="2:38" ht="14.5" customHeight="1">
      <c r="B102" s="10" t="s">
        <v>14</v>
      </c>
      <c r="D102" s="25"/>
      <c r="F102" s="27"/>
      <c r="G102" s="27"/>
      <c r="H102" s="27"/>
      <c r="I102" s="134"/>
      <c r="J102" s="25"/>
      <c r="L102" s="27"/>
      <c r="M102" s="27"/>
      <c r="N102" s="27"/>
      <c r="O102" s="134"/>
      <c r="P102" s="25"/>
      <c r="R102" s="27"/>
      <c r="S102" s="27"/>
      <c r="T102" s="27"/>
      <c r="U102" s="134"/>
      <c r="V102" s="25"/>
      <c r="X102" s="27"/>
      <c r="Y102" s="27"/>
      <c r="Z102" s="27"/>
      <c r="AB102" s="144"/>
      <c r="AD102" s="27"/>
      <c r="AE102" s="27"/>
      <c r="AF102" s="27"/>
      <c r="AH102" s="144"/>
      <c r="AI102" s="144"/>
      <c r="AJ102" s="144"/>
      <c r="AK102" s="144"/>
      <c r="AL102" s="144"/>
    </row>
    <row r="103" spans="2:38" ht="14.5" customHeight="1">
      <c r="B103" s="10"/>
      <c r="D103" s="25"/>
      <c r="F103" s="27"/>
      <c r="G103" s="27"/>
      <c r="H103" s="27"/>
      <c r="I103" s="134"/>
      <c r="J103" s="25"/>
      <c r="L103" s="27"/>
      <c r="M103" s="27"/>
      <c r="N103" s="27"/>
      <c r="O103" s="134"/>
      <c r="P103" s="25"/>
      <c r="R103" s="27"/>
      <c r="S103" s="27"/>
      <c r="T103" s="27"/>
      <c r="U103" s="134"/>
      <c r="V103" s="25"/>
      <c r="X103" s="27"/>
      <c r="Y103" s="27"/>
      <c r="Z103" s="27"/>
      <c r="AB103" s="144"/>
      <c r="AD103" s="27"/>
      <c r="AE103" s="27"/>
      <c r="AF103" s="27"/>
      <c r="AH103" s="144"/>
      <c r="AI103" s="144"/>
      <c r="AJ103" s="144"/>
      <c r="AK103" s="144"/>
      <c r="AL103" s="144"/>
    </row>
    <row r="104" spans="2:38" ht="14.5" customHeight="1">
      <c r="B104" t="s">
        <v>85</v>
      </c>
      <c r="D104" s="359">
        <v>-1101327</v>
      </c>
      <c r="E104" s="34"/>
      <c r="F104" s="383"/>
      <c r="G104" s="383"/>
      <c r="H104" s="383"/>
      <c r="I104" s="383"/>
      <c r="J104" s="359">
        <v>-1621519</v>
      </c>
      <c r="K104" s="34"/>
      <c r="L104" s="383"/>
      <c r="M104" s="383"/>
      <c r="N104" s="383"/>
      <c r="O104" s="383"/>
      <c r="P104" s="359">
        <v>-1175325</v>
      </c>
      <c r="Q104" s="34"/>
      <c r="R104" s="383"/>
      <c r="S104" s="383"/>
      <c r="T104" s="383"/>
      <c r="U104" s="383"/>
      <c r="V104" s="359">
        <v>-1186332</v>
      </c>
      <c r="W104" s="34"/>
      <c r="X104" s="383"/>
      <c r="Y104" s="383"/>
      <c r="Z104" s="383"/>
      <c r="AA104" s="383"/>
      <c r="AB104" s="359">
        <v>-1516000</v>
      </c>
      <c r="AC104" s="351"/>
      <c r="AD104" s="383"/>
      <c r="AE104" s="383"/>
      <c r="AF104" s="383"/>
      <c r="AG104" s="351"/>
      <c r="AH104" s="360">
        <f>-AH105*AH80</f>
        <v>-2136996.6667460413</v>
      </c>
      <c r="AI104" s="360">
        <f t="shared" ref="AI104:AL104" si="41">-AI105*AI80</f>
        <v>-3060525.2187728067</v>
      </c>
      <c r="AJ104" s="360">
        <f t="shared" si="41"/>
        <v>-4192036.6942772516</v>
      </c>
      <c r="AK104" s="360">
        <f t="shared" si="41"/>
        <v>-5812970.9741159761</v>
      </c>
      <c r="AL104" s="360">
        <f t="shared" si="41"/>
        <v>-8182346.3828897253</v>
      </c>
    </row>
    <row r="105" spans="2:38" ht="14.5" customHeight="1">
      <c r="B105" s="10" t="s">
        <v>97</v>
      </c>
      <c r="D105" s="135">
        <f>-D104/D$80</f>
        <v>0.30156942046585622</v>
      </c>
      <c r="F105" s="92"/>
      <c r="G105" s="92"/>
      <c r="H105" s="92"/>
      <c r="I105" s="92"/>
      <c r="J105" s="135">
        <f>-J104/J$80</f>
        <v>0.33744814774041415</v>
      </c>
      <c r="L105" s="92"/>
      <c r="M105" s="92"/>
      <c r="N105" s="92"/>
      <c r="O105" s="92"/>
      <c r="P105" s="135">
        <f>-P104/P$80</f>
        <v>0.34791456988929015</v>
      </c>
      <c r="R105" s="92"/>
      <c r="S105" s="92"/>
      <c r="T105" s="92"/>
      <c r="U105" s="92"/>
      <c r="V105" s="135">
        <f>-V104/V$80</f>
        <v>0.19799589432047665</v>
      </c>
      <c r="X105" s="92"/>
      <c r="Y105" s="92"/>
      <c r="Z105" s="92"/>
      <c r="AA105" s="368"/>
      <c r="AB105" s="135">
        <f>-AB104/AB$80</f>
        <v>0.18049767829503513</v>
      </c>
      <c r="AC105" s="92"/>
      <c r="AD105" s="92"/>
      <c r="AE105" s="92"/>
      <c r="AF105" s="92"/>
      <c r="AG105" s="368"/>
      <c r="AH105" s="168">
        <f>$AB$105</f>
        <v>0.18049767829503513</v>
      </c>
      <c r="AI105" s="168">
        <f>$AB$105</f>
        <v>0.18049767829503513</v>
      </c>
      <c r="AJ105" s="168">
        <f>$AB$105</f>
        <v>0.18049767829503513</v>
      </c>
      <c r="AK105" s="168">
        <f>$AB$105</f>
        <v>0.18049767829503513</v>
      </c>
      <c r="AL105" s="168">
        <f>$AB$105</f>
        <v>0.18049767829503513</v>
      </c>
    </row>
    <row r="106" spans="2:38" ht="14.5" customHeight="1">
      <c r="B106" s="10" t="s">
        <v>100</v>
      </c>
      <c r="D106" s="209"/>
      <c r="F106" s="208"/>
      <c r="G106" s="208"/>
      <c r="H106" s="208"/>
      <c r="I106" s="208"/>
      <c r="J106" s="209">
        <f t="shared" ref="J106" si="42">+(J105-D105)*10000</f>
        <v>358.78727274557929</v>
      </c>
      <c r="L106" s="208"/>
      <c r="M106" s="208"/>
      <c r="N106" s="208"/>
      <c r="O106" s="208"/>
      <c r="P106" s="209">
        <f t="shared" ref="P106" si="43">+(P105-J105)*10000</f>
        <v>104.66422148875998</v>
      </c>
      <c r="R106" s="208"/>
      <c r="S106" s="208"/>
      <c r="T106" s="208"/>
      <c r="U106" s="208"/>
      <c r="V106" s="209">
        <f t="shared" ref="V106" si="44">+(V105-P105)*10000</f>
        <v>-1499.186755688135</v>
      </c>
      <c r="X106" s="208"/>
      <c r="Y106" s="208"/>
      <c r="Z106" s="208"/>
      <c r="AA106" s="208"/>
      <c r="AB106" s="209">
        <f t="shared" ref="AB106" si="45">+(AB105-V105)*10000</f>
        <v>-174.98216025441522</v>
      </c>
      <c r="AC106" s="208"/>
      <c r="AD106" s="208"/>
      <c r="AE106" s="208"/>
      <c r="AF106" s="208"/>
      <c r="AG106" s="208"/>
      <c r="AH106" s="209">
        <f>+(AH105-AB105)*10000</f>
        <v>0</v>
      </c>
      <c r="AI106" s="209">
        <f t="shared" ref="AI106" si="46">+(AI105-AH105)*10000</f>
        <v>0</v>
      </c>
      <c r="AJ106" s="209">
        <f t="shared" ref="AJ106:AL106" si="47">+(AJ105-AI105)*10000</f>
        <v>0</v>
      </c>
      <c r="AK106" s="209">
        <f t="shared" si="47"/>
        <v>0</v>
      </c>
      <c r="AL106" s="209">
        <f t="shared" si="47"/>
        <v>0</v>
      </c>
    </row>
    <row r="107" spans="2:38" ht="14.5" customHeight="1">
      <c r="B107" s="10" t="s">
        <v>14</v>
      </c>
      <c r="D107" s="135"/>
      <c r="F107" s="92"/>
      <c r="G107" s="92"/>
      <c r="H107" s="92"/>
      <c r="I107" s="92"/>
      <c r="J107" s="135">
        <f>+J104/D104-1</f>
        <v>0.47233201401581915</v>
      </c>
      <c r="L107" s="390"/>
      <c r="M107" s="390"/>
      <c r="N107" s="390"/>
      <c r="O107" s="390"/>
      <c r="P107" s="135">
        <f>+P104/J104-1</f>
        <v>-0.27517038036557084</v>
      </c>
      <c r="R107" s="92"/>
      <c r="S107" s="92"/>
      <c r="T107" s="92"/>
      <c r="U107" s="92"/>
      <c r="V107" s="135">
        <f>+V104/P104-1</f>
        <v>9.3650692361686438E-3</v>
      </c>
      <c r="X107" s="92"/>
      <c r="Y107" s="92"/>
      <c r="Z107" s="92"/>
      <c r="AA107" s="92"/>
      <c r="AB107" s="135">
        <f>+AB104/V104-1</f>
        <v>0.27788848315648562</v>
      </c>
      <c r="AC107" s="92"/>
      <c r="AD107" s="92"/>
      <c r="AE107" s="92"/>
      <c r="AF107" s="92"/>
      <c r="AG107" s="92"/>
      <c r="AH107" s="135">
        <f>+AH104/AB104-1</f>
        <v>0.40962840814382662</v>
      </c>
      <c r="AI107" s="135">
        <f>+AI104/AH104-1</f>
        <v>0.43216190572398161</v>
      </c>
      <c r="AJ107" s="135">
        <f>+AJ104/AI104-1</f>
        <v>0.36971153466206452</v>
      </c>
      <c r="AK107" s="135">
        <f>+AK104/AJ104-1</f>
        <v>0.38666986910003409</v>
      </c>
      <c r="AL107" s="135">
        <f>+AL104/AK104-1</f>
        <v>0.40760145187789765</v>
      </c>
    </row>
    <row r="108" spans="2:38" ht="14.5" customHeight="1">
      <c r="D108" s="25"/>
      <c r="F108" s="27"/>
      <c r="G108" s="27"/>
      <c r="H108" s="27"/>
      <c r="I108" s="134"/>
      <c r="J108" s="25"/>
      <c r="L108" s="27"/>
      <c r="M108" s="27"/>
      <c r="N108" s="27"/>
      <c r="O108" s="134"/>
      <c r="P108" s="25"/>
      <c r="R108" s="27"/>
      <c r="S108" s="27"/>
      <c r="T108" s="27"/>
      <c r="U108" s="134"/>
      <c r="V108" s="25"/>
      <c r="X108" s="27"/>
      <c r="Y108" s="27"/>
      <c r="Z108" s="27"/>
      <c r="AB108" s="144"/>
      <c r="AD108" s="27"/>
      <c r="AE108" s="27"/>
      <c r="AF108" s="27"/>
      <c r="AH108" s="144"/>
      <c r="AI108" s="144"/>
      <c r="AJ108" s="144"/>
      <c r="AK108" s="144"/>
      <c r="AL108" s="144"/>
    </row>
    <row r="109" spans="2:38" ht="14.5" customHeight="1">
      <c r="B109" t="s">
        <v>86</v>
      </c>
      <c r="D109" s="359">
        <v>-579193</v>
      </c>
      <c r="E109" s="34"/>
      <c r="F109" s="383"/>
      <c r="G109" s="383"/>
      <c r="H109" s="383"/>
      <c r="I109" s="383"/>
      <c r="J109" s="359">
        <v>-976695</v>
      </c>
      <c r="K109" s="34"/>
      <c r="L109" s="383"/>
      <c r="M109" s="383"/>
      <c r="N109" s="383"/>
      <c r="O109" s="383"/>
      <c r="P109" s="359">
        <v>-2752872</v>
      </c>
      <c r="Q109" s="34"/>
      <c r="R109" s="383"/>
      <c r="S109" s="383"/>
      <c r="T109" s="383"/>
      <c r="U109" s="383"/>
      <c r="V109" s="359">
        <v>-1425048</v>
      </c>
      <c r="W109" s="34"/>
      <c r="X109" s="383"/>
      <c r="Y109" s="383"/>
      <c r="Z109" s="383"/>
      <c r="AA109" s="383"/>
      <c r="AB109" s="359">
        <v>-1502000</v>
      </c>
      <c r="AC109" s="351"/>
      <c r="AD109" s="383"/>
      <c r="AE109" s="383"/>
      <c r="AF109" s="383"/>
      <c r="AG109" s="351"/>
      <c r="AH109" s="360">
        <f>-AH111*AH80</f>
        <v>-2131104.42</v>
      </c>
      <c r="AI109" s="360">
        <f t="shared" ref="AI109:AL109" si="48">-AI111*AI80</f>
        <v>-3052086.5674440004</v>
      </c>
      <c r="AJ109" s="360">
        <f t="shared" si="48"/>
        <v>-4180478.1762151942</v>
      </c>
      <c r="AK109" s="360">
        <f t="shared" si="48"/>
        <v>-5796943.1253878726</v>
      </c>
      <c r="AL109" s="360">
        <f t="shared" si="48"/>
        <v>-8159785.5597495669</v>
      </c>
    </row>
    <row r="110" spans="2:38" ht="14.5" customHeight="1">
      <c r="B110" s="10" t="s">
        <v>14</v>
      </c>
      <c r="D110" s="135"/>
      <c r="F110" s="92"/>
      <c r="G110" s="92"/>
      <c r="H110" s="92"/>
      <c r="I110" s="92"/>
      <c r="J110" s="135">
        <f>+J109/D109-1</f>
        <v>0.68630318391278911</v>
      </c>
      <c r="L110" s="92"/>
      <c r="M110" s="92"/>
      <c r="N110" s="92"/>
      <c r="O110" s="92"/>
      <c r="P110" s="135">
        <f>+P109/J109-1</f>
        <v>1.8185585059819083</v>
      </c>
      <c r="R110" s="92"/>
      <c r="S110" s="92"/>
      <c r="T110" s="92"/>
      <c r="U110" s="92"/>
      <c r="V110" s="135">
        <f>+V109/P109-1</f>
        <v>-0.48234135114164411</v>
      </c>
      <c r="X110" s="92"/>
      <c r="Y110" s="92"/>
      <c r="Z110" s="92"/>
      <c r="AA110" s="92"/>
      <c r="AB110" s="135">
        <f>+AB109/V109-1</f>
        <v>5.3999584575396664E-2</v>
      </c>
      <c r="AC110" s="92"/>
      <c r="AD110" s="92"/>
      <c r="AE110" s="92"/>
      <c r="AF110" s="92"/>
      <c r="AG110" s="92"/>
      <c r="AH110" s="135">
        <f>+AH109/AB109-1</f>
        <v>0.41884448735019975</v>
      </c>
      <c r="AI110" s="135">
        <f>+AI109/AH109-1</f>
        <v>0.43216190572398161</v>
      </c>
      <c r="AJ110" s="135">
        <f>+AJ109/AI109-1</f>
        <v>0.36971153466206452</v>
      </c>
      <c r="AK110" s="135">
        <f>+AK109/AJ109-1</f>
        <v>0.38666986910003409</v>
      </c>
      <c r="AL110" s="135">
        <f>+AL109/AK109-1</f>
        <v>0.40760145187789765</v>
      </c>
    </row>
    <row r="111" spans="2:38" ht="14.5" customHeight="1">
      <c r="B111" s="10" t="s">
        <v>97</v>
      </c>
      <c r="D111" s="135">
        <f>-D109/D$80</f>
        <v>0.15859676313018811</v>
      </c>
      <c r="F111" s="92"/>
      <c r="G111" s="92"/>
      <c r="H111" s="92"/>
      <c r="I111" s="92"/>
      <c r="J111" s="135">
        <f>-J109/J$80</f>
        <v>0.20325627924022094</v>
      </c>
      <c r="L111" s="92"/>
      <c r="M111" s="92"/>
      <c r="N111" s="92"/>
      <c r="O111" s="92"/>
      <c r="P111" s="135">
        <f>-P109/P$80</f>
        <v>0.81489313835770527</v>
      </c>
      <c r="R111" s="92"/>
      <c r="S111" s="92"/>
      <c r="T111" s="92"/>
      <c r="U111" s="92"/>
      <c r="V111" s="135">
        <f>-V109/V$80</f>
        <v>0.23783700786087422</v>
      </c>
      <c r="X111" s="92"/>
      <c r="Y111" s="92"/>
      <c r="Z111" s="92"/>
      <c r="AA111" s="368"/>
      <c r="AB111" s="135">
        <f>-AB109/AB$80</f>
        <v>0.17883081319204666</v>
      </c>
      <c r="AC111" s="92"/>
      <c r="AD111" s="92"/>
      <c r="AE111" s="92"/>
      <c r="AF111" s="92"/>
      <c r="AG111" s="368"/>
      <c r="AH111" s="168">
        <v>0.18</v>
      </c>
      <c r="AI111" s="168">
        <v>0.18</v>
      </c>
      <c r="AJ111" s="168">
        <v>0.18</v>
      </c>
      <c r="AK111" s="168">
        <v>0.18</v>
      </c>
      <c r="AL111" s="168">
        <v>0.18</v>
      </c>
    </row>
    <row r="112" spans="2:38" ht="14.5" customHeight="1">
      <c r="B112" s="10" t="s">
        <v>100</v>
      </c>
      <c r="D112" s="209"/>
      <c r="F112" s="208"/>
      <c r="G112" s="208"/>
      <c r="H112" s="208"/>
      <c r="I112" s="208"/>
      <c r="J112" s="209">
        <f t="shared" ref="J112" si="49">+(J111-D111)*10000</f>
        <v>446.59516110032826</v>
      </c>
      <c r="L112" s="208"/>
      <c r="M112" s="208"/>
      <c r="N112" s="208"/>
      <c r="O112" s="208"/>
      <c r="P112" s="209">
        <f t="shared" ref="P112" si="50">+(P111-J111)*10000</f>
        <v>6116.3685911748435</v>
      </c>
      <c r="R112" s="208"/>
      <c r="S112" s="208"/>
      <c r="T112" s="208"/>
      <c r="U112" s="208"/>
      <c r="V112" s="209">
        <f t="shared" ref="V112" si="51">+(V111-P111)*10000</f>
        <v>-5770.5613049683107</v>
      </c>
      <c r="X112" s="208"/>
      <c r="Y112" s="208"/>
      <c r="Z112" s="208"/>
      <c r="AA112" s="208"/>
      <c r="AB112" s="209">
        <f t="shared" ref="AB112" si="52">+(AB111-V111)*10000</f>
        <v>-590.06194668827561</v>
      </c>
      <c r="AC112" s="208"/>
      <c r="AD112" s="208"/>
      <c r="AE112" s="208"/>
      <c r="AF112" s="208"/>
      <c r="AG112" s="208"/>
      <c r="AH112" s="209">
        <f>+(AH111-AB111)*10000</f>
        <v>11.691868079533318</v>
      </c>
      <c r="AI112" s="209">
        <f t="shared" ref="AI112" si="53">+(AI111-AH111)*10000</f>
        <v>0</v>
      </c>
      <c r="AJ112" s="209">
        <f t="shared" ref="AJ112:AL112" si="54">+(AJ111-AI111)*10000</f>
        <v>0</v>
      </c>
      <c r="AK112" s="209">
        <f t="shared" si="54"/>
        <v>0</v>
      </c>
      <c r="AL112" s="209">
        <f t="shared" si="54"/>
        <v>0</v>
      </c>
    </row>
    <row r="113" spans="2:38" ht="14.5" customHeight="1">
      <c r="D113" s="25"/>
      <c r="F113" s="27"/>
      <c r="G113" s="27"/>
      <c r="H113" s="27"/>
      <c r="I113" s="134"/>
      <c r="J113" s="25"/>
      <c r="L113" s="27"/>
      <c r="M113" s="27"/>
      <c r="N113" s="27"/>
      <c r="O113" s="134"/>
      <c r="P113" s="25"/>
      <c r="R113" s="27"/>
      <c r="S113" s="27"/>
      <c r="T113" s="27"/>
      <c r="U113" s="134"/>
      <c r="V113" s="25"/>
      <c r="X113" s="27"/>
      <c r="Y113" s="27"/>
      <c r="Z113" s="27"/>
      <c r="AB113" s="144"/>
      <c r="AD113" s="27"/>
      <c r="AE113" s="27"/>
      <c r="AF113" s="27"/>
      <c r="AH113" s="144"/>
      <c r="AI113" s="144"/>
      <c r="AJ113" s="144"/>
      <c r="AK113" s="144"/>
      <c r="AL113" s="144"/>
    </row>
    <row r="114" spans="2:38" ht="14.5" customHeight="1">
      <c r="B114" t="s">
        <v>87</v>
      </c>
      <c r="D114" s="359">
        <v>-479487</v>
      </c>
      <c r="E114" s="34"/>
      <c r="F114" s="383"/>
      <c r="G114" s="383"/>
      <c r="H114" s="383"/>
      <c r="I114" s="383"/>
      <c r="J114" s="359">
        <v>-697181</v>
      </c>
      <c r="K114" s="34"/>
      <c r="L114" s="383"/>
      <c r="M114" s="383"/>
      <c r="N114" s="383"/>
      <c r="O114" s="383"/>
      <c r="P114" s="359">
        <v>-1134851</v>
      </c>
      <c r="Q114" s="34"/>
      <c r="R114" s="383"/>
      <c r="S114" s="383"/>
      <c r="T114" s="383"/>
      <c r="U114" s="383"/>
      <c r="V114" s="359">
        <v>-835324</v>
      </c>
      <c r="W114" s="34"/>
      <c r="X114" s="383"/>
      <c r="Y114" s="383"/>
      <c r="Z114" s="383"/>
      <c r="AA114" s="383"/>
      <c r="AB114" s="359">
        <v>-950000</v>
      </c>
      <c r="AC114" s="351"/>
      <c r="AD114" s="383"/>
      <c r="AE114" s="383"/>
      <c r="AF114" s="383"/>
      <c r="AG114" s="351"/>
      <c r="AH114" s="360">
        <f>-AH116*AH80</f>
        <v>-1302341.5900000001</v>
      </c>
      <c r="AI114" s="360">
        <f t="shared" ref="AI114:AL114" si="55">-AI116*AI80</f>
        <v>-1865164.0134380001</v>
      </c>
      <c r="AJ114" s="360">
        <f t="shared" si="55"/>
        <v>-2554736.6632426186</v>
      </c>
      <c r="AK114" s="360">
        <f t="shared" si="55"/>
        <v>-3542576.3544037002</v>
      </c>
      <c r="AL114" s="360">
        <f t="shared" si="55"/>
        <v>-4986535.6198469577</v>
      </c>
    </row>
    <row r="115" spans="2:38" ht="14.5" customHeight="1">
      <c r="B115" s="10" t="s">
        <v>14</v>
      </c>
      <c r="D115" s="135"/>
      <c r="F115" s="92"/>
      <c r="G115" s="92"/>
      <c r="H115" s="92"/>
      <c r="I115" s="92"/>
      <c r="J115" s="135">
        <f>D114/J114-1</f>
        <v>-0.31224889949668733</v>
      </c>
      <c r="L115" s="92"/>
      <c r="M115" s="92"/>
      <c r="N115" s="92"/>
      <c r="O115" s="92"/>
      <c r="P115" s="135">
        <f>J114/P114-1</f>
        <v>-0.38566296368421937</v>
      </c>
      <c r="R115" s="92"/>
      <c r="S115" s="92"/>
      <c r="T115" s="92"/>
      <c r="U115" s="92"/>
      <c r="V115" s="135">
        <f>P114/V114-1</f>
        <v>0.35857583404762705</v>
      </c>
      <c r="X115" s="92"/>
      <c r="Y115" s="92"/>
      <c r="Z115" s="92"/>
      <c r="AA115" s="92"/>
      <c r="AB115" s="135">
        <f>V114/AB114-1</f>
        <v>-0.12071157894736839</v>
      </c>
      <c r="AC115" s="92"/>
      <c r="AD115" s="92"/>
      <c r="AE115" s="92"/>
      <c r="AF115" s="92"/>
      <c r="AG115" s="92"/>
      <c r="AH115" s="135">
        <f>AH114/AB114-1</f>
        <v>0.37088588421052648</v>
      </c>
      <c r="AI115" s="135">
        <f>AI114/AH114-1</f>
        <v>0.43216190572398139</v>
      </c>
      <c r="AJ115" s="135">
        <f t="shared" ref="AJ115:AL115" si="56">AJ114/AI114-1</f>
        <v>0.36971153466206452</v>
      </c>
      <c r="AK115" s="135">
        <f t="shared" si="56"/>
        <v>0.38666986910003431</v>
      </c>
      <c r="AL115" s="135">
        <f t="shared" si="56"/>
        <v>0.40760145187789765</v>
      </c>
    </row>
    <row r="116" spans="2:38" ht="14.5" customHeight="1">
      <c r="B116" s="10" t="s">
        <v>97</v>
      </c>
      <c r="D116" s="135">
        <f>-D114/D80</f>
        <v>0.13129489852778695</v>
      </c>
      <c r="F116" s="92"/>
      <c r="G116" s="92"/>
      <c r="H116" s="92"/>
      <c r="I116" s="92"/>
      <c r="J116" s="135">
        <f>-J114/J80</f>
        <v>0.14508768450435036</v>
      </c>
      <c r="L116" s="92"/>
      <c r="M116" s="92"/>
      <c r="N116" s="92"/>
      <c r="O116" s="92"/>
      <c r="P116" s="135">
        <f>-P114/P80</f>
        <v>0.33593363329583803</v>
      </c>
      <c r="R116" s="92"/>
      <c r="S116" s="92"/>
      <c r="T116" s="92"/>
      <c r="U116" s="92"/>
      <c r="V116" s="135">
        <f>-V114/V80</f>
        <v>0.13941352203882038</v>
      </c>
      <c r="X116" s="92"/>
      <c r="Y116" s="92"/>
      <c r="Z116" s="92"/>
      <c r="AA116" s="368"/>
      <c r="AB116" s="135">
        <f>-AB114/AB80</f>
        <v>0.11310870341707346</v>
      </c>
      <c r="AC116" s="92"/>
      <c r="AD116" s="92"/>
      <c r="AE116" s="92"/>
      <c r="AF116" s="92"/>
      <c r="AG116" s="368"/>
      <c r="AH116" s="168">
        <v>0.11</v>
      </c>
      <c r="AI116" s="168">
        <v>0.11</v>
      </c>
      <c r="AJ116" s="168">
        <v>0.11</v>
      </c>
      <c r="AK116" s="168">
        <v>0.11</v>
      </c>
      <c r="AL116" s="168">
        <v>0.11</v>
      </c>
    </row>
    <row r="117" spans="2:38" ht="14.5" customHeight="1">
      <c r="D117" s="25"/>
      <c r="F117" s="27"/>
      <c r="G117" s="27"/>
      <c r="H117" s="27"/>
      <c r="I117" s="134"/>
      <c r="J117" s="25"/>
      <c r="L117" s="27"/>
      <c r="M117" s="27"/>
      <c r="N117" s="27"/>
      <c r="O117" s="134"/>
      <c r="P117" s="25"/>
      <c r="R117" s="27"/>
      <c r="S117" s="27"/>
      <c r="T117" s="27"/>
      <c r="U117" s="134"/>
      <c r="V117" s="25"/>
      <c r="X117" s="27"/>
      <c r="Y117" s="27"/>
      <c r="Z117" s="27"/>
      <c r="AB117" s="144"/>
      <c r="AD117" s="27"/>
      <c r="AE117" s="27"/>
      <c r="AF117" s="27"/>
      <c r="AH117" s="144"/>
      <c r="AI117" s="144"/>
      <c r="AJ117" s="144"/>
      <c r="AK117" s="144"/>
      <c r="AL117" s="144"/>
    </row>
    <row r="118" spans="2:38" s="2" customFormat="1" ht="14.5" customHeight="1">
      <c r="B118" s="136" t="s">
        <v>101</v>
      </c>
      <c r="D118" s="235">
        <f>D99+D104+D109+D114</f>
        <v>-2769209</v>
      </c>
      <c r="E118" s="227"/>
      <c r="F118" s="227"/>
      <c r="G118" s="227"/>
      <c r="H118" s="227"/>
      <c r="I118" s="227"/>
      <c r="J118" s="235">
        <f>J99+J104+J109+J114</f>
        <v>-4110469</v>
      </c>
      <c r="K118" s="227"/>
      <c r="L118" s="227"/>
      <c r="M118" s="227"/>
      <c r="N118" s="227"/>
      <c r="O118" s="227"/>
      <c r="P118" s="235">
        <f>P99+P104+P109+P114</f>
        <v>-5940949</v>
      </c>
      <c r="Q118" s="227"/>
      <c r="R118" s="227"/>
      <c r="S118" s="227"/>
      <c r="T118" s="227"/>
      <c r="U118" s="227"/>
      <c r="V118" s="235">
        <f>V99+V104+V109+V114</f>
        <v>-4293761</v>
      </c>
      <c r="W118" s="227"/>
      <c r="X118" s="227"/>
      <c r="Y118" s="227"/>
      <c r="Z118" s="227"/>
      <c r="AA118" s="227"/>
      <c r="AB118" s="235">
        <f>AB99+AB104+AB109+AB114</f>
        <v>-5009000</v>
      </c>
      <c r="AC118" s="172"/>
      <c r="AD118" s="172"/>
      <c r="AE118" s="172"/>
      <c r="AF118" s="172"/>
      <c r="AG118" s="172"/>
      <c r="AH118" s="173">
        <f>AH99+AH104+AH109+AH114</f>
        <v>-7168770.991746041</v>
      </c>
      <c r="AI118" s="173">
        <f t="shared" ref="AI118:AL118" si="57">AI99+AI104+AI109+AI114</f>
        <v>-10182060.542808807</v>
      </c>
      <c r="AJ118" s="173">
        <f t="shared" si="57"/>
        <v>-13946485.772112705</v>
      </c>
      <c r="AK118" s="173">
        <f t="shared" si="57"/>
        <v>-19017119.204166133</v>
      </c>
      <c r="AL118" s="173">
        <f t="shared" si="57"/>
        <v>-26768524.602319296</v>
      </c>
    </row>
    <row r="119" spans="2:38" ht="14.5" customHeight="1">
      <c r="B119" s="10" t="s">
        <v>14</v>
      </c>
      <c r="D119" s="361"/>
      <c r="E119" s="41"/>
      <c r="F119" s="228"/>
      <c r="G119" s="228"/>
      <c r="H119" s="228"/>
      <c r="I119" s="228"/>
      <c r="J119" s="361">
        <f>+J118/D118-1</f>
        <v>0.48434769639994668</v>
      </c>
      <c r="K119" s="41"/>
      <c r="L119" s="228"/>
      <c r="M119" s="228"/>
      <c r="N119" s="228"/>
      <c r="O119" s="228"/>
      <c r="P119" s="361">
        <f>+P118/J118-1</f>
        <v>0.44532144628751613</v>
      </c>
      <c r="Q119" s="41"/>
      <c r="R119" s="228"/>
      <c r="S119" s="228"/>
      <c r="T119" s="228"/>
      <c r="U119" s="228"/>
      <c r="V119" s="361">
        <f>+V118/P118-1</f>
        <v>-0.27726008083893672</v>
      </c>
      <c r="W119" s="41"/>
      <c r="X119" s="228"/>
      <c r="Y119" s="228"/>
      <c r="Z119" s="228"/>
      <c r="AA119" s="228"/>
      <c r="AB119" s="361">
        <f>+AB118/V118-1</f>
        <v>0.16657634181315628</v>
      </c>
      <c r="AC119" s="92"/>
      <c r="AD119" s="92"/>
      <c r="AE119" s="92"/>
      <c r="AF119" s="92"/>
      <c r="AG119" s="92"/>
      <c r="AH119" s="135">
        <f>+AH118/AB118-1</f>
        <v>0.43117807780915163</v>
      </c>
      <c r="AI119" s="135">
        <f>+AI118/AH118-1</f>
        <v>0.42033558535098958</v>
      </c>
      <c r="AJ119" s="135">
        <f>+AJ118/AI118-1</f>
        <v>0.36971153466206452</v>
      </c>
      <c r="AK119" s="135">
        <f>+AK118/AJ118-1</f>
        <v>0.36357785860238945</v>
      </c>
      <c r="AL119" s="135">
        <f>+AL118/AK118-1</f>
        <v>0.40760145187789765</v>
      </c>
    </row>
    <row r="120" spans="2:38" ht="14.5" customHeight="1">
      <c r="B120" s="10" t="s">
        <v>97</v>
      </c>
      <c r="D120" s="361">
        <f>-D118/D$80</f>
        <v>0.75827502029718086</v>
      </c>
      <c r="E120" s="41"/>
      <c r="F120" s="228"/>
      <c r="G120" s="228"/>
      <c r="H120" s="228"/>
      <c r="I120" s="228"/>
      <c r="J120" s="361">
        <f>-J118/J$80</f>
        <v>0.85541405952960925</v>
      </c>
      <c r="K120" s="41"/>
      <c r="L120" s="228"/>
      <c r="M120" s="228"/>
      <c r="N120" s="228"/>
      <c r="O120" s="228"/>
      <c r="P120" s="361">
        <f>-P118/P$80</f>
        <v>1.758613758806465</v>
      </c>
      <c r="Q120" s="41"/>
      <c r="R120" s="228"/>
      <c r="S120" s="228"/>
      <c r="T120" s="228"/>
      <c r="U120" s="228"/>
      <c r="V120" s="361">
        <f>-V118/V$80</f>
        <v>0.71661815511457516</v>
      </c>
      <c r="W120" s="41"/>
      <c r="X120" s="228"/>
      <c r="Y120" s="228"/>
      <c r="Z120" s="228"/>
      <c r="AA120" s="228"/>
      <c r="AB120" s="361">
        <f>-AB118/AB$80</f>
        <v>0.59638052149065368</v>
      </c>
      <c r="AC120" s="92"/>
      <c r="AD120" s="92"/>
      <c r="AE120" s="92"/>
      <c r="AF120" s="92"/>
      <c r="AG120" s="92"/>
      <c r="AH120" s="135">
        <f>-AH118/AH$80</f>
        <v>0.60549767829503509</v>
      </c>
      <c r="AI120" s="135">
        <f>-AI118/AI$80</f>
        <v>0.60049767829503509</v>
      </c>
      <c r="AJ120" s="135">
        <f>-AJ118/AJ$80</f>
        <v>0.60049767829503509</v>
      </c>
      <c r="AK120" s="135">
        <f t="shared" ref="AK120:AL120" si="58">-AK118/AK$80</f>
        <v>0.59049767829503519</v>
      </c>
      <c r="AL120" s="135">
        <f t="shared" si="58"/>
        <v>0.59049767829503519</v>
      </c>
    </row>
    <row r="121" spans="2:38" ht="14.5" customHeight="1">
      <c r="B121" s="10" t="s">
        <v>100</v>
      </c>
      <c r="D121" s="361"/>
      <c r="E121" s="41"/>
      <c r="F121" s="228"/>
      <c r="G121" s="228"/>
      <c r="H121" s="228"/>
      <c r="I121" s="228"/>
      <c r="J121" s="361">
        <f t="shared" ref="J121" si="59">+(J120-D120)*10000</f>
        <v>971.39039232428388</v>
      </c>
      <c r="K121" s="41"/>
      <c r="L121" s="228"/>
      <c r="M121" s="228"/>
      <c r="N121" s="228"/>
      <c r="O121" s="228"/>
      <c r="P121" s="361">
        <f t="shared" ref="P121" si="60">+(P120-J120)*10000</f>
        <v>9031.9969927685579</v>
      </c>
      <c r="Q121" s="41"/>
      <c r="R121" s="228"/>
      <c r="S121" s="228"/>
      <c r="T121" s="228"/>
      <c r="U121" s="228"/>
      <c r="V121" s="361">
        <f t="shared" ref="V121" si="61">+(V120-P120)*10000</f>
        <v>-10419.956036918898</v>
      </c>
      <c r="W121" s="41"/>
      <c r="X121" s="228"/>
      <c r="Y121" s="228"/>
      <c r="Z121" s="228"/>
      <c r="AA121" s="228"/>
      <c r="AB121" s="361">
        <f t="shared" ref="AB121" si="62">+(AB120-V120)*10000</f>
        <v>-1202.3763362392149</v>
      </c>
      <c r="AC121" s="208"/>
      <c r="AD121" s="208"/>
      <c r="AE121" s="208"/>
      <c r="AF121" s="208"/>
      <c r="AG121" s="208"/>
      <c r="AH121" s="209">
        <f>+(AH120-AB120)*10000</f>
        <v>91.171568043814105</v>
      </c>
      <c r="AI121" s="209">
        <f t="shared" ref="AI121:AL121" si="63">+(AI120-AH120)*10000</f>
        <v>-50.000000000000043</v>
      </c>
      <c r="AJ121" s="209">
        <f t="shared" si="63"/>
        <v>0</v>
      </c>
      <c r="AK121" s="209">
        <f t="shared" si="63"/>
        <v>-99.999999999998977</v>
      </c>
      <c r="AL121" s="209">
        <f t="shared" si="63"/>
        <v>0</v>
      </c>
    </row>
    <row r="122" spans="2:38" ht="14.5" customHeight="1">
      <c r="D122" s="141"/>
      <c r="E122" s="41"/>
      <c r="F122" s="138"/>
      <c r="G122" s="138"/>
      <c r="H122" s="138"/>
      <c r="I122" s="384"/>
      <c r="J122" s="141"/>
      <c r="K122" s="41"/>
      <c r="L122" s="138"/>
      <c r="M122" s="138"/>
      <c r="N122" s="138"/>
      <c r="O122" s="384"/>
      <c r="P122" s="141"/>
      <c r="Q122" s="41"/>
      <c r="R122" s="138"/>
      <c r="S122" s="138"/>
      <c r="T122" s="138"/>
      <c r="U122" s="384"/>
      <c r="V122" s="235"/>
      <c r="W122" s="41"/>
      <c r="X122" s="138"/>
      <c r="Y122" s="138"/>
      <c r="Z122" s="138"/>
      <c r="AA122" s="384"/>
      <c r="AB122" s="141"/>
      <c r="AC122" s="27"/>
      <c r="AD122" s="27"/>
      <c r="AE122" s="27"/>
      <c r="AF122" s="27"/>
      <c r="AG122" s="134"/>
      <c r="AH122" s="25"/>
      <c r="AI122" s="25"/>
      <c r="AJ122" s="25"/>
      <c r="AK122" s="25"/>
      <c r="AL122" s="25"/>
    </row>
    <row r="123" spans="2:38" ht="14.5" customHeight="1">
      <c r="B123" s="2" t="s">
        <v>88</v>
      </c>
      <c r="D123" s="362">
        <f>+D91+D118</f>
        <v>18744</v>
      </c>
      <c r="E123" s="41"/>
      <c r="F123" s="384"/>
      <c r="G123" s="384"/>
      <c r="H123" s="384"/>
      <c r="I123" s="384"/>
      <c r="J123" s="362">
        <f>+J91+J118</f>
        <v>-501543</v>
      </c>
      <c r="K123" s="41"/>
      <c r="L123" s="384"/>
      <c r="M123" s="384"/>
      <c r="N123" s="384"/>
      <c r="O123" s="384"/>
      <c r="P123" s="362">
        <f>+P91+P118</f>
        <v>-3438791</v>
      </c>
      <c r="Q123" s="41"/>
      <c r="R123" s="384"/>
      <c r="S123" s="384"/>
      <c r="T123" s="384"/>
      <c r="U123" s="384"/>
      <c r="V123" s="362">
        <f>+V91+V118</f>
        <v>542106</v>
      </c>
      <c r="W123" s="41"/>
      <c r="X123" s="384"/>
      <c r="Y123" s="384"/>
      <c r="Z123" s="384"/>
      <c r="AA123" s="384"/>
      <c r="AB123" s="362">
        <f>+AB91+AB118</f>
        <v>1891000</v>
      </c>
      <c r="AC123" s="352"/>
      <c r="AD123" s="352"/>
      <c r="AE123" s="352"/>
      <c r="AF123" s="352"/>
      <c r="AG123" s="352"/>
      <c r="AH123" s="233">
        <f>+AH91+AH118</f>
        <v>2539593.5882539591</v>
      </c>
      <c r="AI123" s="233">
        <f>+AI91+AI118</f>
        <v>3721889.3755471949</v>
      </c>
      <c r="AJ123" s="233">
        <f>+AJ91+AJ118</f>
        <v>5097914.8084231801</v>
      </c>
      <c r="AK123" s="233">
        <f>+AK91+AK118</f>
        <v>7391177.2559341751</v>
      </c>
      <c r="AL123" s="233">
        <f>+AL91+AL118</f>
        <v>10403831.836539846</v>
      </c>
    </row>
    <row r="124" spans="2:38" ht="14.5" customHeight="1">
      <c r="B124" s="10" t="s">
        <v>15</v>
      </c>
      <c r="D124" s="361">
        <f>+D123/D$80</f>
        <v>5.1325512016067972E-3</v>
      </c>
      <c r="E124" s="41"/>
      <c r="F124" s="228"/>
      <c r="G124" s="228"/>
      <c r="H124" s="228"/>
      <c r="I124" s="228"/>
      <c r="J124" s="361">
        <f>+J123/J$80</f>
        <v>-0.1043742049042722</v>
      </c>
      <c r="K124" s="41"/>
      <c r="L124" s="228"/>
      <c r="M124" s="228"/>
      <c r="N124" s="228"/>
      <c r="O124" s="228"/>
      <c r="P124" s="361">
        <f>+P123/P$80</f>
        <v>-1.0179358830146232</v>
      </c>
      <c r="Q124" s="41"/>
      <c r="R124" s="228"/>
      <c r="S124" s="228"/>
      <c r="T124" s="228"/>
      <c r="U124" s="228"/>
      <c r="V124" s="361">
        <f>+V123/V$80</f>
        <v>9.0476158686182556E-2</v>
      </c>
      <c r="W124" s="41"/>
      <c r="X124" s="228"/>
      <c r="Y124" s="228"/>
      <c r="Z124" s="228"/>
      <c r="AA124" s="228"/>
      <c r="AB124" s="361">
        <f t="shared" ref="AB124:AK124" si="64">+AB123/AB$80</f>
        <v>0.2251458506965115</v>
      </c>
      <c r="AC124" s="92"/>
      <c r="AD124" s="92"/>
      <c r="AE124" s="92"/>
      <c r="AF124" s="92"/>
      <c r="AG124" s="92"/>
      <c r="AH124" s="135">
        <f t="shared" si="64"/>
        <v>0.21450232170496489</v>
      </c>
      <c r="AI124" s="135">
        <f t="shared" si="64"/>
        <v>0.21950232170496492</v>
      </c>
      <c r="AJ124" s="135">
        <f t="shared" si="64"/>
        <v>0.21950232170496489</v>
      </c>
      <c r="AK124" s="135">
        <f t="shared" si="64"/>
        <v>0.22950232170496476</v>
      </c>
      <c r="AL124" s="135">
        <f t="shared" ref="AL124" si="65">+AL123/AL$80</f>
        <v>0.2295023217049649</v>
      </c>
    </row>
    <row r="125" spans="2:38" ht="14.5" customHeight="1">
      <c r="B125" s="10" t="s">
        <v>100</v>
      </c>
      <c r="D125" s="361"/>
      <c r="E125" s="41"/>
      <c r="F125" s="228"/>
      <c r="G125" s="228"/>
      <c r="H125" s="228"/>
      <c r="I125" s="228"/>
      <c r="J125" s="361">
        <f>+(J124-D124)*10000</f>
        <v>-1095.06756105879</v>
      </c>
      <c r="K125" s="41"/>
      <c r="L125" s="228"/>
      <c r="M125" s="228"/>
      <c r="N125" s="228"/>
      <c r="O125" s="228"/>
      <c r="P125" s="361">
        <f>+(P124-J124)*10000</f>
        <v>-9135.6167811035102</v>
      </c>
      <c r="Q125" s="41"/>
      <c r="R125" s="228"/>
      <c r="S125" s="228"/>
      <c r="T125" s="228"/>
      <c r="U125" s="228"/>
      <c r="V125" s="361">
        <f>+(V124-P124)*10000</f>
        <v>11084.120417008058</v>
      </c>
      <c r="W125" s="41"/>
      <c r="X125" s="228"/>
      <c r="Y125" s="228"/>
      <c r="Z125" s="228"/>
      <c r="AA125" s="228"/>
      <c r="AB125" s="361">
        <f>+(AB124-V124)*10000</f>
        <v>1346.6969201032894</v>
      </c>
      <c r="AC125" s="208"/>
      <c r="AD125" s="208"/>
      <c r="AE125" s="208"/>
      <c r="AF125" s="208"/>
      <c r="AG125" s="208"/>
      <c r="AH125" s="209">
        <f>+(AH124-AB124)*10000</f>
        <v>-106.43528991546609</v>
      </c>
      <c r="AI125" s="209">
        <f>+(AI124-AH124)*10000</f>
        <v>50.00000000000032</v>
      </c>
      <c r="AJ125" s="209">
        <f>+(AJ124-AI124)*10000</f>
        <v>-2.7755575615628914E-13</v>
      </c>
      <c r="AK125" s="209">
        <f>+(AK124-AJ124)*10000</f>
        <v>99.999999999998707</v>
      </c>
      <c r="AL125" s="209">
        <f>+(AL124-AK124)*10000</f>
        <v>1.3877787807814457E-12</v>
      </c>
    </row>
    <row r="126" spans="2:38" ht="14.5" customHeight="1">
      <c r="B126" s="10" t="s">
        <v>14</v>
      </c>
      <c r="D126" s="361"/>
      <c r="E126" s="41"/>
      <c r="F126" s="228"/>
      <c r="G126" s="228"/>
      <c r="H126" s="228"/>
      <c r="I126" s="228"/>
      <c r="J126" s="361">
        <f>+J123/D123-1</f>
        <v>-27.757522407170296</v>
      </c>
      <c r="K126" s="41"/>
      <c r="L126" s="228"/>
      <c r="M126" s="228"/>
      <c r="N126" s="228"/>
      <c r="O126" s="228"/>
      <c r="P126" s="361">
        <f>+P123/J123-1</f>
        <v>5.8564230783801188</v>
      </c>
      <c r="Q126" s="41"/>
      <c r="R126" s="228"/>
      <c r="S126" s="228"/>
      <c r="T126" s="228"/>
      <c r="U126" s="228"/>
      <c r="V126" s="361">
        <f>+V123/P123-1</f>
        <v>-1.1576443581479654</v>
      </c>
      <c r="W126" s="41"/>
      <c r="X126" s="228"/>
      <c r="Y126" s="228"/>
      <c r="Z126" s="228"/>
      <c r="AA126" s="228"/>
      <c r="AB126" s="361">
        <f>+AB123/V123-1</f>
        <v>2.488247685876932</v>
      </c>
      <c r="AC126" s="92"/>
      <c r="AD126" s="92"/>
      <c r="AE126" s="92"/>
      <c r="AF126" s="92"/>
      <c r="AG126" s="92"/>
      <c r="AH126" s="135">
        <f>+AH123/AB123-1</f>
        <v>0.34298973466629246</v>
      </c>
      <c r="AI126" s="135">
        <f>+AI123/AH123-1</f>
        <v>0.46554527179527838</v>
      </c>
      <c r="AJ126" s="135">
        <f>+AJ123/AI123-1</f>
        <v>0.3697115346620643</v>
      </c>
      <c r="AK126" s="135">
        <f>+AK123/AJ123-1</f>
        <v>0.44984322682714994</v>
      </c>
      <c r="AL126" s="135">
        <f>+AL123/AK123-1</f>
        <v>0.40760145187789831</v>
      </c>
    </row>
    <row r="127" spans="2:38" ht="14.5" customHeight="1">
      <c r="B127" s="137"/>
      <c r="D127" s="216"/>
      <c r="F127" s="21"/>
      <c r="G127" s="21"/>
      <c r="H127" s="21"/>
      <c r="I127" s="21"/>
      <c r="J127" s="216"/>
      <c r="L127" s="21"/>
      <c r="M127" s="21"/>
      <c r="N127" s="21"/>
      <c r="O127" s="21"/>
      <c r="P127" s="148"/>
      <c r="R127" s="21"/>
      <c r="S127" s="21"/>
      <c r="T127" s="21"/>
      <c r="U127" s="21"/>
      <c r="V127" s="148"/>
      <c r="X127" s="21"/>
      <c r="Y127" s="21"/>
      <c r="Z127" s="21"/>
      <c r="AA127" s="21"/>
      <c r="AB127" s="148"/>
      <c r="AC127" s="21"/>
      <c r="AD127" s="21"/>
      <c r="AE127" s="21"/>
      <c r="AF127" s="21"/>
      <c r="AG127" s="21"/>
      <c r="AH127" s="144"/>
      <c r="AI127" s="144"/>
      <c r="AJ127" s="144"/>
      <c r="AK127" s="144"/>
      <c r="AL127" s="144"/>
    </row>
    <row r="128" spans="2:38" s="2" customFormat="1" ht="14.5" customHeight="1">
      <c r="B128" s="2" t="s">
        <v>82</v>
      </c>
      <c r="D128" s="140"/>
      <c r="F128" s="133"/>
      <c r="G128" s="133"/>
      <c r="H128" s="133"/>
      <c r="I128" s="133"/>
      <c r="J128" s="140">
        <f>(J123-D123)/(J80-D80)</f>
        <v>-0.45114692860375943</v>
      </c>
      <c r="L128" s="390"/>
      <c r="M128" s="390"/>
      <c r="N128" s="390"/>
      <c r="O128" s="390"/>
      <c r="P128" s="140">
        <f>(P123-J123)/(P80-J80)</f>
        <v>2.0582815185849861</v>
      </c>
      <c r="R128" s="390"/>
      <c r="S128" s="390"/>
      <c r="T128" s="390"/>
      <c r="U128" s="133"/>
      <c r="V128" s="140">
        <f>(V123-P123)/(V80-P80)</f>
        <v>1.5232052802754927</v>
      </c>
      <c r="X128" s="133"/>
      <c r="Y128" s="133"/>
      <c r="Z128" s="133"/>
      <c r="AA128" s="133"/>
      <c r="AB128" s="140">
        <f>(AB123-V123)/(AB80-V80)</f>
        <v>0.56033481493789727</v>
      </c>
      <c r="AC128" s="133"/>
      <c r="AD128" s="133"/>
      <c r="AE128" s="133"/>
      <c r="AF128" s="133"/>
      <c r="AG128" s="133"/>
      <c r="AH128" s="140">
        <f>(AH123-AB123)/(AH80-AB80)</f>
        <v>0.18851894560130003</v>
      </c>
      <c r="AI128" s="140">
        <f>(AI123-AH123)/(AI80-AH80)</f>
        <v>0.23107205965219038</v>
      </c>
      <c r="AJ128" s="140">
        <f t="shared" ref="AJ128:AL128" si="66">(AJ123-AI123)/(AJ80-AI80)</f>
        <v>0.21950232170496475</v>
      </c>
      <c r="AK128" s="140">
        <f t="shared" si="66"/>
        <v>0.25536417647858517</v>
      </c>
      <c r="AL128" s="140">
        <f t="shared" si="66"/>
        <v>0.22950232170496518</v>
      </c>
    </row>
    <row r="129" spans="2:38" ht="14.5" customHeight="1">
      <c r="B129" s="137"/>
      <c r="D129" s="216"/>
      <c r="F129" s="21"/>
      <c r="G129" s="21"/>
      <c r="H129" s="21"/>
      <c r="I129" s="21"/>
      <c r="J129" s="216"/>
      <c r="L129" s="21"/>
      <c r="M129" s="21"/>
      <c r="N129" s="21"/>
      <c r="O129" s="21"/>
      <c r="P129" s="216"/>
      <c r="R129" s="21"/>
      <c r="S129" s="21"/>
      <c r="T129" s="21"/>
      <c r="U129" s="21"/>
      <c r="V129" s="216"/>
      <c r="X129" s="21"/>
      <c r="Y129" s="21"/>
      <c r="Z129" s="21"/>
      <c r="AA129" s="21"/>
      <c r="AB129" s="148"/>
      <c r="AC129" s="21"/>
      <c r="AD129" s="21"/>
      <c r="AE129" s="21"/>
      <c r="AF129" s="21"/>
      <c r="AG129" s="21"/>
      <c r="AH129" s="144"/>
      <c r="AI129" s="144"/>
      <c r="AJ129" s="144"/>
      <c r="AK129" s="144"/>
      <c r="AL129" s="144"/>
    </row>
    <row r="130" spans="2:38" ht="14.5" customHeight="1">
      <c r="B130" t="s">
        <v>206</v>
      </c>
      <c r="C130" s="27"/>
      <c r="D130" s="174">
        <v>82.400999999999996</v>
      </c>
      <c r="E130" s="27"/>
      <c r="F130" s="383"/>
      <c r="G130" s="383"/>
      <c r="H130" s="383"/>
      <c r="I130" s="352"/>
      <c r="J130" s="174">
        <v>114.16200000000001</v>
      </c>
      <c r="K130" s="27"/>
      <c r="L130" s="383"/>
      <c r="M130" s="383"/>
      <c r="N130" s="383"/>
      <c r="O130" s="352"/>
      <c r="P130" s="174">
        <v>125.876</v>
      </c>
      <c r="Q130" s="27"/>
      <c r="R130" s="383"/>
      <c r="S130" s="383"/>
      <c r="T130" s="383"/>
      <c r="U130" s="352"/>
      <c r="V130" s="174">
        <v>138.31899999999999</v>
      </c>
      <c r="W130" s="27"/>
      <c r="X130" s="383"/>
      <c r="Y130" s="383"/>
      <c r="Z130" s="383"/>
      <c r="AA130" s="351"/>
      <c r="AB130" s="175">
        <v>81</v>
      </c>
      <c r="AC130" s="351"/>
      <c r="AD130" s="383"/>
      <c r="AE130" s="383"/>
      <c r="AF130" s="383"/>
      <c r="AG130" s="351"/>
      <c r="AH130" s="176">
        <f>+AH132*AH$80</f>
        <v>277.48219442710138</v>
      </c>
      <c r="AI130" s="176">
        <f>+AI132*AI$80</f>
        <v>339.12072971600008</v>
      </c>
      <c r="AJ130" s="176">
        <f>+AJ132*AJ$80</f>
        <v>464.49757513502163</v>
      </c>
      <c r="AK130" s="176">
        <f>+AK132*AK$80</f>
        <v>644.10479170976373</v>
      </c>
      <c r="AL130" s="176">
        <f>+AL132*AL$80</f>
        <v>906.64283997217422</v>
      </c>
    </row>
    <row r="131" spans="2:38" ht="14.5" customHeight="1">
      <c r="B131" s="10" t="s">
        <v>14</v>
      </c>
      <c r="D131" s="135"/>
      <c r="F131" s="92"/>
      <c r="G131" s="92"/>
      <c r="H131" s="92"/>
      <c r="I131" s="92"/>
      <c r="J131" s="135">
        <f>+J130/D130-1</f>
        <v>0.38544435140350242</v>
      </c>
      <c r="L131" s="92"/>
      <c r="M131" s="92"/>
      <c r="N131" s="92"/>
      <c r="O131" s="92"/>
      <c r="P131" s="135">
        <f>+P130/J130-1</f>
        <v>0.10260857378111798</v>
      </c>
      <c r="R131" s="92"/>
      <c r="S131" s="92"/>
      <c r="T131" s="92"/>
      <c r="U131" s="92"/>
      <c r="V131" s="135">
        <f>+V130/P130-1</f>
        <v>9.8851250436937876E-2</v>
      </c>
      <c r="X131" s="92"/>
      <c r="Y131" s="92"/>
      <c r="Z131" s="92"/>
      <c r="AA131" s="92"/>
      <c r="AB131" s="135">
        <f>+AB130/V130-1</f>
        <v>-0.4143971544039502</v>
      </c>
      <c r="AC131" s="92"/>
      <c r="AD131" s="92"/>
      <c r="AE131" s="92"/>
      <c r="AF131" s="92"/>
      <c r="AG131" s="92"/>
      <c r="AH131" s="135">
        <f>+AH130/AB130-1</f>
        <v>2.4257061040382886</v>
      </c>
      <c r="AI131" s="135">
        <f>+AI130/AH130-1</f>
        <v>0.22213510101489442</v>
      </c>
      <c r="AJ131" s="135">
        <f>+AJ130/AI130-1</f>
        <v>0.36971153466206452</v>
      </c>
      <c r="AK131" s="135">
        <f>+AK130/AJ130-1</f>
        <v>0.38666986910003409</v>
      </c>
      <c r="AL131" s="135">
        <f>+AL130/AK130-1</f>
        <v>0.40760145187789765</v>
      </c>
    </row>
    <row r="132" spans="2:38" ht="14.5" customHeight="1">
      <c r="B132" s="10" t="s">
        <v>97</v>
      </c>
      <c r="D132" s="380">
        <f>+D130/D$80</f>
        <v>2.2563345687345374E-5</v>
      </c>
      <c r="E132" s="385"/>
      <c r="F132" s="386"/>
      <c r="G132" s="386"/>
      <c r="H132" s="386"/>
      <c r="I132" s="386"/>
      <c r="J132" s="380">
        <f>+J130/J$80</f>
        <v>2.3757819330110325E-5</v>
      </c>
      <c r="K132" s="385"/>
      <c r="L132" s="386"/>
      <c r="M132" s="386"/>
      <c r="N132" s="386"/>
      <c r="O132" s="386"/>
      <c r="P132" s="380">
        <f>+P130/P$80</f>
        <v>3.7261263394707244E-5</v>
      </c>
      <c r="Q132" s="385"/>
      <c r="R132" s="386"/>
      <c r="S132" s="386"/>
      <c r="T132" s="386"/>
      <c r="U132" s="386"/>
      <c r="V132" s="380">
        <f>+V130/V$80</f>
        <v>2.3085101056461437E-5</v>
      </c>
      <c r="W132" s="385"/>
      <c r="X132" s="386"/>
      <c r="Y132" s="386"/>
      <c r="Z132" s="386"/>
      <c r="AA132" s="392"/>
      <c r="AB132" s="380">
        <f>+AB130/AB$80</f>
        <v>9.6440052387188956E-6</v>
      </c>
      <c r="AC132" s="92"/>
      <c r="AD132" s="92"/>
      <c r="AE132" s="92"/>
      <c r="AF132" s="92"/>
      <c r="AG132" s="368"/>
      <c r="AH132" s="381">
        <f>AVERAGE(J132:AB132)</f>
        <v>2.3437047254999477E-5</v>
      </c>
      <c r="AI132" s="381">
        <v>2.0000000000000002E-5</v>
      </c>
      <c r="AJ132" s="381">
        <v>2.0000000000000002E-5</v>
      </c>
      <c r="AK132" s="381">
        <v>2.0000000000000002E-5</v>
      </c>
      <c r="AL132" s="381">
        <v>2.0000000000000002E-5</v>
      </c>
    </row>
    <row r="133" spans="2:38" ht="14.5" customHeight="1">
      <c r="D133" s="25"/>
      <c r="F133" s="27"/>
      <c r="G133" s="27"/>
      <c r="H133" s="27"/>
      <c r="I133" s="134"/>
      <c r="J133" s="25"/>
      <c r="L133" s="27"/>
      <c r="M133" s="27"/>
      <c r="N133" s="27"/>
      <c r="O133" s="134"/>
      <c r="P133" s="25"/>
      <c r="R133" s="27"/>
      <c r="S133" s="27"/>
      <c r="T133" s="27"/>
      <c r="U133" s="134"/>
      <c r="V133" s="25"/>
      <c r="X133" s="27"/>
      <c r="Y133" s="27"/>
      <c r="Z133" s="27"/>
      <c r="AB133" s="144"/>
      <c r="AD133" s="27"/>
      <c r="AE133" s="27"/>
      <c r="AF133" s="27"/>
      <c r="AH133" s="144"/>
      <c r="AI133" s="144"/>
      <c r="AJ133" s="144"/>
      <c r="AK133" s="144"/>
      <c r="AL133" s="144"/>
    </row>
    <row r="134" spans="2:38" ht="14.5" customHeight="1">
      <c r="B134" t="s">
        <v>1</v>
      </c>
      <c r="D134" s="233">
        <f>+D123+D130</f>
        <v>18826.401000000002</v>
      </c>
      <c r="F134" s="352"/>
      <c r="G134" s="352"/>
      <c r="H134" s="352"/>
      <c r="I134" s="352"/>
      <c r="J134" s="233">
        <f>J123+J130</f>
        <v>-501428.83799999999</v>
      </c>
      <c r="L134" s="352"/>
      <c r="M134" s="352"/>
      <c r="N134" s="352"/>
      <c r="O134" s="352"/>
      <c r="P134" s="233">
        <f>+P123+P130</f>
        <v>-3438665.1239999998</v>
      </c>
      <c r="R134" s="352"/>
      <c r="S134" s="352"/>
      <c r="T134" s="352"/>
      <c r="U134" s="352"/>
      <c r="V134" s="233">
        <f>+V123+V130</f>
        <v>542244.31900000002</v>
      </c>
      <c r="X134" s="352"/>
      <c r="Y134" s="352"/>
      <c r="Z134" s="352"/>
      <c r="AA134" s="352"/>
      <c r="AB134" s="233">
        <f>+AB123+AB130</f>
        <v>1891081</v>
      </c>
      <c r="AC134" s="352"/>
      <c r="AD134" s="352"/>
      <c r="AE134" s="352"/>
      <c r="AF134" s="352"/>
      <c r="AG134" s="352"/>
      <c r="AH134" s="233">
        <f>+AH123+AH130</f>
        <v>2539871.070448386</v>
      </c>
      <c r="AI134" s="233">
        <f>+AI123+AI130</f>
        <v>3722228.4962769109</v>
      </c>
      <c r="AJ134" s="233">
        <f>+AJ123+AJ130</f>
        <v>5098379.3059983151</v>
      </c>
      <c r="AK134" s="233">
        <f>+AK123+AK130</f>
        <v>7391821.3607258853</v>
      </c>
      <c r="AL134" s="233">
        <f>+AL123+AL130</f>
        <v>10404738.479379818</v>
      </c>
    </row>
    <row r="135" spans="2:38" ht="14.5" customHeight="1">
      <c r="B135" s="10" t="s">
        <v>14</v>
      </c>
      <c r="D135" s="135"/>
      <c r="F135" s="92"/>
      <c r="G135" s="92"/>
      <c r="H135" s="92"/>
      <c r="I135" s="92"/>
      <c r="J135" s="135">
        <f>+J134/D134-1</f>
        <v>-27.634343866360858</v>
      </c>
      <c r="L135" s="92"/>
      <c r="M135" s="92"/>
      <c r="N135" s="92"/>
      <c r="O135" s="92"/>
      <c r="P135" s="135">
        <f>+P134/J134-1</f>
        <v>5.8577330687948983</v>
      </c>
      <c r="R135" s="92"/>
      <c r="S135" s="92"/>
      <c r="T135" s="92"/>
      <c r="U135" s="92"/>
      <c r="V135" s="135">
        <f>+V134/P134-1</f>
        <v>-1.1576903535082355</v>
      </c>
      <c r="X135" s="92"/>
      <c r="Y135" s="92"/>
      <c r="Z135" s="92"/>
      <c r="AA135" s="92"/>
      <c r="AB135" s="135">
        <f>+AB134/V134-1</f>
        <v>2.4875072614638123</v>
      </c>
      <c r="AC135" s="92"/>
      <c r="AD135" s="92"/>
      <c r="AE135" s="92"/>
      <c r="AF135" s="92"/>
      <c r="AG135" s="92"/>
      <c r="AH135" s="135">
        <f>+AH134/AB134-1</f>
        <v>0.34307894291592267</v>
      </c>
      <c r="AI135" s="135">
        <f>+AI134/AH134-1</f>
        <v>0.46551867911145295</v>
      </c>
      <c r="AJ135" s="135">
        <f>+AJ134/AI134-1</f>
        <v>0.3697115346620643</v>
      </c>
      <c r="AK135" s="135">
        <f>+AK134/AJ134-1</f>
        <v>0.44983747129785012</v>
      </c>
      <c r="AL135" s="135">
        <f>+AL134/AK134-1</f>
        <v>0.40760145187789831</v>
      </c>
    </row>
    <row r="136" spans="2:38" ht="14.5" customHeight="1">
      <c r="B136" s="10" t="s">
        <v>15</v>
      </c>
      <c r="D136" s="135">
        <f>+D134/D$80</f>
        <v>5.1551145472941429E-3</v>
      </c>
      <c r="F136" s="92"/>
      <c r="G136" s="92"/>
      <c r="H136" s="92"/>
      <c r="I136" s="92"/>
      <c r="J136" s="135">
        <f>+J134/J$80</f>
        <v>-0.10435044708494208</v>
      </c>
      <c r="L136" s="92"/>
      <c r="M136" s="92"/>
      <c r="N136" s="92"/>
      <c r="O136" s="92"/>
      <c r="P136" s="135">
        <f>+P134/P$80</f>
        <v>-1.0178986217512285</v>
      </c>
      <c r="R136" s="92"/>
      <c r="S136" s="92"/>
      <c r="T136" s="92"/>
      <c r="U136" s="92"/>
      <c r="V136" s="135">
        <f>+V134/V$80</f>
        <v>9.0499243787239017E-2</v>
      </c>
      <c r="X136" s="92"/>
      <c r="Y136" s="92"/>
      <c r="Z136" s="92"/>
      <c r="AA136" s="92"/>
      <c r="AB136" s="135">
        <f t="shared" ref="AB136:AJ136" si="67">+AB134/AB$80</f>
        <v>0.2251554947017502</v>
      </c>
      <c r="AC136" s="92"/>
      <c r="AD136" s="92"/>
      <c r="AE136" s="92"/>
      <c r="AF136" s="92"/>
      <c r="AG136" s="92"/>
      <c r="AH136" s="135">
        <f t="shared" si="67"/>
        <v>0.21452575875221988</v>
      </c>
      <c r="AI136" s="135">
        <f t="shared" si="67"/>
        <v>0.21952232170496491</v>
      </c>
      <c r="AJ136" s="135">
        <f t="shared" si="67"/>
        <v>0.21952232170496488</v>
      </c>
      <c r="AK136" s="135">
        <f t="shared" ref="AK136:AL136" si="68">+AK134/AK$80</f>
        <v>0.22952232170496478</v>
      </c>
      <c r="AL136" s="135">
        <f t="shared" si="68"/>
        <v>0.22952232170496489</v>
      </c>
    </row>
    <row r="137" spans="2:38" ht="14.5" customHeight="1">
      <c r="B137" t="s">
        <v>82</v>
      </c>
      <c r="D137" s="135"/>
      <c r="F137" s="92"/>
      <c r="G137" s="92"/>
      <c r="H137" s="92"/>
      <c r="I137" s="92"/>
      <c r="J137" s="135">
        <f>+(J134-D134)/(J$80-D$80)</f>
        <v>-0.45111938827006021</v>
      </c>
      <c r="L137" s="92"/>
      <c r="M137" s="92"/>
      <c r="N137" s="92"/>
      <c r="O137" s="92"/>
      <c r="P137" s="135">
        <f>+(P134-J134)/(P$80-J$80)</f>
        <v>2.0582733099796151</v>
      </c>
      <c r="R137" s="92"/>
      <c r="S137" s="92"/>
      <c r="T137" s="92"/>
      <c r="U137" s="92"/>
      <c r="V137" s="135">
        <f>+(V134-P134)/(V$80-P$80)</f>
        <v>1.5232100413238951</v>
      </c>
      <c r="X137" s="92"/>
      <c r="Y137" s="92"/>
      <c r="Z137" s="92"/>
      <c r="AA137" s="92"/>
      <c r="AB137" s="135">
        <f>+(AB134-V134)/(AB$80-V$80)</f>
        <v>0.56031100444481363</v>
      </c>
      <c r="AC137" s="92"/>
      <c r="AD137" s="92"/>
      <c r="AE137" s="92"/>
      <c r="AF137" s="92"/>
      <c r="AG137" s="92"/>
      <c r="AH137" s="135">
        <f>+(AH134-AB134)/(AH$80-AB$80)</f>
        <v>0.18857605473218506</v>
      </c>
      <c r="AI137" s="135">
        <f>+(AI134-AH134)/(AI$80-AH$80)</f>
        <v>0.2310841065049799</v>
      </c>
      <c r="AJ137" s="135">
        <f>+(AJ134-AI134)/(AJ$80-AI$80)</f>
        <v>0.21952232170496475</v>
      </c>
      <c r="AK137" s="135">
        <f>+(AK134-AJ134)/(AK$80-AJ$80)</f>
        <v>0.25538417647858525</v>
      </c>
      <c r="AL137" s="135">
        <f>+(AL134-AK134)/(AL$80-AK$80)</f>
        <v>0.22952232170496512</v>
      </c>
    </row>
    <row r="138" spans="2:38" ht="14.5" customHeight="1">
      <c r="B138" s="137"/>
      <c r="D138" s="216"/>
      <c r="F138" s="21"/>
      <c r="G138" s="21"/>
      <c r="H138" s="21"/>
      <c r="I138" s="21"/>
      <c r="J138" s="216"/>
      <c r="L138" s="21"/>
      <c r="M138" s="21"/>
      <c r="N138" s="21"/>
      <c r="O138" s="21"/>
      <c r="P138" s="148"/>
      <c r="R138" s="21"/>
      <c r="S138" s="21"/>
      <c r="T138" s="21"/>
      <c r="U138" s="21"/>
      <c r="V138" s="148"/>
      <c r="X138" s="21"/>
      <c r="Y138" s="21"/>
      <c r="Z138" s="21"/>
      <c r="AA138" s="21"/>
      <c r="AB138" s="148"/>
      <c r="AC138" s="21"/>
      <c r="AD138" s="21"/>
      <c r="AE138" s="21"/>
      <c r="AF138" s="21"/>
      <c r="AG138" s="21"/>
      <c r="AH138" s="144"/>
      <c r="AI138" s="144"/>
      <c r="AJ138" s="144"/>
      <c r="AK138" s="144"/>
      <c r="AL138" s="144"/>
    </row>
    <row r="139" spans="2:38" ht="14.5" customHeight="1">
      <c r="B139" t="s">
        <v>89</v>
      </c>
      <c r="D139" s="341">
        <v>-26143</v>
      </c>
      <c r="F139" s="383"/>
      <c r="G139" s="383"/>
      <c r="H139" s="383"/>
      <c r="I139" s="352"/>
      <c r="J139" s="341">
        <v>-9968</v>
      </c>
      <c r="L139" s="383"/>
      <c r="M139" s="383"/>
      <c r="N139" s="383"/>
      <c r="O139" s="352"/>
      <c r="P139" s="341">
        <v>-171688</v>
      </c>
      <c r="R139" s="383"/>
      <c r="S139" s="383"/>
      <c r="T139" s="383"/>
      <c r="U139" s="352"/>
      <c r="V139" s="341">
        <v>-437599</v>
      </c>
      <c r="X139" s="383"/>
      <c r="Y139" s="383"/>
      <c r="Z139" s="383"/>
      <c r="AA139" s="383"/>
      <c r="AB139" s="341">
        <v>-24000</v>
      </c>
      <c r="AC139" s="351"/>
      <c r="AD139" s="383"/>
      <c r="AE139" s="383"/>
      <c r="AF139" s="383"/>
      <c r="AG139" s="383"/>
      <c r="AH139" s="87">
        <f>+AB139</f>
        <v>-24000</v>
      </c>
      <c r="AI139" s="87">
        <f t="shared" ref="AI139:AL139" si="69">+AH139</f>
        <v>-24000</v>
      </c>
      <c r="AJ139" s="87">
        <f t="shared" si="69"/>
        <v>-24000</v>
      </c>
      <c r="AK139" s="87">
        <f t="shared" si="69"/>
        <v>-24000</v>
      </c>
      <c r="AL139" s="87">
        <f t="shared" si="69"/>
        <v>-24000</v>
      </c>
    </row>
    <row r="140" spans="2:38" ht="14.5" customHeight="1">
      <c r="B140" t="s">
        <v>90</v>
      </c>
      <c r="D140" s="174">
        <v>66793</v>
      </c>
      <c r="F140" s="383"/>
      <c r="G140" s="383"/>
      <c r="H140" s="383"/>
      <c r="I140" s="352"/>
      <c r="J140" s="174">
        <v>85902</v>
      </c>
      <c r="L140" s="383"/>
      <c r="M140" s="383"/>
      <c r="N140" s="383"/>
      <c r="O140" s="352"/>
      <c r="P140" s="174">
        <v>27177</v>
      </c>
      <c r="R140" s="383"/>
      <c r="S140" s="383"/>
      <c r="T140" s="383"/>
      <c r="U140" s="352"/>
      <c r="V140" s="174">
        <v>12700</v>
      </c>
      <c r="X140" s="383"/>
      <c r="Y140" s="383"/>
      <c r="Z140" s="383"/>
      <c r="AA140" s="383"/>
      <c r="AB140" s="175">
        <v>186000</v>
      </c>
      <c r="AC140" s="351"/>
      <c r="AD140" s="383"/>
      <c r="AE140" s="383"/>
      <c r="AF140" s="383"/>
      <c r="AG140" s="383"/>
      <c r="AH140" s="87">
        <v>0</v>
      </c>
      <c r="AI140" s="87">
        <v>0</v>
      </c>
      <c r="AJ140" s="87">
        <v>0</v>
      </c>
      <c r="AK140" s="87">
        <v>0</v>
      </c>
      <c r="AL140" s="87">
        <v>0</v>
      </c>
    </row>
    <row r="141" spans="2:38" ht="14.5" customHeight="1">
      <c r="B141" t="s">
        <v>93</v>
      </c>
      <c r="D141" s="174">
        <v>0</v>
      </c>
      <c r="F141" s="383"/>
      <c r="G141" s="383"/>
      <c r="H141" s="383"/>
      <c r="I141" s="352"/>
      <c r="J141" s="174">
        <v>0</v>
      </c>
      <c r="L141" s="383"/>
      <c r="M141" s="383"/>
      <c r="N141" s="383"/>
      <c r="O141" s="352"/>
      <c r="P141" s="174">
        <v>0</v>
      </c>
      <c r="R141" s="383"/>
      <c r="S141" s="383"/>
      <c r="T141" s="383"/>
      <c r="U141" s="352"/>
      <c r="V141" s="174">
        <v>0</v>
      </c>
      <c r="X141" s="383"/>
      <c r="Y141" s="383"/>
      <c r="Z141" s="383"/>
      <c r="AA141" s="383"/>
      <c r="AB141" s="175">
        <f t="shared" ref="AB141" si="70">+SUM(X141:AA141)</f>
        <v>0</v>
      </c>
      <c r="AC141" s="351"/>
      <c r="AD141" s="383"/>
      <c r="AE141" s="383"/>
      <c r="AF141" s="383"/>
      <c r="AG141" s="383"/>
      <c r="AH141" s="87">
        <f>+AB141</f>
        <v>0</v>
      </c>
      <c r="AI141" s="87">
        <f t="shared" ref="AI141:AL141" si="71">+AH141</f>
        <v>0</v>
      </c>
      <c r="AJ141" s="87">
        <f t="shared" si="71"/>
        <v>0</v>
      </c>
      <c r="AK141" s="87">
        <f t="shared" si="71"/>
        <v>0</v>
      </c>
      <c r="AL141" s="87">
        <f t="shared" si="71"/>
        <v>0</v>
      </c>
    </row>
    <row r="142" spans="2:38" s="2" customFormat="1" ht="14.5" customHeight="1">
      <c r="B142" s="2" t="s">
        <v>102</v>
      </c>
      <c r="D142" s="173">
        <f t="shared" ref="D142:AJ142" si="72">+D139+D140+D141</f>
        <v>40650</v>
      </c>
      <c r="F142" s="172"/>
      <c r="G142" s="172"/>
      <c r="H142" s="172"/>
      <c r="I142" s="172"/>
      <c r="J142" s="173">
        <f t="shared" si="72"/>
        <v>75934</v>
      </c>
      <c r="L142" s="172"/>
      <c r="M142" s="172"/>
      <c r="N142" s="172"/>
      <c r="O142" s="172"/>
      <c r="P142" s="173">
        <f t="shared" si="72"/>
        <v>-144511</v>
      </c>
      <c r="R142" s="172"/>
      <c r="S142" s="172"/>
      <c r="T142" s="172"/>
      <c r="U142" s="172"/>
      <c r="V142" s="173">
        <f t="shared" si="72"/>
        <v>-424899</v>
      </c>
      <c r="X142" s="172"/>
      <c r="Y142" s="172"/>
      <c r="Z142" s="172"/>
      <c r="AA142" s="172"/>
      <c r="AB142" s="173">
        <f t="shared" si="72"/>
        <v>162000</v>
      </c>
      <c r="AC142" s="172"/>
      <c r="AD142" s="172"/>
      <c r="AE142" s="172"/>
      <c r="AF142" s="172"/>
      <c r="AG142" s="172"/>
      <c r="AH142" s="173">
        <f t="shared" si="72"/>
        <v>-24000</v>
      </c>
      <c r="AI142" s="173">
        <f t="shared" si="72"/>
        <v>-24000</v>
      </c>
      <c r="AJ142" s="173">
        <f t="shared" si="72"/>
        <v>-24000</v>
      </c>
      <c r="AK142" s="173">
        <f t="shared" ref="AK142:AL142" si="73">+AK139+AK140+AK141</f>
        <v>-24000</v>
      </c>
      <c r="AL142" s="173">
        <f t="shared" si="73"/>
        <v>-24000</v>
      </c>
    </row>
    <row r="143" spans="2:38" ht="14.5" customHeight="1">
      <c r="D143" s="25"/>
      <c r="F143" s="27"/>
      <c r="G143" s="27"/>
      <c r="H143" s="27"/>
      <c r="I143" s="134"/>
      <c r="J143" s="25"/>
      <c r="L143" s="171"/>
      <c r="M143" s="171"/>
      <c r="N143" s="171"/>
      <c r="O143" s="171"/>
      <c r="P143" s="178"/>
      <c r="R143" s="171"/>
      <c r="S143" s="171"/>
      <c r="T143" s="171"/>
      <c r="U143" s="171"/>
      <c r="V143" s="178"/>
      <c r="X143" s="171"/>
      <c r="Y143" s="171"/>
      <c r="Z143" s="171"/>
      <c r="AA143" s="171"/>
      <c r="AB143" s="178"/>
      <c r="AC143" s="171"/>
      <c r="AD143" s="171"/>
      <c r="AE143" s="171"/>
      <c r="AF143" s="171"/>
      <c r="AG143" s="171"/>
      <c r="AH143" s="178"/>
      <c r="AI143" s="178"/>
      <c r="AJ143" s="178"/>
      <c r="AK143" s="178"/>
      <c r="AL143" s="178"/>
    </row>
    <row r="144" spans="2:38" s="2" customFormat="1" ht="14.5" customHeight="1">
      <c r="B144" s="2" t="s">
        <v>76</v>
      </c>
      <c r="D144" s="178">
        <f>+D123+D142</f>
        <v>59394</v>
      </c>
      <c r="F144" s="171"/>
      <c r="G144" s="171"/>
      <c r="H144" s="171"/>
      <c r="I144" s="171"/>
      <c r="J144" s="178">
        <f>+J123+J142</f>
        <v>-425609</v>
      </c>
      <c r="L144" s="171"/>
      <c r="M144" s="171"/>
      <c r="N144" s="171"/>
      <c r="O144" s="171"/>
      <c r="P144" s="178">
        <f>+P123+P142</f>
        <v>-3583302</v>
      </c>
      <c r="R144" s="171"/>
      <c r="S144" s="171"/>
      <c r="T144" s="171"/>
      <c r="U144" s="171"/>
      <c r="V144" s="178">
        <f>+V123+V142</f>
        <v>117207</v>
      </c>
      <c r="X144" s="171"/>
      <c r="Y144" s="171"/>
      <c r="Z144" s="171"/>
      <c r="AA144" s="171"/>
      <c r="AB144" s="178">
        <f>+AB123+AB142</f>
        <v>2053000</v>
      </c>
      <c r="AC144" s="171"/>
      <c r="AD144" s="171"/>
      <c r="AE144" s="171"/>
      <c r="AF144" s="171"/>
      <c r="AG144" s="171"/>
      <c r="AH144" s="178">
        <f>+AH123+AH142</f>
        <v>2515593.5882539591</v>
      </c>
      <c r="AI144" s="178">
        <f>+AI123+AI142</f>
        <v>3697889.3755471949</v>
      </c>
      <c r="AJ144" s="178">
        <f>+AJ123+AJ142</f>
        <v>5073914.8084231801</v>
      </c>
      <c r="AK144" s="178">
        <f>+AK123+AK142</f>
        <v>7367177.2559341751</v>
      </c>
      <c r="AL144" s="178">
        <f>+AL123+AL142</f>
        <v>10379831.836539846</v>
      </c>
    </row>
    <row r="145" spans="1:38" s="2" customFormat="1" ht="14.5" customHeight="1">
      <c r="C145"/>
      <c r="D145" s="217"/>
      <c r="E145"/>
      <c r="F145" s="134"/>
      <c r="G145" s="134"/>
      <c r="H145" s="134"/>
      <c r="I145" s="134"/>
      <c r="J145" s="217"/>
      <c r="K145"/>
      <c r="L145" s="134"/>
      <c r="M145" s="134"/>
      <c r="N145" s="134"/>
      <c r="O145" s="134"/>
      <c r="P145" s="217"/>
      <c r="Q145"/>
      <c r="R145" s="134"/>
      <c r="S145" s="134"/>
      <c r="T145" s="134"/>
      <c r="U145" s="134"/>
      <c r="V145" s="217"/>
      <c r="W145"/>
      <c r="X145" s="134"/>
      <c r="Y145" s="134"/>
      <c r="Z145" s="134"/>
      <c r="AA145"/>
      <c r="AB145" s="144"/>
      <c r="AC145"/>
      <c r="AD145" s="134"/>
      <c r="AE145" s="134"/>
      <c r="AF145" s="134"/>
      <c r="AG145"/>
      <c r="AH145" s="144"/>
      <c r="AI145" s="144"/>
      <c r="AJ145" s="144"/>
      <c r="AK145" s="144"/>
      <c r="AL145" s="144"/>
    </row>
    <row r="146" spans="1:38" ht="14.5" customHeight="1">
      <c r="B146" t="s">
        <v>91</v>
      </c>
      <c r="D146" s="174">
        <v>-63893</v>
      </c>
      <c r="F146" s="383"/>
      <c r="G146" s="383"/>
      <c r="H146" s="383"/>
      <c r="I146" s="352"/>
      <c r="J146" s="174">
        <v>-262636</v>
      </c>
      <c r="L146" s="383"/>
      <c r="M146" s="383"/>
      <c r="N146" s="383"/>
      <c r="O146" s="352"/>
      <c r="P146" s="174">
        <v>97000</v>
      </c>
      <c r="R146" s="383"/>
      <c r="S146" s="383"/>
      <c r="T146" s="383"/>
      <c r="U146" s="352"/>
      <c r="V146" s="174">
        <v>-52000</v>
      </c>
      <c r="X146" s="383"/>
      <c r="Y146" s="383"/>
      <c r="Z146" s="383"/>
      <c r="AA146" s="393"/>
      <c r="AB146" s="175">
        <v>-96000</v>
      </c>
      <c r="AC146" s="351"/>
      <c r="AD146" s="383"/>
      <c r="AE146" s="383"/>
      <c r="AF146" s="383"/>
      <c r="AG146" s="393"/>
      <c r="AH146" s="179">
        <f>-AH144*AH147</f>
        <v>-117631.26374689725</v>
      </c>
      <c r="AI146" s="179">
        <f>-AI144*AI147</f>
        <v>-172916.40528618154</v>
      </c>
      <c r="AJ146" s="179">
        <f>-AJ144*AJ147</f>
        <v>-237260.5073592914</v>
      </c>
      <c r="AK146" s="179">
        <f>-AK144*AK147</f>
        <v>-344495.38069638616</v>
      </c>
      <c r="AL146" s="179">
        <f>-AL144*AL147</f>
        <v>-485369.63288252562</v>
      </c>
    </row>
    <row r="147" spans="1:38" s="2" customFormat="1" ht="14.5" customHeight="1">
      <c r="A147" s="32"/>
      <c r="B147" s="161" t="s">
        <v>103</v>
      </c>
      <c r="C147" s="21"/>
      <c r="D147" s="296">
        <f>+D146/-D144</f>
        <v>1.0757483920934774</v>
      </c>
      <c r="E147" s="21"/>
      <c r="F147" s="353"/>
      <c r="G147" s="353"/>
      <c r="H147" s="353"/>
      <c r="I147" s="353"/>
      <c r="J147" s="296">
        <f>+J146/-J144</f>
        <v>-0.6170828154479816</v>
      </c>
      <c r="K147" s="21"/>
      <c r="L147" s="353"/>
      <c r="M147" s="353"/>
      <c r="N147" s="353"/>
      <c r="O147" s="353"/>
      <c r="P147" s="296">
        <f>+P146/-P144</f>
        <v>2.7070004147013008E-2</v>
      </c>
      <c r="Q147" s="21"/>
      <c r="R147" s="353"/>
      <c r="S147" s="353"/>
      <c r="T147" s="353"/>
      <c r="U147" s="353"/>
      <c r="V147" s="296">
        <f>+V146/-V144</f>
        <v>0.44365950839113705</v>
      </c>
      <c r="W147" s="21"/>
      <c r="X147" s="353"/>
      <c r="Y147" s="353"/>
      <c r="Z147" s="353"/>
      <c r="AA147" s="394"/>
      <c r="AB147" s="296">
        <f>+AB146/-AB144</f>
        <v>4.6760837798343884E-2</v>
      </c>
      <c r="AC147" s="353"/>
      <c r="AD147" s="353"/>
      <c r="AE147" s="353"/>
      <c r="AF147" s="353"/>
      <c r="AG147" s="394"/>
      <c r="AH147" s="297">
        <f>$AB$147</f>
        <v>4.6760837798343884E-2</v>
      </c>
      <c r="AI147" s="297">
        <f t="shared" ref="AI147:AL147" si="74">$AB$147</f>
        <v>4.6760837798343884E-2</v>
      </c>
      <c r="AJ147" s="297">
        <f t="shared" si="74"/>
        <v>4.6760837798343884E-2</v>
      </c>
      <c r="AK147" s="297">
        <f t="shared" si="74"/>
        <v>4.6760837798343884E-2</v>
      </c>
      <c r="AL147" s="297">
        <f t="shared" si="74"/>
        <v>4.6760837798343884E-2</v>
      </c>
    </row>
    <row r="148" spans="1:38" ht="14.5" customHeight="1">
      <c r="D148" s="25"/>
      <c r="F148" s="27"/>
      <c r="G148" s="27"/>
      <c r="H148" s="27"/>
      <c r="I148" s="134"/>
      <c r="J148" s="25"/>
      <c r="L148" s="171"/>
      <c r="M148" s="171"/>
      <c r="N148" s="171"/>
      <c r="O148" s="171"/>
      <c r="P148" s="178"/>
      <c r="R148" s="171"/>
      <c r="S148" s="171"/>
      <c r="T148" s="171"/>
      <c r="U148" s="171"/>
      <c r="V148" s="178"/>
      <c r="X148" s="171"/>
      <c r="Y148" s="171"/>
      <c r="Z148" s="171"/>
      <c r="AA148" s="171"/>
      <c r="AB148" s="178"/>
      <c r="AC148" s="171"/>
      <c r="AD148" s="171"/>
      <c r="AE148" s="171"/>
      <c r="AF148" s="171"/>
      <c r="AG148" s="171"/>
      <c r="AH148" s="178"/>
      <c r="AI148" s="178"/>
      <c r="AJ148" s="178"/>
      <c r="AK148" s="178"/>
      <c r="AL148" s="178"/>
    </row>
    <row r="149" spans="1:38" s="2" customFormat="1" ht="14.5" customHeight="1">
      <c r="B149" s="2" t="s">
        <v>16</v>
      </c>
      <c r="D149" s="178">
        <f>+D144+D146</f>
        <v>-4499</v>
      </c>
      <c r="F149" s="171"/>
      <c r="G149" s="171"/>
      <c r="H149" s="171"/>
      <c r="I149" s="171"/>
      <c r="J149" s="178">
        <f>+J144+J146</f>
        <v>-688245</v>
      </c>
      <c r="L149" s="171"/>
      <c r="M149" s="171"/>
      <c r="N149" s="171"/>
      <c r="O149" s="171"/>
      <c r="P149" s="178">
        <f>+P144+P146</f>
        <v>-3486302</v>
      </c>
      <c r="R149" s="171"/>
      <c r="S149" s="171"/>
      <c r="T149" s="171"/>
      <c r="U149" s="171"/>
      <c r="V149" s="178">
        <f>+V144+V146</f>
        <v>65207</v>
      </c>
      <c r="X149" s="171"/>
      <c r="Y149" s="171"/>
      <c r="Z149" s="171"/>
      <c r="AA149" s="171"/>
      <c r="AB149" s="178">
        <f>+AB144+AB146</f>
        <v>1957000</v>
      </c>
      <c r="AC149" s="171"/>
      <c r="AD149" s="171"/>
      <c r="AE149" s="171"/>
      <c r="AF149" s="171"/>
      <c r="AG149" s="171"/>
      <c r="AH149" s="178">
        <f>+AH144+AH146</f>
        <v>2397962.3245070619</v>
      </c>
      <c r="AI149" s="178">
        <f>+AI144+AI146</f>
        <v>3524972.9702610131</v>
      </c>
      <c r="AJ149" s="178">
        <f>+AJ144+AJ146</f>
        <v>4836654.3010638887</v>
      </c>
      <c r="AK149" s="178">
        <f>+AK144+AK146</f>
        <v>7022681.875237789</v>
      </c>
      <c r="AL149" s="178">
        <f>+AL144+AL146</f>
        <v>9894462.2036573198</v>
      </c>
    </row>
    <row r="150" spans="1:38" ht="14.5" customHeight="1">
      <c r="B150" s="10" t="s">
        <v>14</v>
      </c>
      <c r="D150" s="135" t="e">
        <f>+D149/#REF!-1</f>
        <v>#REF!</v>
      </c>
      <c r="F150" s="92"/>
      <c r="G150" s="92"/>
      <c r="H150" s="92"/>
      <c r="I150" s="92"/>
      <c r="J150" s="135">
        <f>+J149/D149-1</f>
        <v>151.9773282951767</v>
      </c>
      <c r="L150" s="92"/>
      <c r="M150" s="92"/>
      <c r="N150" s="92"/>
      <c r="O150" s="92"/>
      <c r="P150" s="135">
        <f>+P149/J149-1</f>
        <v>4.0654955720709918</v>
      </c>
      <c r="R150" s="92"/>
      <c r="S150" s="92"/>
      <c r="T150" s="92"/>
      <c r="U150" s="92"/>
      <c r="V150" s="135">
        <f>+V149/P149-1</f>
        <v>-1.0187037726507915</v>
      </c>
      <c r="X150" s="92"/>
      <c r="Y150" s="92"/>
      <c r="Z150" s="92"/>
      <c r="AA150" s="92"/>
      <c r="AB150" s="135">
        <f>+AB149/V149-1</f>
        <v>29.012115263698682</v>
      </c>
      <c r="AC150" s="92"/>
      <c r="AD150" s="92"/>
      <c r="AE150" s="92"/>
      <c r="AF150" s="92"/>
      <c r="AG150" s="92"/>
      <c r="AH150" s="135">
        <f>+AH149/AB149-1</f>
        <v>0.22532566403017973</v>
      </c>
      <c r="AI150" s="135">
        <f>+AI149/AH149-1</f>
        <v>0.46998680264320902</v>
      </c>
      <c r="AJ150" s="135">
        <f>+AJ149/AI149-1</f>
        <v>0.37211103230268172</v>
      </c>
      <c r="AK150" s="135">
        <f>+AK149/AJ149-1</f>
        <v>0.45197101924217598</v>
      </c>
      <c r="AL150" s="135">
        <f>+AL149/AK149-1</f>
        <v>0.40892929217618756</v>
      </c>
    </row>
    <row r="151" spans="1:38" ht="14.5" customHeight="1">
      <c r="B151" s="10" t="s">
        <v>15</v>
      </c>
      <c r="D151" s="135">
        <f>+D149/D$80</f>
        <v>-1.2319327708082044E-3</v>
      </c>
      <c r="F151" s="92"/>
      <c r="G151" s="92"/>
      <c r="H151" s="92"/>
      <c r="I151" s="92"/>
      <c r="J151" s="135">
        <f>+J149/J$80</f>
        <v>-0.1432280475539302</v>
      </c>
      <c r="L151" s="92"/>
      <c r="M151" s="92"/>
      <c r="N151" s="92"/>
      <c r="O151" s="92"/>
      <c r="P151" s="135">
        <f>+P149/P$80</f>
        <v>-1.0319998815937481</v>
      </c>
      <c r="R151" s="92"/>
      <c r="S151" s="92"/>
      <c r="T151" s="92"/>
      <c r="U151" s="92"/>
      <c r="V151" s="135">
        <f>+V149/V$80</f>
        <v>1.0882887995059832E-2</v>
      </c>
      <c r="X151" s="92"/>
      <c r="Y151" s="92"/>
      <c r="Z151" s="92"/>
      <c r="AA151" s="92"/>
      <c r="AB151" s="135">
        <f>+AB149/AB$80</f>
        <v>0.23300392903917133</v>
      </c>
      <c r="AC151" s="92"/>
      <c r="AD151" s="92"/>
      <c r="AE151" s="92"/>
      <c r="AF151" s="92"/>
      <c r="AG151" s="92"/>
      <c r="AH151" s="135">
        <f>+AH149/AH$80</f>
        <v>0.20253968522634436</v>
      </c>
      <c r="AI151" s="135">
        <f>+AI149/AI$80</f>
        <v>0.20788897058655401</v>
      </c>
      <c r="AJ151" s="135">
        <f>+AJ149/AJ$80</f>
        <v>0.20825315609701323</v>
      </c>
      <c r="AK151" s="135">
        <f t="shared" ref="AK151:AL151" si="75">+AK149/AK$80</f>
        <v>0.21806022764079169</v>
      </c>
      <c r="AL151" s="135">
        <f t="shared" si="75"/>
        <v>0.21826593157590019</v>
      </c>
    </row>
    <row r="152" spans="1:38" s="2" customFormat="1" ht="14.5" customHeight="1">
      <c r="C152"/>
      <c r="D152" s="217"/>
      <c r="E152"/>
      <c r="F152" s="134"/>
      <c r="G152" s="134"/>
      <c r="H152" s="134"/>
      <c r="I152" s="134"/>
      <c r="J152" s="217"/>
      <c r="K152"/>
      <c r="L152" s="134"/>
      <c r="M152" s="134"/>
      <c r="N152" s="134"/>
      <c r="O152" s="134"/>
      <c r="P152" s="217"/>
      <c r="Q152"/>
      <c r="R152" s="134"/>
      <c r="S152" s="134"/>
      <c r="T152" s="134"/>
      <c r="U152" s="134"/>
      <c r="V152" s="217"/>
      <c r="W152"/>
      <c r="X152" s="134"/>
      <c r="Y152" s="134"/>
      <c r="Z152" s="134"/>
      <c r="AA152"/>
      <c r="AB152" s="144"/>
      <c r="AC152"/>
      <c r="AD152" s="134"/>
      <c r="AE152" s="134"/>
      <c r="AF152" s="134"/>
      <c r="AG152"/>
      <c r="AH152" s="144"/>
      <c r="AI152" s="144"/>
      <c r="AJ152" s="144"/>
      <c r="AK152" s="144"/>
      <c r="AL152" s="144"/>
    </row>
    <row r="153" spans="1:38" s="2" customFormat="1" ht="14.5" customHeight="1">
      <c r="B153" s="2" t="s">
        <v>153</v>
      </c>
      <c r="D153" s="193">
        <v>256326</v>
      </c>
      <c r="F153" s="387"/>
      <c r="G153" s="387"/>
      <c r="H153" s="387"/>
      <c r="I153" s="387"/>
      <c r="J153" s="193">
        <v>260556</v>
      </c>
      <c r="L153" s="387"/>
      <c r="M153" s="387"/>
      <c r="N153" s="387"/>
      <c r="O153" s="387"/>
      <c r="P153" s="193">
        <v>284000</v>
      </c>
      <c r="R153" s="387"/>
      <c r="S153" s="387"/>
      <c r="T153" s="387"/>
      <c r="U153" s="387"/>
      <c r="V153" s="193">
        <v>616000</v>
      </c>
      <c r="X153" s="387"/>
      <c r="Y153" s="387"/>
      <c r="Z153" s="387"/>
      <c r="AA153" s="395"/>
      <c r="AB153" s="194">
        <v>637000</v>
      </c>
      <c r="AC153" s="349"/>
      <c r="AD153" s="387"/>
      <c r="AE153" s="387"/>
      <c r="AF153" s="387"/>
      <c r="AG153" s="395"/>
      <c r="AH153" s="194">
        <f t="shared" ref="AH153:AJ153" si="76">+AH156</f>
        <v>686800</v>
      </c>
      <c r="AI153" s="194">
        <f t="shared" si="76"/>
        <v>693668</v>
      </c>
      <c r="AJ153" s="194">
        <f t="shared" si="76"/>
        <v>700604.68</v>
      </c>
      <c r="AK153" s="194">
        <f t="shared" ref="AK153:AL153" si="77">+AK156</f>
        <v>707610.72680000006</v>
      </c>
      <c r="AL153" s="194">
        <f t="shared" si="77"/>
        <v>714686.83406800008</v>
      </c>
    </row>
    <row r="154" spans="1:38" s="2" customFormat="1" ht="14.5" customHeight="1">
      <c r="B154" s="10" t="s">
        <v>14</v>
      </c>
      <c r="C154"/>
      <c r="D154" s="148"/>
      <c r="E154"/>
      <c r="F154" s="213"/>
      <c r="G154" s="214"/>
      <c r="H154" s="214"/>
      <c r="I154" s="214"/>
      <c r="J154" s="148">
        <f t="shared" ref="J154" si="78">+J153/D153-1</f>
        <v>1.6502422696097918E-2</v>
      </c>
      <c r="K154"/>
      <c r="L154" s="213"/>
      <c r="M154" s="214"/>
      <c r="N154" s="214"/>
      <c r="O154" s="214"/>
      <c r="P154" s="148">
        <f t="shared" ref="P154" si="79">+P153/J153-1</f>
        <v>8.9976818802867786E-2</v>
      </c>
      <c r="Q154"/>
      <c r="R154" s="213"/>
      <c r="S154" s="214"/>
      <c r="T154" s="214"/>
      <c r="U154" s="214"/>
      <c r="V154" s="148">
        <f t="shared" ref="V154" si="80">+V153/P153-1</f>
        <v>1.1690140845070425</v>
      </c>
      <c r="W154"/>
      <c r="X154" s="213"/>
      <c r="Y154" s="214"/>
      <c r="Z154" s="214"/>
      <c r="AA154" s="214"/>
      <c r="AB154" s="148">
        <f t="shared" ref="AB154" si="81">+AB153/V153-1</f>
        <v>3.4090909090909172E-2</v>
      </c>
      <c r="AC154" s="21"/>
      <c r="AD154" s="213"/>
      <c r="AE154" s="214"/>
      <c r="AF154" s="214"/>
      <c r="AG154" s="214"/>
      <c r="AH154" s="148">
        <f>+AH153/AB153-1</f>
        <v>7.817896389324952E-2</v>
      </c>
      <c r="AI154" s="148">
        <f t="shared" ref="AI154" si="82">+AI153/AH153-1</f>
        <v>1.0000000000000009E-2</v>
      </c>
      <c r="AJ154" s="148">
        <f t="shared" ref="AJ154:AL154" si="83">+AJ153/AI153-1</f>
        <v>1.0000000000000009E-2</v>
      </c>
      <c r="AK154" s="148">
        <f t="shared" si="83"/>
        <v>1.0000000000000009E-2</v>
      </c>
      <c r="AL154" s="148">
        <f t="shared" si="83"/>
        <v>1.0000000000000009E-2</v>
      </c>
    </row>
    <row r="155" spans="1:38" ht="14.5" customHeight="1">
      <c r="B155" s="10" t="s">
        <v>104</v>
      </c>
      <c r="D155" s="211"/>
      <c r="F155" s="350"/>
      <c r="G155" s="350"/>
      <c r="H155" s="350"/>
      <c r="I155" s="350"/>
      <c r="J155" s="211">
        <f>+J153-D153</f>
        <v>4230</v>
      </c>
      <c r="L155" s="350"/>
      <c r="M155" s="350"/>
      <c r="N155" s="350"/>
      <c r="O155" s="350"/>
      <c r="P155" s="211">
        <f>+P153-J153</f>
        <v>23444</v>
      </c>
      <c r="R155" s="350"/>
      <c r="S155" s="350"/>
      <c r="T155" s="350"/>
      <c r="U155" s="350"/>
      <c r="V155" s="211">
        <f>+V153-P153</f>
        <v>332000</v>
      </c>
      <c r="X155" s="350"/>
      <c r="Y155" s="350"/>
      <c r="Z155" s="350"/>
      <c r="AA155" s="350"/>
      <c r="AB155" s="211">
        <f>+AB153-V153</f>
        <v>21000</v>
      </c>
      <c r="AC155" s="350"/>
      <c r="AD155" s="350"/>
      <c r="AE155" s="350"/>
      <c r="AF155" s="350"/>
      <c r="AG155" s="350"/>
      <c r="AH155" s="211">
        <f>+AH153-AB153</f>
        <v>49800</v>
      </c>
      <c r="AI155" s="211">
        <f t="shared" ref="AI155" si="84">+AI153-AH153</f>
        <v>6868</v>
      </c>
      <c r="AJ155" s="211">
        <f t="shared" ref="AJ155:AL155" si="85">+AJ153-AI153</f>
        <v>6936.6800000000512</v>
      </c>
      <c r="AK155" s="211">
        <f t="shared" si="85"/>
        <v>7006.046800000011</v>
      </c>
      <c r="AL155" s="211">
        <f t="shared" si="85"/>
        <v>7076.1072680000216</v>
      </c>
    </row>
    <row r="156" spans="1:38" s="2" customFormat="1" ht="14.5" customHeight="1">
      <c r="B156" s="2" t="s">
        <v>0</v>
      </c>
      <c r="D156" s="193">
        <v>256326</v>
      </c>
      <c r="F156" s="387"/>
      <c r="G156" s="387"/>
      <c r="H156" s="387"/>
      <c r="I156" s="387"/>
      <c r="J156" s="193">
        <v>260556</v>
      </c>
      <c r="L156" s="387"/>
      <c r="M156" s="387"/>
      <c r="N156" s="387"/>
      <c r="O156" s="387"/>
      <c r="P156" s="193">
        <v>284000</v>
      </c>
      <c r="R156" s="387"/>
      <c r="S156" s="387"/>
      <c r="T156" s="387"/>
      <c r="U156" s="387"/>
      <c r="V156" s="193">
        <v>616000</v>
      </c>
      <c r="X156" s="387"/>
      <c r="Y156" s="387"/>
      <c r="Z156" s="387"/>
      <c r="AA156" s="395"/>
      <c r="AB156" s="194">
        <v>680000</v>
      </c>
      <c r="AC156" s="349"/>
      <c r="AD156" s="387"/>
      <c r="AE156" s="387"/>
      <c r="AF156" s="387"/>
      <c r="AG156" s="395"/>
      <c r="AH156" s="194">
        <f>AB156*(1+AH157)</f>
        <v>686800</v>
      </c>
      <c r="AI156" s="194">
        <f t="shared" ref="AI156:AL156" si="86">AH156*(1+AI157)</f>
        <v>693668</v>
      </c>
      <c r="AJ156" s="194">
        <f t="shared" si="86"/>
        <v>700604.68</v>
      </c>
      <c r="AK156" s="194">
        <f t="shared" si="86"/>
        <v>707610.72680000006</v>
      </c>
      <c r="AL156" s="194">
        <f t="shared" si="86"/>
        <v>714686.83406800008</v>
      </c>
    </row>
    <row r="157" spans="1:38" s="2" customFormat="1" ht="14.5" customHeight="1">
      <c r="B157" s="10" t="s">
        <v>14</v>
      </c>
      <c r="C157"/>
      <c r="D157" s="148"/>
      <c r="E157"/>
      <c r="F157" s="213"/>
      <c r="G157" s="214"/>
      <c r="H157" s="214"/>
      <c r="I157" s="214"/>
      <c r="J157" s="148">
        <f t="shared" ref="J157" si="87">+J156/D156-1</f>
        <v>1.6502422696097918E-2</v>
      </c>
      <c r="K157"/>
      <c r="L157" s="213"/>
      <c r="M157" s="214"/>
      <c r="N157" s="214"/>
      <c r="O157" s="214"/>
      <c r="P157" s="148">
        <f t="shared" ref="P157" si="88">+P156/J156-1</f>
        <v>8.9976818802867786E-2</v>
      </c>
      <c r="Q157"/>
      <c r="R157" s="213"/>
      <c r="S157" s="214"/>
      <c r="T157" s="214"/>
      <c r="U157" s="214"/>
      <c r="V157" s="148">
        <f t="shared" ref="V157" si="89">+V156/P156-1</f>
        <v>1.1690140845070425</v>
      </c>
      <c r="W157"/>
      <c r="X157" s="224"/>
      <c r="Y157" s="223"/>
      <c r="Z157" s="223"/>
      <c r="AA157" s="396"/>
      <c r="AB157" s="222">
        <f t="shared" ref="AB157" si="90">+AB156/V156-1</f>
        <v>0.10389610389610393</v>
      </c>
      <c r="AC157" s="348"/>
      <c r="AD157" s="224"/>
      <c r="AE157" s="223"/>
      <c r="AF157" s="223"/>
      <c r="AG157" s="396"/>
      <c r="AH157" s="221">
        <v>0.01</v>
      </c>
      <c r="AI157" s="221">
        <v>0.01</v>
      </c>
      <c r="AJ157" s="221">
        <v>0.01</v>
      </c>
      <c r="AK157" s="221">
        <v>0.01</v>
      </c>
      <c r="AL157" s="221">
        <v>0.01</v>
      </c>
    </row>
    <row r="158" spans="1:38" ht="14.5" customHeight="1">
      <c r="B158" s="10" t="s">
        <v>104</v>
      </c>
      <c r="D158" s="211"/>
      <c r="F158" s="350"/>
      <c r="G158" s="350"/>
      <c r="H158" s="350"/>
      <c r="I158" s="350"/>
      <c r="J158" s="211">
        <f>+J156-D156</f>
        <v>4230</v>
      </c>
      <c r="L158" s="350"/>
      <c r="M158" s="350"/>
      <c r="N158" s="350"/>
      <c r="O158" s="350"/>
      <c r="P158" s="211">
        <f>+P156-J156</f>
        <v>23444</v>
      </c>
      <c r="R158" s="350"/>
      <c r="S158" s="350"/>
      <c r="T158" s="350"/>
      <c r="U158" s="350"/>
      <c r="V158" s="211">
        <f>+V156-P156</f>
        <v>332000</v>
      </c>
      <c r="X158" s="350"/>
      <c r="Y158" s="350"/>
      <c r="Z158" s="350"/>
      <c r="AA158" s="350"/>
      <c r="AB158" s="211">
        <f>+AB156-V156</f>
        <v>64000</v>
      </c>
      <c r="AC158" s="350"/>
      <c r="AD158" s="350"/>
      <c r="AE158" s="350"/>
      <c r="AF158" s="350"/>
      <c r="AG158" s="350"/>
      <c r="AH158" s="211">
        <f>+AH156-AB156</f>
        <v>6800</v>
      </c>
      <c r="AI158" s="211">
        <f t="shared" ref="AI158:AL158" si="91">+AI156-AH156</f>
        <v>6868</v>
      </c>
      <c r="AJ158" s="211">
        <f t="shared" si="91"/>
        <v>6936.6800000000512</v>
      </c>
      <c r="AK158" s="211">
        <f t="shared" si="91"/>
        <v>7006.046800000011</v>
      </c>
      <c r="AL158" s="211">
        <f t="shared" si="91"/>
        <v>7076.1072680000216</v>
      </c>
    </row>
    <row r="159" spans="1:38" ht="14.5" customHeight="1">
      <c r="D159" s="26"/>
      <c r="F159" s="388"/>
      <c r="G159" s="388"/>
      <c r="H159" s="388"/>
      <c r="I159" s="388"/>
      <c r="J159" s="26"/>
      <c r="L159" s="388"/>
      <c r="M159" s="388"/>
      <c r="N159" s="388"/>
      <c r="O159" s="388"/>
      <c r="P159" s="26"/>
      <c r="R159" s="388"/>
      <c r="S159" s="388"/>
      <c r="T159" s="388"/>
      <c r="U159" s="388"/>
      <c r="V159" s="26"/>
      <c r="X159" s="388"/>
      <c r="Y159" s="388"/>
      <c r="Z159" s="388"/>
      <c r="AB159" s="144"/>
      <c r="AD159" s="388"/>
      <c r="AE159" s="388"/>
      <c r="AF159" s="388"/>
      <c r="AH159" s="144"/>
      <c r="AI159" s="144"/>
      <c r="AJ159" s="144"/>
      <c r="AK159" s="144"/>
      <c r="AL159" s="144"/>
    </row>
    <row r="160" spans="1:38" s="37" customFormat="1" ht="14.5" customHeight="1">
      <c r="B160" s="37" t="s">
        <v>154</v>
      </c>
      <c r="D160" s="315">
        <f>+D149/D153</f>
        <v>-1.755186754367485E-2</v>
      </c>
      <c r="F160" s="347"/>
      <c r="G160" s="347"/>
      <c r="H160" s="347"/>
      <c r="I160" s="347"/>
      <c r="J160" s="315">
        <f>+J149/J153</f>
        <v>-2.6414475199189424</v>
      </c>
      <c r="L160" s="347"/>
      <c r="M160" s="347"/>
      <c r="N160" s="347"/>
      <c r="O160" s="347"/>
      <c r="P160" s="315">
        <f>+P149/P153</f>
        <v>-12.275711267605633</v>
      </c>
      <c r="R160" s="347"/>
      <c r="S160" s="347"/>
      <c r="T160" s="347"/>
      <c r="U160" s="347"/>
      <c r="V160" s="315">
        <f>+V149/V153</f>
        <v>0.10585551948051948</v>
      </c>
      <c r="X160" s="347"/>
      <c r="Y160" s="347"/>
      <c r="Z160" s="347"/>
      <c r="AA160" s="347"/>
      <c r="AB160" s="315">
        <f>+AB149/AB153</f>
        <v>3.0722135007849292</v>
      </c>
      <c r="AC160" s="347"/>
      <c r="AD160" s="347"/>
      <c r="AE160" s="347"/>
      <c r="AF160" s="347"/>
      <c r="AG160" s="347"/>
      <c r="AH160" s="315">
        <f>+AH149/AH153</f>
        <v>3.4915001812857627</v>
      </c>
      <c r="AI160" s="315">
        <f>+AI149/AI153</f>
        <v>5.0816427603133096</v>
      </c>
      <c r="AJ160" s="315">
        <f>+AJ149/AJ153</f>
        <v>6.903542666977172</v>
      </c>
      <c r="AK160" s="315">
        <f>+AK149/AK153</f>
        <v>9.9244988936165299</v>
      </c>
      <c r="AL160" s="315">
        <f>+AL149/AL153</f>
        <v>13.844472476620291</v>
      </c>
    </row>
    <row r="161" spans="1:38" s="2" customFormat="1" ht="14.5" customHeight="1">
      <c r="B161" s="10" t="s">
        <v>14</v>
      </c>
      <c r="C161"/>
      <c r="D161" s="148" t="e">
        <f>+D160/#REF!-1</f>
        <v>#REF!</v>
      </c>
      <c r="E161"/>
      <c r="F161" s="213"/>
      <c r="G161" s="214"/>
      <c r="H161" s="214"/>
      <c r="I161" s="214"/>
      <c r="J161" s="148">
        <f t="shared" ref="J161" si="92">+J160/D160-1</f>
        <v>149.49381573477282</v>
      </c>
      <c r="K161"/>
      <c r="L161" s="213"/>
      <c r="M161" s="214"/>
      <c r="N161" s="214"/>
      <c r="O161" s="214"/>
      <c r="P161" s="148">
        <f t="shared" ref="P161" si="93">+P160/J160-1</f>
        <v>3.6473424798469347</v>
      </c>
      <c r="Q161"/>
      <c r="R161" s="213"/>
      <c r="S161" s="214"/>
      <c r="T161" s="214"/>
      <c r="U161" s="214"/>
      <c r="V161" s="148">
        <f t="shared" ref="V161" si="94">+V160/P160-1</f>
        <v>-1.0086231679104298</v>
      </c>
      <c r="W161"/>
      <c r="X161" s="213"/>
      <c r="Y161" s="214"/>
      <c r="Z161" s="214"/>
      <c r="AA161" s="214"/>
      <c r="AB161" s="148">
        <f t="shared" ref="AB161" si="95">+AB160/V160-1</f>
        <v>28.022704870389934</v>
      </c>
      <c r="AC161" s="21"/>
      <c r="AD161" s="213"/>
      <c r="AE161" s="214"/>
      <c r="AF161" s="214"/>
      <c r="AG161" s="214"/>
      <c r="AH161" s="148">
        <f>+AH160/AB160-1</f>
        <v>0.13647706462903986</v>
      </c>
      <c r="AI161" s="148">
        <f t="shared" ref="AI161" si="96">+AI160/AH160-1</f>
        <v>0.45543247786456331</v>
      </c>
      <c r="AJ161" s="148">
        <f t="shared" ref="AJ161:AL161" si="97">+AJ160/AI160-1</f>
        <v>0.35852577455711043</v>
      </c>
      <c r="AK161" s="148">
        <f t="shared" si="97"/>
        <v>0.43759506855661012</v>
      </c>
      <c r="AL161" s="148">
        <f t="shared" si="97"/>
        <v>0.39497949720414605</v>
      </c>
    </row>
    <row r="162" spans="1:38" s="37" customFormat="1" ht="14.5" customHeight="1">
      <c r="B162" s="37" t="s">
        <v>92</v>
      </c>
      <c r="D162" s="315">
        <f>+D149/D156</f>
        <v>-1.755186754367485E-2</v>
      </c>
      <c r="F162" s="347"/>
      <c r="G162" s="347"/>
      <c r="H162" s="347"/>
      <c r="I162" s="347"/>
      <c r="J162" s="315">
        <f>+J149/J156</f>
        <v>-2.6414475199189424</v>
      </c>
      <c r="L162" s="347"/>
      <c r="M162" s="347"/>
      <c r="N162" s="347"/>
      <c r="O162" s="347"/>
      <c r="P162" s="315">
        <f>+P149/P156</f>
        <v>-12.275711267605633</v>
      </c>
      <c r="R162" s="347"/>
      <c r="S162" s="347"/>
      <c r="T162" s="347"/>
      <c r="U162" s="347"/>
      <c r="V162" s="315">
        <f>+V149/V156</f>
        <v>0.10585551948051948</v>
      </c>
      <c r="X162" s="347"/>
      <c r="Y162" s="347"/>
      <c r="Z162" s="347"/>
      <c r="AA162" s="347"/>
      <c r="AB162" s="315">
        <f>+AB149/AB156</f>
        <v>2.8779411764705882</v>
      </c>
      <c r="AC162" s="347"/>
      <c r="AD162" s="347"/>
      <c r="AE162" s="347"/>
      <c r="AF162" s="347"/>
      <c r="AG162" s="347"/>
      <c r="AH162" s="315">
        <f>+AH149/AH156</f>
        <v>3.4915001812857627</v>
      </c>
      <c r="AI162" s="315">
        <f>+AI149/AI156</f>
        <v>5.0816427603133096</v>
      </c>
      <c r="AJ162" s="315">
        <f>+AJ149/AJ156</f>
        <v>6.903542666977172</v>
      </c>
      <c r="AK162" s="315">
        <f>+AK149/AK156</f>
        <v>9.9244988936165299</v>
      </c>
      <c r="AL162" s="315">
        <f>+AL149/AL156</f>
        <v>13.844472476620291</v>
      </c>
    </row>
    <row r="163" spans="1:38" s="2" customFormat="1" ht="14.5" customHeight="1">
      <c r="B163" s="10" t="s">
        <v>14</v>
      </c>
      <c r="C163"/>
      <c r="D163" s="148" t="e">
        <f>+D162/#REF!-1</f>
        <v>#REF!</v>
      </c>
      <c r="E163"/>
      <c r="F163" s="213"/>
      <c r="G163" s="214"/>
      <c r="H163" s="214"/>
      <c r="I163" s="214"/>
      <c r="J163" s="148">
        <f t="shared" ref="J163" si="98">+J162/D162-1</f>
        <v>149.49381573477282</v>
      </c>
      <c r="K163"/>
      <c r="L163" s="213"/>
      <c r="M163" s="214"/>
      <c r="N163" s="214"/>
      <c r="O163" s="214"/>
      <c r="P163" s="148">
        <f t="shared" ref="P163" si="99">+P162/J162-1</f>
        <v>3.6473424798469347</v>
      </c>
      <c r="Q163"/>
      <c r="R163" s="213"/>
      <c r="S163" s="214"/>
      <c r="T163" s="214"/>
      <c r="U163" s="214"/>
      <c r="V163" s="148">
        <f t="shared" ref="V163" si="100">+V162/P162-1</f>
        <v>-1.0086231679104298</v>
      </c>
      <c r="W163"/>
      <c r="X163" s="213"/>
      <c r="Y163" s="214"/>
      <c r="Z163" s="214"/>
      <c r="AA163" s="214"/>
      <c r="AB163" s="148">
        <f t="shared" ref="AB163" si="101">+AB162/V162-1</f>
        <v>26.187445591821159</v>
      </c>
      <c r="AC163" s="21"/>
      <c r="AD163" s="213"/>
      <c r="AE163" s="214"/>
      <c r="AF163" s="214"/>
      <c r="AG163" s="214"/>
      <c r="AH163" s="148">
        <f>+AH162/AB162-1</f>
        <v>0.21319372676255433</v>
      </c>
      <c r="AI163" s="148">
        <f t="shared" ref="AI163" si="102">+AI162/AH162-1</f>
        <v>0.45543247786456331</v>
      </c>
      <c r="AJ163" s="148">
        <f t="shared" ref="AJ163:AL163" si="103">+AJ162/AI162-1</f>
        <v>0.35852577455711043</v>
      </c>
      <c r="AK163" s="148">
        <f t="shared" si="103"/>
        <v>0.43759506855661012</v>
      </c>
      <c r="AL163" s="148">
        <f t="shared" si="103"/>
        <v>0.39497949720414605</v>
      </c>
    </row>
    <row r="164" spans="1:38" s="2" customFormat="1" ht="14.5" customHeight="1">
      <c r="B164"/>
      <c r="C164"/>
      <c r="D164" s="144"/>
      <c r="E164"/>
      <c r="F164"/>
      <c r="G164"/>
      <c r="H164"/>
      <c r="I164"/>
      <c r="J164" s="144"/>
      <c r="K164"/>
      <c r="L164"/>
      <c r="M164"/>
      <c r="N164"/>
      <c r="O164"/>
      <c r="P164" s="144"/>
      <c r="Q164"/>
      <c r="R164"/>
      <c r="S164"/>
      <c r="T164"/>
      <c r="U164"/>
      <c r="V164" s="144"/>
      <c r="W164"/>
      <c r="X164"/>
      <c r="Y164"/>
      <c r="Z164"/>
      <c r="AA164"/>
      <c r="AB164" s="144"/>
      <c r="AC164"/>
      <c r="AD164"/>
      <c r="AE164"/>
      <c r="AF164"/>
      <c r="AG164"/>
      <c r="AH164" s="144"/>
      <c r="AI164" s="144"/>
      <c r="AJ164" s="144"/>
      <c r="AK164" s="144"/>
      <c r="AL164" s="144"/>
    </row>
    <row r="165" spans="1:38" s="2" customFormat="1" ht="14.5" customHeight="1">
      <c r="B165" s="36" t="s">
        <v>344</v>
      </c>
      <c r="C165"/>
      <c r="D165" s="144"/>
      <c r="E165"/>
      <c r="F165"/>
      <c r="G165"/>
      <c r="H165"/>
      <c r="I165"/>
      <c r="J165" s="144"/>
      <c r="K165"/>
      <c r="L165"/>
      <c r="M165"/>
      <c r="N165"/>
      <c r="O165"/>
      <c r="P165" s="144"/>
      <c r="Q165"/>
      <c r="R165"/>
      <c r="S165"/>
      <c r="T165"/>
      <c r="U165"/>
      <c r="V165" s="144"/>
      <c r="W165"/>
      <c r="X165"/>
      <c r="Y165"/>
      <c r="Z165"/>
      <c r="AA165"/>
      <c r="AB165" s="316"/>
      <c r="AC165" s="49"/>
      <c r="AD165"/>
      <c r="AE165"/>
      <c r="AF165"/>
      <c r="AG165"/>
      <c r="AH165" s="316">
        <f>CONSENSUS!C5</f>
        <v>3.94</v>
      </c>
      <c r="AI165" s="316">
        <f>CONSENSUS!D5</f>
        <v>4.3600000000000003</v>
      </c>
      <c r="AJ165" s="316">
        <f>CONSENSUS!E5</f>
        <v>5.17</v>
      </c>
      <c r="AK165" s="316"/>
      <c r="AL165" s="316"/>
    </row>
    <row r="166" spans="1:38" s="2" customFormat="1" ht="14.5" customHeight="1">
      <c r="B166" s="10" t="s">
        <v>14</v>
      </c>
      <c r="C166"/>
      <c r="D166" s="144"/>
      <c r="E166"/>
      <c r="F166"/>
      <c r="G166"/>
      <c r="H166"/>
      <c r="I166"/>
      <c r="J166" s="144"/>
      <c r="K166"/>
      <c r="L166"/>
      <c r="M166"/>
      <c r="N166"/>
      <c r="O166"/>
      <c r="P166" s="144"/>
      <c r="Q166"/>
      <c r="R166"/>
      <c r="S166"/>
      <c r="T166"/>
      <c r="U166"/>
      <c r="V166" s="144"/>
      <c r="W166"/>
      <c r="X166"/>
      <c r="Y166"/>
      <c r="Z166"/>
      <c r="AA166"/>
      <c r="AB166" s="144"/>
      <c r="AC166"/>
      <c r="AD166"/>
      <c r="AE166"/>
      <c r="AF166"/>
      <c r="AG166"/>
      <c r="AH166" s="144"/>
      <c r="AI166" s="412">
        <f>AI165/AH165-1</f>
        <v>0.10659898477157359</v>
      </c>
      <c r="AJ166" s="412">
        <f>AJ165/AI165-1</f>
        <v>0.18577981651376141</v>
      </c>
      <c r="AK166" s="144"/>
      <c r="AL166" s="144"/>
    </row>
    <row r="167" spans="1:38" s="2" customFormat="1" ht="14.5" customHeight="1">
      <c r="B167"/>
      <c r="C167"/>
      <c r="D167" s="144"/>
      <c r="E167"/>
      <c r="F167"/>
      <c r="G167"/>
      <c r="H167"/>
      <c r="I167"/>
      <c r="J167" s="144"/>
      <c r="K167"/>
      <c r="L167"/>
      <c r="M167"/>
      <c r="N167"/>
      <c r="O167"/>
      <c r="P167" s="144"/>
      <c r="Q167"/>
      <c r="R167"/>
      <c r="S167"/>
      <c r="T167"/>
      <c r="U167"/>
      <c r="V167" s="144"/>
      <c r="W167"/>
      <c r="X167"/>
      <c r="Y167"/>
      <c r="Z167"/>
      <c r="AA167"/>
      <c r="AB167" s="144"/>
      <c r="AC167"/>
      <c r="AD167"/>
      <c r="AE167"/>
      <c r="AF167"/>
      <c r="AG167"/>
      <c r="AH167" s="144"/>
      <c r="AI167" s="144"/>
      <c r="AJ167" s="144"/>
      <c r="AK167" s="144"/>
      <c r="AL167" s="144"/>
    </row>
    <row r="168" spans="1:38" ht="14.5" customHeight="1">
      <c r="A168" s="147"/>
      <c r="B168" s="1" t="s">
        <v>115</v>
      </c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  <c r="AB168" s="147"/>
      <c r="AC168" s="147"/>
      <c r="AD168" s="147"/>
      <c r="AE168" s="147"/>
      <c r="AF168" s="147"/>
      <c r="AG168" s="147"/>
      <c r="AH168" s="147"/>
      <c r="AI168" s="147"/>
      <c r="AJ168" s="147"/>
      <c r="AK168" s="147"/>
      <c r="AL168" s="147"/>
    </row>
    <row r="169" spans="1:38" s="2" customFormat="1" ht="14.5" customHeight="1">
      <c r="B169" s="29"/>
      <c r="C169" s="149"/>
      <c r="D169" s="25"/>
      <c r="E169" s="149"/>
      <c r="F169" s="27"/>
      <c r="G169" s="27"/>
      <c r="H169" s="27"/>
      <c r="I169" s="134"/>
      <c r="J169" s="25"/>
      <c r="K169" s="149"/>
      <c r="L169" s="27"/>
      <c r="M169" s="27"/>
      <c r="N169" s="27"/>
      <c r="O169" s="134"/>
      <c r="P169" s="25"/>
      <c r="Q169" s="149"/>
      <c r="R169" s="27"/>
      <c r="S169" s="27"/>
      <c r="T169" s="27"/>
      <c r="U169" s="134"/>
      <c r="V169" s="25"/>
      <c r="W169" s="149"/>
      <c r="X169" s="27"/>
      <c r="Y169" s="27"/>
      <c r="Z169"/>
      <c r="AA169"/>
      <c r="AB169" s="144"/>
      <c r="AC169"/>
      <c r="AD169" s="27"/>
      <c r="AE169" s="27"/>
      <c r="AF169"/>
      <c r="AG169"/>
      <c r="AH169" s="144"/>
      <c r="AI169" s="144"/>
      <c r="AJ169" s="144"/>
      <c r="AK169" s="144"/>
      <c r="AL169" s="144"/>
    </row>
    <row r="170" spans="1:38" s="2" customFormat="1" ht="14.5" customHeight="1">
      <c r="B170" s="155" t="s">
        <v>233</v>
      </c>
      <c r="C170" s="41"/>
      <c r="D170" s="341">
        <v>2140877</v>
      </c>
      <c r="E170" s="341">
        <v>2013547</v>
      </c>
      <c r="F170" s="341"/>
      <c r="G170" s="341"/>
      <c r="H170" s="341"/>
      <c r="I170" s="341"/>
      <c r="J170" s="341">
        <v>2013547</v>
      </c>
      <c r="K170" s="341">
        <v>5480557</v>
      </c>
      <c r="L170" s="341"/>
      <c r="M170" s="341"/>
      <c r="N170" s="341">
        <v>2664390</v>
      </c>
      <c r="O170" s="341">
        <v>5480557</v>
      </c>
      <c r="P170" s="341">
        <v>5480557</v>
      </c>
      <c r="Q170" s="341">
        <v>6067438</v>
      </c>
      <c r="R170" s="341">
        <v>4482641</v>
      </c>
      <c r="S170" s="341">
        <v>5672682</v>
      </c>
      <c r="T170" s="341">
        <v>5994698</v>
      </c>
      <c r="U170" s="341">
        <v>6067438</v>
      </c>
      <c r="V170" s="341">
        <v>6067438</v>
      </c>
      <c r="W170" s="341">
        <v>7378000</v>
      </c>
      <c r="X170" s="341">
        <v>6886628</v>
      </c>
      <c r="Y170" s="341">
        <v>7837992</v>
      </c>
      <c r="Z170" s="341">
        <v>7523688</v>
      </c>
      <c r="AA170" s="341">
        <v>7378000</v>
      </c>
      <c r="AB170" s="341">
        <v>7378000</v>
      </c>
      <c r="AC170" s="341"/>
      <c r="AD170" s="341">
        <v>8166000</v>
      </c>
      <c r="AE170" s="341">
        <v>7905000</v>
      </c>
      <c r="AF170" s="341"/>
      <c r="AG170" s="341"/>
      <c r="AH170" s="144"/>
      <c r="AI170" s="144"/>
      <c r="AJ170" s="144"/>
      <c r="AK170" s="144"/>
      <c r="AL170" s="144"/>
    </row>
    <row r="171" spans="1:38" s="2" customFormat="1" ht="14.5" customHeight="1">
      <c r="B171" s="155" t="s">
        <v>234</v>
      </c>
      <c r="C171" s="41"/>
      <c r="D171" s="341">
        <v>1188431</v>
      </c>
      <c r="E171" s="341">
        <v>1060726</v>
      </c>
      <c r="F171" s="341"/>
      <c r="G171" s="341"/>
      <c r="H171" s="341"/>
      <c r="I171" s="341"/>
      <c r="J171" s="341">
        <v>1060726</v>
      </c>
      <c r="K171" s="341">
        <v>910700</v>
      </c>
      <c r="L171" s="341"/>
      <c r="M171" s="341"/>
      <c r="N171" s="341">
        <v>1830821</v>
      </c>
      <c r="O171" s="341">
        <v>910700</v>
      </c>
      <c r="P171" s="341">
        <v>910700</v>
      </c>
      <c r="Q171" s="341">
        <v>2255038</v>
      </c>
      <c r="R171" s="341">
        <v>2086666</v>
      </c>
      <c r="S171" s="341">
        <v>1755257</v>
      </c>
      <c r="T171" s="341">
        <v>1926005</v>
      </c>
      <c r="U171" s="341">
        <v>2255038</v>
      </c>
      <c r="V171" s="341">
        <v>2255038</v>
      </c>
      <c r="W171" s="341">
        <v>2244000</v>
      </c>
      <c r="X171" s="341">
        <v>2435661</v>
      </c>
      <c r="Y171" s="341">
        <v>2057487</v>
      </c>
      <c r="Z171" s="341">
        <v>2103898</v>
      </c>
      <c r="AA171" s="341">
        <v>2244000</v>
      </c>
      <c r="AB171" s="341">
        <v>2244000</v>
      </c>
      <c r="AC171" s="341"/>
      <c r="AD171" s="343" t="s">
        <v>286</v>
      </c>
      <c r="AE171" s="343" t="s">
        <v>286</v>
      </c>
      <c r="AF171" s="341"/>
      <c r="AG171" s="341"/>
      <c r="AH171" s="144"/>
      <c r="AI171" s="144"/>
      <c r="AJ171" s="144"/>
      <c r="AK171" s="144"/>
      <c r="AL171" s="144"/>
    </row>
    <row r="172" spans="1:38" s="2" customFormat="1" ht="14.5" customHeight="1">
      <c r="B172" s="155" t="s">
        <v>109</v>
      </c>
      <c r="C172" s="41"/>
      <c r="D172" s="341"/>
      <c r="E172" s="341"/>
      <c r="F172" s="341"/>
      <c r="G172" s="341"/>
      <c r="H172" s="341"/>
      <c r="I172" s="341"/>
      <c r="J172" s="341"/>
      <c r="K172" s="341"/>
      <c r="L172" s="341"/>
      <c r="M172" s="341"/>
      <c r="N172" s="343" t="s">
        <v>286</v>
      </c>
      <c r="O172" s="341"/>
      <c r="P172" s="341"/>
      <c r="Q172" s="341"/>
      <c r="R172" s="343" t="s">
        <v>286</v>
      </c>
      <c r="S172" s="343" t="s">
        <v>286</v>
      </c>
      <c r="T172" s="343" t="s">
        <v>286</v>
      </c>
      <c r="U172" s="341"/>
      <c r="V172" s="341"/>
      <c r="W172" s="341"/>
      <c r="X172" s="343" t="s">
        <v>286</v>
      </c>
      <c r="Y172" s="343" t="s">
        <v>286</v>
      </c>
      <c r="Z172" s="343" t="s">
        <v>286</v>
      </c>
      <c r="AA172" s="341"/>
      <c r="AB172" s="341"/>
      <c r="AC172" s="341"/>
      <c r="AD172" s="341">
        <v>2428000</v>
      </c>
      <c r="AE172" s="341">
        <v>2435000</v>
      </c>
      <c r="AF172" s="341"/>
      <c r="AG172" s="341"/>
      <c r="AH172" s="144"/>
      <c r="AI172" s="144"/>
      <c r="AJ172" s="144"/>
      <c r="AK172" s="144"/>
      <c r="AL172" s="144"/>
    </row>
    <row r="173" spans="1:38" s="2" customFormat="1" ht="14.5" customHeight="1">
      <c r="B173" s="155" t="s">
        <v>235</v>
      </c>
      <c r="C173" s="41"/>
      <c r="D173" s="343" t="s">
        <v>286</v>
      </c>
      <c r="E173" s="341">
        <v>115</v>
      </c>
      <c r="F173" s="341"/>
      <c r="G173" s="341"/>
      <c r="H173" s="343"/>
      <c r="I173" s="343"/>
      <c r="J173" s="341">
        <v>115</v>
      </c>
      <c r="K173" s="341">
        <v>33846</v>
      </c>
      <c r="L173" s="341"/>
      <c r="M173" s="343"/>
      <c r="N173" s="341">
        <v>55628</v>
      </c>
      <c r="O173" s="341">
        <v>33846</v>
      </c>
      <c r="P173" s="341">
        <v>33846</v>
      </c>
      <c r="Q173" s="341">
        <v>14764</v>
      </c>
      <c r="R173" s="341">
        <v>19914</v>
      </c>
      <c r="S173" s="341">
        <v>14764</v>
      </c>
      <c r="T173" s="341">
        <v>14764</v>
      </c>
      <c r="U173" s="341">
        <v>14764</v>
      </c>
      <c r="V173" s="341">
        <v>14764</v>
      </c>
      <c r="W173" s="343"/>
      <c r="X173" s="341">
        <v>14767</v>
      </c>
      <c r="Y173" s="341">
        <v>14768</v>
      </c>
      <c r="Z173" s="341">
        <v>1520</v>
      </c>
      <c r="AA173" s="343" t="s">
        <v>286</v>
      </c>
      <c r="AB173" s="343" t="s">
        <v>286</v>
      </c>
      <c r="AC173" s="343"/>
      <c r="AD173" s="343" t="s">
        <v>286</v>
      </c>
      <c r="AE173" s="343" t="s">
        <v>286</v>
      </c>
      <c r="AF173" s="341"/>
      <c r="AG173" s="341"/>
      <c r="AH173" s="144"/>
      <c r="AI173" s="144"/>
      <c r="AJ173" s="144"/>
      <c r="AK173" s="144"/>
      <c r="AL173" s="144"/>
    </row>
    <row r="174" spans="1:38" s="2" customFormat="1" ht="14.5" customHeight="1">
      <c r="B174" s="155" t="s">
        <v>236</v>
      </c>
      <c r="C174" s="41"/>
      <c r="D174" s="341">
        <v>2305011</v>
      </c>
      <c r="E174" s="341">
        <v>3145457</v>
      </c>
      <c r="F174" s="341"/>
      <c r="G174" s="341"/>
      <c r="H174" s="341"/>
      <c r="I174" s="341"/>
      <c r="J174" s="341">
        <v>3145457</v>
      </c>
      <c r="K174" s="341">
        <v>2181329</v>
      </c>
      <c r="L174" s="341"/>
      <c r="M174" s="341"/>
      <c r="N174" s="341">
        <v>2354450</v>
      </c>
      <c r="O174" s="341">
        <v>2181329</v>
      </c>
      <c r="P174" s="341">
        <v>2181329</v>
      </c>
      <c r="Q174" s="341">
        <v>3715471</v>
      </c>
      <c r="R174" s="341">
        <v>4014876</v>
      </c>
      <c r="S174" s="341">
        <v>6301695</v>
      </c>
      <c r="T174" s="341">
        <v>3940494</v>
      </c>
      <c r="U174" s="341">
        <v>3715471</v>
      </c>
      <c r="V174" s="341">
        <v>3715471</v>
      </c>
      <c r="W174" s="341">
        <v>4783000</v>
      </c>
      <c r="X174" s="341">
        <v>6104653</v>
      </c>
      <c r="Y174" s="341">
        <v>7465510</v>
      </c>
      <c r="Z174" s="341">
        <v>4805382</v>
      </c>
      <c r="AA174" s="341">
        <v>4783000</v>
      </c>
      <c r="AB174" s="341">
        <v>4783000</v>
      </c>
      <c r="AC174" s="341"/>
      <c r="AD174" s="341">
        <v>7760000</v>
      </c>
      <c r="AE174" s="341">
        <v>9144000</v>
      </c>
      <c r="AF174" s="341"/>
      <c r="AG174" s="341"/>
      <c r="AH174" s="144"/>
      <c r="AI174" s="144"/>
      <c r="AJ174" s="144"/>
      <c r="AK174" s="144"/>
      <c r="AL174" s="144"/>
    </row>
    <row r="175" spans="1:38" s="2" customFormat="1" ht="14.5" customHeight="1">
      <c r="B175" s="155" t="s">
        <v>237</v>
      </c>
      <c r="C175" s="227"/>
      <c r="D175" s="341">
        <v>240213</v>
      </c>
      <c r="E175" s="341">
        <v>341598</v>
      </c>
      <c r="F175" s="341"/>
      <c r="G175" s="341"/>
      <c r="H175" s="341"/>
      <c r="I175" s="341"/>
      <c r="J175" s="341">
        <v>341598</v>
      </c>
      <c r="K175" s="341">
        <v>309954</v>
      </c>
      <c r="L175" s="341"/>
      <c r="M175" s="341"/>
      <c r="N175" s="341">
        <v>306919</v>
      </c>
      <c r="O175" s="341">
        <v>309954</v>
      </c>
      <c r="P175" s="341">
        <v>309954</v>
      </c>
      <c r="Q175" s="341">
        <v>333669</v>
      </c>
      <c r="R175" s="341">
        <v>322544</v>
      </c>
      <c r="S175" s="341">
        <v>351584</v>
      </c>
      <c r="T175" s="341">
        <v>344956</v>
      </c>
      <c r="U175" s="341">
        <v>333669</v>
      </c>
      <c r="V175" s="341">
        <v>333669</v>
      </c>
      <c r="W175" s="341"/>
      <c r="X175" s="341">
        <v>319738</v>
      </c>
      <c r="Y175" s="341">
        <v>449892</v>
      </c>
      <c r="Z175" s="341">
        <v>432036</v>
      </c>
      <c r="AA175" s="341">
        <v>456000</v>
      </c>
      <c r="AB175" s="341">
        <v>456000</v>
      </c>
      <c r="AC175" s="341"/>
      <c r="AD175" s="341">
        <v>515000</v>
      </c>
      <c r="AE175" s="341">
        <v>568000</v>
      </c>
      <c r="AF175" s="341"/>
      <c r="AG175" s="341"/>
      <c r="AH175" s="8"/>
      <c r="AI175" s="8"/>
      <c r="AJ175" s="8"/>
      <c r="AK175" s="8"/>
      <c r="AL175" s="8"/>
    </row>
    <row r="176" spans="1:38" s="2" customFormat="1" ht="14.5" customHeight="1">
      <c r="B176" s="342" t="s">
        <v>238</v>
      </c>
      <c r="C176" s="41"/>
      <c r="D176" s="344">
        <v>5874532</v>
      </c>
      <c r="E176" s="344">
        <v>6561443</v>
      </c>
      <c r="F176" s="344"/>
      <c r="G176" s="344"/>
      <c r="H176" s="344"/>
      <c r="I176" s="344"/>
      <c r="J176" s="344">
        <v>6561443</v>
      </c>
      <c r="K176" s="344">
        <v>8916386</v>
      </c>
      <c r="L176" s="344"/>
      <c r="M176" s="344"/>
      <c r="N176" s="344">
        <v>7212208</v>
      </c>
      <c r="O176" s="344">
        <v>8916386</v>
      </c>
      <c r="P176" s="344">
        <v>8916386</v>
      </c>
      <c r="Q176" s="344">
        <v>12386380</v>
      </c>
      <c r="R176" s="344">
        <v>10926641</v>
      </c>
      <c r="S176" s="344">
        <v>14095982</v>
      </c>
      <c r="T176" s="344">
        <v>12220917</v>
      </c>
      <c r="U176" s="344">
        <v>12386380</v>
      </c>
      <c r="V176" s="344">
        <v>12386380</v>
      </c>
      <c r="W176" s="344">
        <v>14861000</v>
      </c>
      <c r="X176" s="344">
        <v>15761447</v>
      </c>
      <c r="Y176" s="344">
        <v>17825649</v>
      </c>
      <c r="Z176" s="344">
        <v>14866524</v>
      </c>
      <c r="AA176" s="344">
        <v>14861000</v>
      </c>
      <c r="AB176" s="344">
        <v>14861000</v>
      </c>
      <c r="AC176" s="344"/>
      <c r="AD176" s="344">
        <v>18869000</v>
      </c>
      <c r="AE176" s="344">
        <v>20052000</v>
      </c>
      <c r="AF176" s="344"/>
      <c r="AG176" s="344"/>
      <c r="AH176" s="144"/>
      <c r="AI176" s="144"/>
      <c r="AJ176" s="144"/>
      <c r="AK176" s="144"/>
      <c r="AL176" s="144"/>
    </row>
    <row r="177" spans="2:38" s="2" customFormat="1" ht="14.5" customHeight="1">
      <c r="B177" s="342"/>
      <c r="C177" s="41"/>
      <c r="D177" s="141"/>
      <c r="E177" s="41"/>
      <c r="F177" s="138"/>
      <c r="G177" s="138"/>
      <c r="H177" s="138"/>
      <c r="I177" s="138"/>
      <c r="J177" s="141"/>
      <c r="K177" s="41"/>
      <c r="L177" s="138"/>
      <c r="M177" s="138"/>
      <c r="N177"/>
      <c r="O177" s="141"/>
      <c r="P177" s="141"/>
      <c r="Q177" s="41"/>
      <c r="R177"/>
      <c r="S177"/>
      <c r="T177"/>
      <c r="U177" s="141"/>
      <c r="V177" s="141"/>
      <c r="W177" s="41"/>
      <c r="X177"/>
      <c r="Y177"/>
      <c r="Z177"/>
      <c r="AA177" s="144"/>
      <c r="AB177" s="144"/>
      <c r="AC177"/>
      <c r="AD177"/>
      <c r="AE177"/>
      <c r="AF177"/>
      <c r="AG177"/>
      <c r="AH177" s="144"/>
      <c r="AI177" s="144"/>
      <c r="AJ177" s="144"/>
      <c r="AK177" s="144"/>
      <c r="AL177" s="144"/>
    </row>
    <row r="178" spans="2:38" s="2" customFormat="1" ht="14.5" customHeight="1">
      <c r="B178" s="155" t="s">
        <v>239</v>
      </c>
      <c r="C178" s="41"/>
      <c r="D178" s="341">
        <v>68994</v>
      </c>
      <c r="E178" s="341">
        <v>85522</v>
      </c>
      <c r="F178" s="341"/>
      <c r="G178" s="341"/>
      <c r="H178" s="341"/>
      <c r="I178" s="341"/>
      <c r="J178" s="341">
        <v>85522</v>
      </c>
      <c r="K178" s="341">
        <v>163702</v>
      </c>
      <c r="L178" s="341"/>
      <c r="M178" s="341"/>
      <c r="N178" s="341">
        <v>94372</v>
      </c>
      <c r="O178" s="341">
        <v>163702</v>
      </c>
      <c r="P178" s="341">
        <v>163702</v>
      </c>
      <c r="Q178" s="341">
        <v>175129</v>
      </c>
      <c r="R178" s="343" t="s">
        <v>286</v>
      </c>
      <c r="S178" s="343" t="s">
        <v>286</v>
      </c>
      <c r="T178" s="343" t="s">
        <v>286</v>
      </c>
      <c r="U178" s="341">
        <v>175129</v>
      </c>
      <c r="V178" s="341">
        <v>175129</v>
      </c>
      <c r="W178" s="341">
        <v>164000</v>
      </c>
      <c r="X178" s="343" t="s">
        <v>286</v>
      </c>
      <c r="Y178" s="343" t="s">
        <v>286</v>
      </c>
      <c r="Z178" s="343" t="s">
        <v>286</v>
      </c>
      <c r="AA178" s="341">
        <v>164000</v>
      </c>
      <c r="AB178" s="341">
        <v>164000</v>
      </c>
      <c r="AC178" s="341"/>
      <c r="AD178" s="343" t="s">
        <v>286</v>
      </c>
      <c r="AE178" s="343" t="s">
        <v>286</v>
      </c>
      <c r="AF178" s="341"/>
      <c r="AG178" s="341"/>
      <c r="AH178" s="144"/>
      <c r="AI178" s="144"/>
      <c r="AJ178" s="144"/>
      <c r="AK178" s="144"/>
      <c r="AL178" s="144"/>
    </row>
    <row r="179" spans="2:38" s="2" customFormat="1" ht="14.5" customHeight="1">
      <c r="B179" s="155" t="s">
        <v>240</v>
      </c>
      <c r="C179" s="41"/>
      <c r="D179" s="341">
        <v>89548</v>
      </c>
      <c r="E179" s="341">
        <v>236027</v>
      </c>
      <c r="F179" s="341"/>
      <c r="G179" s="341"/>
      <c r="H179" s="341"/>
      <c r="I179" s="341"/>
      <c r="J179" s="341">
        <v>236027</v>
      </c>
      <c r="K179" s="341">
        <v>243110</v>
      </c>
      <c r="L179" s="341"/>
      <c r="N179" s="341">
        <v>241500</v>
      </c>
      <c r="O179" s="341">
        <v>243110</v>
      </c>
      <c r="P179" s="341">
        <v>243110</v>
      </c>
      <c r="Q179" s="341">
        <v>213950</v>
      </c>
      <c r="R179" s="343" t="s">
        <v>286</v>
      </c>
      <c r="S179" s="343" t="s">
        <v>286</v>
      </c>
      <c r="T179" s="343" t="s">
        <v>286</v>
      </c>
      <c r="U179" s="341">
        <v>213950</v>
      </c>
      <c r="V179" s="341">
        <v>213950</v>
      </c>
      <c r="W179" s="341">
        <v>152000</v>
      </c>
      <c r="X179" s="343" t="s">
        <v>286</v>
      </c>
      <c r="Y179" s="343" t="s">
        <v>286</v>
      </c>
      <c r="Z179" s="343" t="s">
        <v>286</v>
      </c>
      <c r="AA179" s="341">
        <v>152000</v>
      </c>
      <c r="AB179" s="341">
        <v>152000</v>
      </c>
      <c r="AC179" s="341"/>
      <c r="AD179" s="343" t="s">
        <v>286</v>
      </c>
      <c r="AE179" s="343" t="s">
        <v>286</v>
      </c>
      <c r="AF179" s="341"/>
      <c r="AG179" s="341"/>
      <c r="AH179" s="144"/>
      <c r="AI179" s="144"/>
      <c r="AJ179" s="144"/>
      <c r="AK179" s="144"/>
      <c r="AL179" s="144"/>
    </row>
    <row r="180" spans="2:38" s="2" customFormat="1" ht="14.5" customHeight="1">
      <c r="B180" s="155" t="s">
        <v>241</v>
      </c>
      <c r="C180" s="41"/>
      <c r="D180" s="341">
        <v>46729</v>
      </c>
      <c r="E180" s="341">
        <v>53916</v>
      </c>
      <c r="F180" s="341"/>
      <c r="G180" s="341"/>
      <c r="H180" s="341"/>
      <c r="I180" s="341"/>
      <c r="J180" s="341">
        <v>53916</v>
      </c>
      <c r="K180" s="341">
        <v>55972</v>
      </c>
      <c r="L180" s="341"/>
      <c r="N180" s="341">
        <v>55318</v>
      </c>
      <c r="O180" s="341">
        <v>55972</v>
      </c>
      <c r="P180" s="341">
        <v>55972</v>
      </c>
      <c r="Q180" s="341">
        <v>56513</v>
      </c>
      <c r="R180" s="343" t="s">
        <v>286</v>
      </c>
      <c r="S180" s="343" t="s">
        <v>286</v>
      </c>
      <c r="T180" s="343" t="s">
        <v>286</v>
      </c>
      <c r="U180" s="341">
        <v>56513</v>
      </c>
      <c r="V180" s="341">
        <v>56513</v>
      </c>
      <c r="W180" s="341">
        <v>32000</v>
      </c>
      <c r="X180" s="343" t="s">
        <v>286</v>
      </c>
      <c r="Y180" s="343" t="s">
        <v>286</v>
      </c>
      <c r="Z180" s="343" t="s">
        <v>286</v>
      </c>
      <c r="AA180" s="341">
        <v>32000</v>
      </c>
      <c r="AB180" s="341">
        <v>32000</v>
      </c>
      <c r="AC180" s="341"/>
      <c r="AD180" s="343" t="s">
        <v>286</v>
      </c>
      <c r="AE180" s="343" t="s">
        <v>286</v>
      </c>
      <c r="AF180" s="341"/>
      <c r="AG180" s="341"/>
      <c r="AH180" s="144"/>
      <c r="AI180" s="144"/>
      <c r="AJ180" s="144"/>
      <c r="AK180" s="144"/>
      <c r="AL180" s="144"/>
    </row>
    <row r="181" spans="2:38" s="2" customFormat="1" ht="14.5" customHeight="1">
      <c r="B181" s="155" t="s">
        <v>242</v>
      </c>
      <c r="C181" s="227"/>
      <c r="D181" s="341">
        <v>34521</v>
      </c>
      <c r="E181" s="341">
        <v>47165</v>
      </c>
      <c r="F181" s="341"/>
      <c r="G181" s="341"/>
      <c r="H181" s="341"/>
      <c r="I181" s="341"/>
      <c r="J181" s="341">
        <v>47165</v>
      </c>
      <c r="K181" s="341">
        <v>47596</v>
      </c>
      <c r="L181" s="341"/>
      <c r="N181" s="341">
        <v>48613</v>
      </c>
      <c r="O181" s="341">
        <v>47596</v>
      </c>
      <c r="P181" s="341">
        <v>47596</v>
      </c>
      <c r="Q181" s="341">
        <v>43169</v>
      </c>
      <c r="R181" s="343" t="s">
        <v>286</v>
      </c>
      <c r="S181" s="343" t="s">
        <v>286</v>
      </c>
      <c r="T181" s="343" t="s">
        <v>286</v>
      </c>
      <c r="U181" s="341">
        <v>43169</v>
      </c>
      <c r="V181" s="341">
        <v>43169</v>
      </c>
      <c r="W181" s="341">
        <v>23000</v>
      </c>
      <c r="X181" s="343" t="s">
        <v>286</v>
      </c>
      <c r="Y181" s="343" t="s">
        <v>286</v>
      </c>
      <c r="Z181" s="343" t="s">
        <v>286</v>
      </c>
      <c r="AA181" s="341">
        <v>23000</v>
      </c>
      <c r="AB181" s="341">
        <v>23000</v>
      </c>
      <c r="AC181" s="341"/>
      <c r="AD181" s="343" t="s">
        <v>286</v>
      </c>
      <c r="AE181" s="343" t="s">
        <v>286</v>
      </c>
      <c r="AF181" s="341"/>
      <c r="AG181" s="341"/>
      <c r="AH181" s="8"/>
      <c r="AI181" s="8"/>
      <c r="AJ181" s="8"/>
      <c r="AK181" s="8"/>
      <c r="AL181" s="8"/>
    </row>
    <row r="182" spans="2:38" s="2" customFormat="1" ht="14.5" customHeight="1">
      <c r="B182" s="155" t="s">
        <v>243</v>
      </c>
      <c r="C182" s="41"/>
      <c r="D182" s="341">
        <v>164926</v>
      </c>
      <c r="E182" s="341">
        <v>16844</v>
      </c>
      <c r="F182" s="341"/>
      <c r="G182" s="341"/>
      <c r="H182" s="341"/>
      <c r="I182" s="341"/>
      <c r="J182" s="341">
        <v>16844</v>
      </c>
      <c r="K182" s="341">
        <v>16844</v>
      </c>
      <c r="L182" s="341"/>
      <c r="M182" s="341"/>
      <c r="N182" s="341">
        <v>16844</v>
      </c>
      <c r="O182" s="341">
        <v>16844</v>
      </c>
      <c r="P182" s="341">
        <v>16844</v>
      </c>
      <c r="Q182" s="341">
        <v>16844</v>
      </c>
      <c r="R182" s="343" t="s">
        <v>286</v>
      </c>
      <c r="S182" s="343" t="s">
        <v>286</v>
      </c>
      <c r="T182" s="343" t="s">
        <v>286</v>
      </c>
      <c r="U182" s="341">
        <v>16844</v>
      </c>
      <c r="V182" s="341">
        <v>16844</v>
      </c>
      <c r="W182" s="341">
        <v>17000</v>
      </c>
      <c r="X182" s="343" t="s">
        <v>286</v>
      </c>
      <c r="Y182" s="343" t="s">
        <v>286</v>
      </c>
      <c r="Z182" s="343" t="s">
        <v>286</v>
      </c>
      <c r="AA182" s="341">
        <v>17000</v>
      </c>
      <c r="AB182" s="341">
        <v>17000</v>
      </c>
      <c r="AC182" s="341"/>
      <c r="AD182" s="343" t="s">
        <v>286</v>
      </c>
      <c r="AE182" s="343" t="s">
        <v>286</v>
      </c>
      <c r="AF182" s="341"/>
      <c r="AG182" s="341"/>
      <c r="AH182" s="144"/>
      <c r="AI182" s="144"/>
      <c r="AJ182" s="144"/>
      <c r="AK182" s="144"/>
      <c r="AL182" s="144"/>
    </row>
    <row r="183" spans="2:38" s="2" customFormat="1" ht="14.5" customHeight="1">
      <c r="B183" s="155" t="s">
        <v>244</v>
      </c>
      <c r="C183" s="41"/>
      <c r="D183" s="341">
        <v>48401</v>
      </c>
      <c r="E183" s="341">
        <v>40534</v>
      </c>
      <c r="F183" s="341"/>
      <c r="G183" s="341"/>
      <c r="H183" s="341"/>
      <c r="I183" s="341"/>
      <c r="J183" s="341">
        <v>40534</v>
      </c>
      <c r="K183" s="341">
        <v>10821</v>
      </c>
      <c r="L183" s="341"/>
      <c r="M183" s="341"/>
      <c r="N183" s="341">
        <v>47569</v>
      </c>
      <c r="O183" s="341">
        <v>10821</v>
      </c>
      <c r="P183" s="341">
        <v>10821</v>
      </c>
      <c r="Q183" s="341">
        <v>30174</v>
      </c>
      <c r="R183" s="343" t="s">
        <v>286</v>
      </c>
      <c r="S183" s="343" t="s">
        <v>286</v>
      </c>
      <c r="T183" s="343" t="s">
        <v>286</v>
      </c>
      <c r="U183" s="341">
        <v>30174</v>
      </c>
      <c r="V183" s="341">
        <v>30174</v>
      </c>
      <c r="W183" s="341">
        <v>45000</v>
      </c>
      <c r="X183" s="343" t="s">
        <v>286</v>
      </c>
      <c r="Y183" s="343" t="s">
        <v>286</v>
      </c>
      <c r="Z183" s="343" t="s">
        <v>286</v>
      </c>
      <c r="AA183" s="341">
        <v>45000</v>
      </c>
      <c r="AB183" s="341">
        <v>45000</v>
      </c>
      <c r="AC183" s="341"/>
      <c r="AD183" s="343" t="s">
        <v>286</v>
      </c>
      <c r="AE183" s="343" t="s">
        <v>286</v>
      </c>
      <c r="AF183" s="341"/>
      <c r="AG183" s="341"/>
      <c r="AH183" s="144"/>
      <c r="AI183" s="144"/>
      <c r="AJ183" s="144"/>
      <c r="AK183" s="144"/>
      <c r="AL183" s="144"/>
    </row>
    <row r="184" spans="2:38" s="2" customFormat="1" ht="14.5" customHeight="1">
      <c r="B184" s="155" t="s">
        <v>245</v>
      </c>
      <c r="C184" s="41"/>
      <c r="D184" s="341">
        <v>404718</v>
      </c>
      <c r="E184" s="341">
        <v>439474</v>
      </c>
      <c r="F184" s="341"/>
      <c r="G184" s="341"/>
      <c r="H184" s="341"/>
      <c r="I184" s="341"/>
      <c r="J184" s="341">
        <v>439474</v>
      </c>
      <c r="K184" s="341">
        <v>527224</v>
      </c>
      <c r="L184" s="341"/>
      <c r="M184" s="341"/>
      <c r="N184" s="341">
        <v>242984</v>
      </c>
      <c r="O184" s="341">
        <v>527224</v>
      </c>
      <c r="P184" s="341">
        <v>527224</v>
      </c>
      <c r="Q184" s="341">
        <v>505605</v>
      </c>
      <c r="R184" s="343" t="s">
        <v>286</v>
      </c>
      <c r="S184" s="343" t="s">
        <v>286</v>
      </c>
      <c r="T184" s="343" t="s">
        <v>286</v>
      </c>
      <c r="U184" s="341">
        <v>505605</v>
      </c>
      <c r="V184" s="341">
        <v>505605</v>
      </c>
      <c r="W184" s="341">
        <v>433000</v>
      </c>
      <c r="X184" s="343" t="s">
        <v>286</v>
      </c>
      <c r="Y184" s="343" t="s">
        <v>286</v>
      </c>
      <c r="Z184" s="343" t="s">
        <v>286</v>
      </c>
      <c r="AA184" s="341">
        <v>433000</v>
      </c>
      <c r="AB184" s="341">
        <v>433000</v>
      </c>
      <c r="AC184" s="341"/>
      <c r="AD184" s="343" t="s">
        <v>286</v>
      </c>
      <c r="AE184" s="343" t="s">
        <v>286</v>
      </c>
      <c r="AF184" s="341"/>
      <c r="AG184" s="341"/>
      <c r="AH184" s="144"/>
      <c r="AI184" s="144"/>
      <c r="AJ184" s="144"/>
      <c r="AK184" s="144"/>
      <c r="AL184" s="144"/>
    </row>
    <row r="185" spans="2:38" s="2" customFormat="1" ht="14.5" customHeight="1">
      <c r="B185" s="155" t="s">
        <v>246</v>
      </c>
      <c r="C185" s="41"/>
      <c r="D185" s="341">
        <v>143711</v>
      </c>
      <c r="E185" s="341">
        <v>178735</v>
      </c>
      <c r="F185" s="341"/>
      <c r="G185" s="341"/>
      <c r="H185" s="341"/>
      <c r="I185" s="341"/>
      <c r="J185" s="341">
        <v>178735</v>
      </c>
      <c r="K185" s="341">
        <v>267851</v>
      </c>
      <c r="L185" s="341"/>
      <c r="M185" s="341"/>
      <c r="N185" s="341">
        <v>456647</v>
      </c>
      <c r="O185" s="341">
        <v>267851</v>
      </c>
      <c r="P185" s="341">
        <v>267851</v>
      </c>
      <c r="Q185" s="341">
        <v>379194</v>
      </c>
      <c r="R185" s="343" t="s">
        <v>286</v>
      </c>
      <c r="S185" s="343" t="s">
        <v>286</v>
      </c>
      <c r="T185" s="343" t="s">
        <v>286</v>
      </c>
      <c r="U185" s="341">
        <v>379194</v>
      </c>
      <c r="V185" s="341">
        <v>379194</v>
      </c>
      <c r="W185" s="341">
        <v>312000</v>
      </c>
      <c r="X185" s="343" t="s">
        <v>286</v>
      </c>
      <c r="Y185" s="343" t="s">
        <v>286</v>
      </c>
      <c r="Z185" s="343" t="s">
        <v>286</v>
      </c>
      <c r="AA185" s="341">
        <v>312000</v>
      </c>
      <c r="AB185" s="341">
        <v>312000</v>
      </c>
      <c r="AC185" s="341"/>
      <c r="AD185" s="343" t="s">
        <v>286</v>
      </c>
      <c r="AE185" s="343" t="s">
        <v>286</v>
      </c>
      <c r="AF185" s="341"/>
      <c r="AG185" s="341"/>
      <c r="AH185" s="144"/>
      <c r="AI185" s="144"/>
      <c r="AJ185" s="144"/>
      <c r="AK185" s="144"/>
      <c r="AL185" s="144"/>
    </row>
    <row r="186" spans="2:38" s="2" customFormat="1" ht="14.5" customHeight="1">
      <c r="B186" s="155" t="s">
        <v>247</v>
      </c>
      <c r="C186" s="41"/>
      <c r="D186" s="341">
        <v>261007</v>
      </c>
      <c r="E186" s="341">
        <v>260739</v>
      </c>
      <c r="F186" s="341"/>
      <c r="G186" s="341"/>
      <c r="H186" s="343"/>
      <c r="I186" s="341"/>
      <c r="J186" s="341">
        <v>260739</v>
      </c>
      <c r="K186" s="341">
        <v>259373</v>
      </c>
      <c r="L186" s="341"/>
      <c r="M186" s="343"/>
      <c r="N186" s="341">
        <v>213663</v>
      </c>
      <c r="O186" s="341">
        <v>259373</v>
      </c>
      <c r="P186" s="341">
        <v>259373</v>
      </c>
      <c r="Q186" s="341">
        <v>126411</v>
      </c>
      <c r="R186" s="343" t="s">
        <v>286</v>
      </c>
      <c r="S186" s="343" t="s">
        <v>286</v>
      </c>
      <c r="T186" s="343" t="s">
        <v>286</v>
      </c>
      <c r="U186" s="341">
        <v>126411</v>
      </c>
      <c r="V186" s="341">
        <v>126411</v>
      </c>
      <c r="W186" s="343"/>
      <c r="X186" s="343" t="s">
        <v>286</v>
      </c>
      <c r="Y186" s="343" t="s">
        <v>286</v>
      </c>
      <c r="Z186" s="343" t="s">
        <v>286</v>
      </c>
      <c r="AA186" s="343" t="s">
        <v>286</v>
      </c>
      <c r="AB186" s="343" t="s">
        <v>286</v>
      </c>
      <c r="AC186" s="343"/>
      <c r="AD186" s="343" t="s">
        <v>286</v>
      </c>
      <c r="AE186" s="343" t="s">
        <v>286</v>
      </c>
      <c r="AF186" s="341"/>
      <c r="AG186" s="341"/>
      <c r="AH186" s="144"/>
      <c r="AI186" s="144"/>
      <c r="AJ186" s="144"/>
      <c r="AK186" s="144"/>
      <c r="AL186" s="144"/>
    </row>
    <row r="187" spans="2:38" s="2" customFormat="1" ht="14.5" customHeight="1">
      <c r="B187" s="155"/>
      <c r="C187" s="41"/>
      <c r="D187" s="341"/>
      <c r="E187" s="341"/>
      <c r="F187" s="341"/>
      <c r="G187" s="341"/>
      <c r="H187" s="343"/>
      <c r="I187" s="341"/>
      <c r="J187" s="341"/>
      <c r="K187" s="341"/>
      <c r="L187" s="341"/>
      <c r="M187" s="343"/>
      <c r="N187"/>
      <c r="O187" s="341"/>
      <c r="P187" s="341"/>
      <c r="Q187" s="341"/>
      <c r="R187"/>
      <c r="S187"/>
      <c r="T187"/>
      <c r="U187" s="341"/>
      <c r="V187" s="341"/>
      <c r="W187" s="343"/>
      <c r="X187"/>
      <c r="Y187"/>
      <c r="Z187"/>
      <c r="AA187" s="343"/>
      <c r="AB187" s="343"/>
      <c r="AC187" s="343"/>
      <c r="AD187"/>
      <c r="AE187"/>
      <c r="AF187" s="341"/>
      <c r="AG187" s="341"/>
      <c r="AH187" s="144"/>
      <c r="AI187" s="144"/>
      <c r="AJ187" s="144"/>
      <c r="AK187" s="144"/>
      <c r="AL187" s="144"/>
    </row>
    <row r="188" spans="2:38" s="2" customFormat="1" ht="14.5" customHeight="1">
      <c r="B188" s="155" t="s">
        <v>248</v>
      </c>
      <c r="C188" s="41"/>
      <c r="D188" s="341">
        <v>309408</v>
      </c>
      <c r="E188" s="341">
        <v>301273</v>
      </c>
      <c r="F188" s="341"/>
      <c r="G188" s="341"/>
      <c r="H188" s="341"/>
      <c r="I188" s="341"/>
      <c r="J188" s="341">
        <v>301273</v>
      </c>
      <c r="K188" s="341">
        <v>270194</v>
      </c>
      <c r="L188" s="341"/>
      <c r="M188" s="341"/>
      <c r="N188" s="341">
        <v>261232</v>
      </c>
      <c r="O188" s="341">
        <v>270194</v>
      </c>
      <c r="P188" s="341">
        <v>270194</v>
      </c>
      <c r="Q188" s="341">
        <v>156585</v>
      </c>
      <c r="R188" s="341">
        <v>210953</v>
      </c>
      <c r="S188" s="341">
        <v>193250</v>
      </c>
      <c r="T188" s="341">
        <v>173876</v>
      </c>
      <c r="U188" s="341">
        <v>156585</v>
      </c>
      <c r="V188" s="341">
        <v>156585</v>
      </c>
      <c r="W188" s="341">
        <v>121000</v>
      </c>
      <c r="X188" s="341">
        <v>142729</v>
      </c>
      <c r="Y188" s="341">
        <v>118056</v>
      </c>
      <c r="Z188" s="341">
        <v>118459</v>
      </c>
      <c r="AA188" s="341">
        <v>121000</v>
      </c>
      <c r="AB188" s="341">
        <v>121000</v>
      </c>
      <c r="AC188" s="341"/>
      <c r="AD188" s="341">
        <v>122000</v>
      </c>
      <c r="AE188" s="341">
        <v>132000</v>
      </c>
      <c r="AF188" s="341"/>
      <c r="AG188" s="341"/>
      <c r="AH188" s="144"/>
      <c r="AI188" s="144"/>
      <c r="AJ188" s="144"/>
      <c r="AK188" s="144"/>
      <c r="AL188" s="144"/>
    </row>
    <row r="189" spans="2:38" s="2" customFormat="1" ht="14.5" customHeight="1">
      <c r="B189" s="155" t="s">
        <v>249</v>
      </c>
      <c r="C189" s="227"/>
      <c r="D189" s="343" t="s">
        <v>286</v>
      </c>
      <c r="E189" s="341">
        <v>385594</v>
      </c>
      <c r="F189" s="341"/>
      <c r="G189" s="341"/>
      <c r="H189" s="341"/>
      <c r="I189" s="343"/>
      <c r="J189" s="341">
        <v>385594</v>
      </c>
      <c r="K189" s="341">
        <v>384068</v>
      </c>
      <c r="L189" s="341"/>
      <c r="M189" s="341"/>
      <c r="N189" s="341">
        <v>354461</v>
      </c>
      <c r="O189" s="341">
        <v>384068</v>
      </c>
      <c r="P189" s="341">
        <v>384068</v>
      </c>
      <c r="Q189" s="341">
        <v>272036</v>
      </c>
      <c r="R189" s="341">
        <v>301020</v>
      </c>
      <c r="S189" s="341">
        <v>289072</v>
      </c>
      <c r="T189" s="341">
        <v>280058</v>
      </c>
      <c r="U189" s="341">
        <v>272036</v>
      </c>
      <c r="V189" s="341">
        <v>272036</v>
      </c>
      <c r="W189" s="341">
        <v>138000</v>
      </c>
      <c r="X189" s="341">
        <v>263110</v>
      </c>
      <c r="Y189" s="341">
        <v>164633</v>
      </c>
      <c r="Z189" s="341">
        <v>154217</v>
      </c>
      <c r="AA189" s="341">
        <v>138000</v>
      </c>
      <c r="AB189" s="341">
        <v>138000</v>
      </c>
      <c r="AC189" s="341"/>
      <c r="AD189" s="341">
        <v>138000</v>
      </c>
      <c r="AE189" s="341">
        <v>131000</v>
      </c>
      <c r="AF189" s="341"/>
      <c r="AG189" s="341"/>
      <c r="AH189" s="8"/>
      <c r="AI189" s="8"/>
      <c r="AJ189" s="8"/>
      <c r="AK189" s="8"/>
      <c r="AL189" s="8"/>
    </row>
    <row r="190" spans="2:38" s="2" customFormat="1" ht="14.5" customHeight="1">
      <c r="B190" s="155" t="s">
        <v>250</v>
      </c>
      <c r="C190" s="41"/>
      <c r="D190" s="341">
        <v>28756</v>
      </c>
      <c r="E190" s="341">
        <v>102912</v>
      </c>
      <c r="F190" s="341"/>
      <c r="G190" s="341"/>
      <c r="H190" s="341"/>
      <c r="I190" s="341"/>
      <c r="J190" s="341">
        <v>102912</v>
      </c>
      <c r="K190" s="341">
        <v>75886</v>
      </c>
      <c r="L190" s="341"/>
      <c r="M190" s="341"/>
      <c r="N190" s="341">
        <v>74567</v>
      </c>
      <c r="O190" s="341">
        <v>75886</v>
      </c>
      <c r="P190" s="341">
        <v>75886</v>
      </c>
      <c r="Q190" s="341">
        <v>52308</v>
      </c>
      <c r="R190" s="341">
        <v>69325</v>
      </c>
      <c r="S190" s="341">
        <v>63653</v>
      </c>
      <c r="T190" s="341">
        <v>57981</v>
      </c>
      <c r="U190" s="341">
        <v>52308</v>
      </c>
      <c r="V190" s="341">
        <v>52308</v>
      </c>
      <c r="W190" s="341">
        <v>34000</v>
      </c>
      <c r="X190" s="341">
        <v>46673</v>
      </c>
      <c r="Y190" s="341">
        <v>42426</v>
      </c>
      <c r="Z190" s="341">
        <v>38154</v>
      </c>
      <c r="AA190" s="341">
        <v>34000</v>
      </c>
      <c r="AB190" s="341">
        <v>34000</v>
      </c>
      <c r="AC190" s="341"/>
      <c r="AD190" s="343" t="s">
        <v>286</v>
      </c>
      <c r="AE190" s="343" t="s">
        <v>286</v>
      </c>
      <c r="AF190" s="341"/>
      <c r="AG190" s="341"/>
      <c r="AH190" s="144"/>
      <c r="AI190" s="144"/>
      <c r="AJ190" s="144"/>
      <c r="AK190" s="144"/>
      <c r="AL190" s="144"/>
    </row>
    <row r="191" spans="2:38" s="2" customFormat="1" ht="14.5" customHeight="1">
      <c r="B191" s="155" t="s">
        <v>332</v>
      </c>
      <c r="C191" s="41"/>
      <c r="D191" s="341">
        <v>289861</v>
      </c>
      <c r="E191" s="341">
        <v>652088</v>
      </c>
      <c r="F191" s="341"/>
      <c r="G191" s="341"/>
      <c r="H191" s="341"/>
      <c r="I191" s="341"/>
      <c r="J191" s="341">
        <v>652088</v>
      </c>
      <c r="K191" s="341">
        <v>655801</v>
      </c>
      <c r="L191" s="341"/>
      <c r="M191" s="341"/>
      <c r="N191" s="341">
        <v>653766</v>
      </c>
      <c r="O191" s="341">
        <v>655801</v>
      </c>
      <c r="P191" s="341">
        <v>655801</v>
      </c>
      <c r="Q191" s="341">
        <v>652602</v>
      </c>
      <c r="R191" s="341">
        <v>654017</v>
      </c>
      <c r="S191" s="341">
        <v>654554</v>
      </c>
      <c r="T191" s="341">
        <v>653639</v>
      </c>
      <c r="U191" s="341">
        <v>652602</v>
      </c>
      <c r="V191" s="341">
        <v>652602</v>
      </c>
      <c r="W191" s="341">
        <v>650000</v>
      </c>
      <c r="X191" s="341">
        <v>651864</v>
      </c>
      <c r="Y191" s="341">
        <v>649418</v>
      </c>
      <c r="Z191" s="341">
        <v>646527</v>
      </c>
      <c r="AA191" s="341">
        <v>650000</v>
      </c>
      <c r="AB191" s="341">
        <v>650000</v>
      </c>
      <c r="AC191" s="341"/>
      <c r="AD191" s="343" t="s">
        <v>286</v>
      </c>
      <c r="AE191" s="343" t="s">
        <v>286</v>
      </c>
      <c r="AF191" s="341"/>
      <c r="AG191" s="341"/>
      <c r="AH191" s="144"/>
      <c r="AI191" s="144"/>
      <c r="AJ191" s="144"/>
      <c r="AK191" s="144"/>
      <c r="AL191" s="144"/>
    </row>
    <row r="192" spans="2:38" s="2" customFormat="1" ht="14.5" customHeight="1">
      <c r="B192" s="155" t="s">
        <v>251</v>
      </c>
      <c r="C192" s="41"/>
      <c r="D192" s="341">
        <v>110532</v>
      </c>
      <c r="E192" s="341">
        <v>306809</v>
      </c>
      <c r="F192" s="341"/>
      <c r="G192" s="341"/>
      <c r="H192" s="341"/>
      <c r="I192" s="341"/>
      <c r="J192" s="341">
        <v>306809</v>
      </c>
      <c r="K192" s="341">
        <v>189164</v>
      </c>
      <c r="L192" s="341"/>
      <c r="M192" s="341"/>
      <c r="N192" s="341">
        <v>172245</v>
      </c>
      <c r="O192" s="341">
        <v>189164</v>
      </c>
      <c r="P192" s="341">
        <v>189164</v>
      </c>
      <c r="Q192" s="341">
        <v>188563</v>
      </c>
      <c r="R192" s="341">
        <v>177121</v>
      </c>
      <c r="S192" s="341">
        <v>188299</v>
      </c>
      <c r="T192" s="341">
        <v>195532</v>
      </c>
      <c r="U192" s="341">
        <v>188563</v>
      </c>
      <c r="V192" s="341">
        <v>188563</v>
      </c>
      <c r="W192" s="341">
        <v>234000</v>
      </c>
      <c r="X192" s="341">
        <v>202619</v>
      </c>
      <c r="Y192" s="341">
        <v>258944</v>
      </c>
      <c r="Z192" s="341">
        <v>252709</v>
      </c>
      <c r="AA192" s="341">
        <v>234000</v>
      </c>
      <c r="AB192" s="341">
        <v>234000</v>
      </c>
      <c r="AC192" s="341"/>
      <c r="AD192" s="341">
        <v>207000</v>
      </c>
      <c r="AE192" s="341">
        <v>194000</v>
      </c>
      <c r="AF192" s="341"/>
      <c r="AG192" s="341"/>
      <c r="AH192" s="144"/>
      <c r="AI192" s="144"/>
      <c r="AJ192" s="144"/>
      <c r="AK192" s="144"/>
      <c r="AL192" s="144"/>
    </row>
    <row r="193" spans="1:38" s="2" customFormat="1" ht="14.5" customHeight="1">
      <c r="B193" s="342" t="s">
        <v>252</v>
      </c>
      <c r="C193" s="41"/>
      <c r="D193" s="344">
        <v>6613089</v>
      </c>
      <c r="E193" s="344">
        <v>8310119</v>
      </c>
      <c r="F193" s="344"/>
      <c r="G193" s="344"/>
      <c r="H193" s="344"/>
      <c r="I193" s="344"/>
      <c r="J193" s="344">
        <v>8310119</v>
      </c>
      <c r="K193" s="344">
        <v>10491499</v>
      </c>
      <c r="L193" s="344"/>
      <c r="M193" s="344"/>
      <c r="N193" s="344">
        <v>8728479</v>
      </c>
      <c r="O193" s="344">
        <v>10491499</v>
      </c>
      <c r="P193" s="344">
        <v>10491499</v>
      </c>
      <c r="Q193" s="344">
        <v>13708474</v>
      </c>
      <c r="R193" s="344">
        <v>12339077</v>
      </c>
      <c r="S193" s="344">
        <v>15484810</v>
      </c>
      <c r="T193" s="344">
        <v>13582003</v>
      </c>
      <c r="U193" s="344">
        <v>13708474</v>
      </c>
      <c r="V193" s="344">
        <v>13708474</v>
      </c>
      <c r="W193" s="344">
        <v>16038000</v>
      </c>
      <c r="X193" s="344">
        <v>17068442</v>
      </c>
      <c r="Y193" s="344">
        <v>19059126</v>
      </c>
      <c r="Z193" s="344">
        <v>16076590</v>
      </c>
      <c r="AA193" s="344">
        <v>16038000</v>
      </c>
      <c r="AB193" s="344">
        <v>16038000</v>
      </c>
      <c r="AC193" s="344"/>
      <c r="AD193" s="344">
        <v>20018000</v>
      </c>
      <c r="AE193" s="344">
        <v>21188000</v>
      </c>
      <c r="AF193" s="344"/>
      <c r="AG193" s="344"/>
      <c r="AH193" s="144"/>
      <c r="AI193" s="144"/>
      <c r="AJ193" s="144"/>
      <c r="AK193" s="144"/>
      <c r="AL193" s="144"/>
    </row>
    <row r="194" spans="1:38" s="2" customFormat="1" ht="14.5" customHeight="1">
      <c r="B194" s="342"/>
      <c r="C194" s="41"/>
      <c r="D194" s="141"/>
      <c r="E194" s="41"/>
      <c r="F194" s="138"/>
      <c r="G194" s="138"/>
      <c r="H194" s="138"/>
      <c r="I194" s="228"/>
      <c r="J194" s="141"/>
      <c r="K194" s="41"/>
      <c r="L194" s="138"/>
      <c r="M194" s="138"/>
      <c r="N194" s="344"/>
      <c r="O194" s="141"/>
      <c r="P194" s="141"/>
      <c r="Q194" s="41"/>
      <c r="R194" s="344"/>
      <c r="S194" s="344"/>
      <c r="T194" s="344"/>
      <c r="U194" s="141"/>
      <c r="V194" s="141"/>
      <c r="W194" s="41"/>
      <c r="X194" s="344"/>
      <c r="Y194" s="344"/>
      <c r="Z194" s="344"/>
      <c r="AA194" s="144"/>
      <c r="AB194" s="144"/>
      <c r="AC194"/>
      <c r="AD194" s="344"/>
      <c r="AE194" s="344"/>
      <c r="AF194"/>
      <c r="AG194"/>
      <c r="AH194" s="144"/>
      <c r="AI194" s="144"/>
      <c r="AJ194" s="144"/>
      <c r="AK194" s="144"/>
      <c r="AL194" s="144"/>
    </row>
    <row r="195" spans="1:38" s="2" customFormat="1" ht="14.5" customHeight="1">
      <c r="B195" s="155" t="s">
        <v>110</v>
      </c>
      <c r="C195" s="41"/>
      <c r="D195" s="341">
        <v>70630</v>
      </c>
      <c r="E195" s="341">
        <v>151417</v>
      </c>
      <c r="F195" s="341"/>
      <c r="G195" s="341"/>
      <c r="H195" s="341"/>
      <c r="I195" s="341"/>
      <c r="J195" s="341">
        <v>151417</v>
      </c>
      <c r="K195" s="341">
        <v>79898</v>
      </c>
      <c r="L195" s="341"/>
      <c r="M195" s="341"/>
      <c r="N195" s="341">
        <v>45972</v>
      </c>
      <c r="O195" s="341">
        <v>79898</v>
      </c>
      <c r="P195" s="341">
        <v>79898</v>
      </c>
      <c r="Q195" s="341">
        <v>118361</v>
      </c>
      <c r="R195" s="341">
        <v>116688</v>
      </c>
      <c r="S195" s="341">
        <v>97669</v>
      </c>
      <c r="T195" s="341">
        <v>97093</v>
      </c>
      <c r="U195" s="341">
        <v>118361</v>
      </c>
      <c r="V195" s="341">
        <v>118361</v>
      </c>
      <c r="W195" s="341">
        <v>137000</v>
      </c>
      <c r="X195" s="341">
        <v>128187</v>
      </c>
      <c r="Y195" s="341">
        <v>139248</v>
      </c>
      <c r="Z195" s="341">
        <v>152661</v>
      </c>
      <c r="AA195" s="341">
        <v>137000</v>
      </c>
      <c r="AB195" s="341">
        <v>137000</v>
      </c>
      <c r="AC195" s="341"/>
      <c r="AD195" s="341">
        <v>161000</v>
      </c>
      <c r="AE195" s="341">
        <v>100000</v>
      </c>
      <c r="AF195" s="341"/>
      <c r="AG195" s="341"/>
      <c r="AH195" s="144"/>
      <c r="AI195" s="144"/>
      <c r="AJ195" s="144"/>
      <c r="AK195" s="144"/>
      <c r="AL195" s="144"/>
    </row>
    <row r="196" spans="1:38" s="2" customFormat="1" ht="14.5" customHeight="1">
      <c r="B196" s="155" t="s">
        <v>253</v>
      </c>
      <c r="C196" s="227"/>
      <c r="D196" s="343" t="s">
        <v>286</v>
      </c>
      <c r="E196" s="341">
        <v>38022</v>
      </c>
      <c r="F196" s="341"/>
      <c r="G196" s="341"/>
      <c r="H196" s="341"/>
      <c r="I196" s="343"/>
      <c r="J196" s="341">
        <v>38022</v>
      </c>
      <c r="K196" s="341">
        <v>56586</v>
      </c>
      <c r="L196" s="341"/>
      <c r="M196" s="341"/>
      <c r="N196" s="341">
        <v>62711</v>
      </c>
      <c r="O196" s="341">
        <v>56586</v>
      </c>
      <c r="P196" s="341">
        <v>56586</v>
      </c>
      <c r="Q196" s="341">
        <v>63479</v>
      </c>
      <c r="R196" s="341">
        <v>54867</v>
      </c>
      <c r="S196" s="341">
        <v>51112</v>
      </c>
      <c r="T196" s="341">
        <v>65578</v>
      </c>
      <c r="U196" s="341">
        <v>63479</v>
      </c>
      <c r="V196" s="341">
        <v>63479</v>
      </c>
      <c r="W196" s="341">
        <v>59000</v>
      </c>
      <c r="X196" s="341">
        <v>63524</v>
      </c>
      <c r="Y196" s="341">
        <v>61702</v>
      </c>
      <c r="Z196" s="341">
        <v>52324</v>
      </c>
      <c r="AA196" s="341">
        <v>59000</v>
      </c>
      <c r="AB196" s="341">
        <v>59000</v>
      </c>
      <c r="AC196" s="341"/>
      <c r="AD196" s="343" t="s">
        <v>286</v>
      </c>
      <c r="AE196" s="343" t="s">
        <v>286</v>
      </c>
      <c r="AF196" s="341"/>
      <c r="AG196" s="341"/>
      <c r="AH196" s="8"/>
      <c r="AI196" s="8"/>
      <c r="AJ196" s="8"/>
      <c r="AK196" s="8"/>
      <c r="AL196" s="8"/>
    </row>
    <row r="197" spans="1:38" s="2" customFormat="1" ht="14.5" customHeight="1">
      <c r="B197" s="155" t="s">
        <v>254</v>
      </c>
      <c r="C197" s="41"/>
      <c r="D197" s="341">
        <v>156721</v>
      </c>
      <c r="E197" s="341">
        <v>192038</v>
      </c>
      <c r="F197" s="341"/>
      <c r="G197" s="341"/>
      <c r="H197" s="341"/>
      <c r="I197" s="341"/>
      <c r="J197" s="341">
        <v>192038</v>
      </c>
      <c r="K197" s="341">
        <v>153255</v>
      </c>
      <c r="L197" s="341"/>
      <c r="M197" s="341"/>
      <c r="N197" s="341">
        <v>228315</v>
      </c>
      <c r="O197" s="341">
        <v>153255</v>
      </c>
      <c r="P197" s="341">
        <v>153255</v>
      </c>
      <c r="Q197" s="341">
        <v>309616</v>
      </c>
      <c r="R197" s="341">
        <v>326995</v>
      </c>
      <c r="S197" s="341">
        <v>368227</v>
      </c>
      <c r="T197" s="341">
        <v>380497</v>
      </c>
      <c r="U197" s="341">
        <v>309616</v>
      </c>
      <c r="V197" s="341">
        <v>309616</v>
      </c>
      <c r="W197" s="341">
        <v>418000</v>
      </c>
      <c r="X197" s="341">
        <v>536640</v>
      </c>
      <c r="Y197" s="341">
        <v>473894</v>
      </c>
      <c r="Z197" s="341">
        <v>510186</v>
      </c>
      <c r="AA197" s="341">
        <v>418000</v>
      </c>
      <c r="AB197" s="341">
        <v>418000</v>
      </c>
      <c r="AC197" s="341"/>
      <c r="AD197" s="341">
        <v>671000</v>
      </c>
      <c r="AE197" s="341">
        <v>588000</v>
      </c>
      <c r="AF197" s="341"/>
      <c r="AG197" s="341"/>
      <c r="AH197" s="144"/>
      <c r="AI197" s="144"/>
      <c r="AJ197" s="144"/>
      <c r="AK197" s="144"/>
      <c r="AL197" s="144"/>
    </row>
    <row r="198" spans="1:38" s="2" customFormat="1" ht="14.5" customHeight="1">
      <c r="B198" s="155" t="s">
        <v>255</v>
      </c>
      <c r="C198" s="41"/>
      <c r="D198" s="341">
        <v>150607</v>
      </c>
      <c r="E198" s="341">
        <v>253305</v>
      </c>
      <c r="F198" s="341"/>
      <c r="G198" s="341"/>
      <c r="H198" s="341"/>
      <c r="I198" s="341"/>
      <c r="J198" s="341">
        <v>253305</v>
      </c>
      <c r="K198" s="341">
        <v>380164</v>
      </c>
      <c r="L198" s="341"/>
      <c r="M198" s="341"/>
      <c r="N198" s="341">
        <v>206609</v>
      </c>
      <c r="O198" s="341">
        <v>380164</v>
      </c>
      <c r="P198" s="341">
        <v>380164</v>
      </c>
      <c r="Q198" s="341">
        <v>415626</v>
      </c>
      <c r="R198" s="341">
        <v>302369</v>
      </c>
      <c r="S198" s="341">
        <v>366802</v>
      </c>
      <c r="T198" s="341">
        <v>399576</v>
      </c>
      <c r="U198" s="341">
        <v>415626</v>
      </c>
      <c r="V198" s="341">
        <v>415626</v>
      </c>
      <c r="W198" s="341">
        <v>380000</v>
      </c>
      <c r="X198" s="341">
        <v>296991</v>
      </c>
      <c r="Y198" s="341">
        <v>307126</v>
      </c>
      <c r="Z198" s="341">
        <v>363324</v>
      </c>
      <c r="AA198" s="341">
        <v>380000</v>
      </c>
      <c r="AB198" s="341">
        <v>380000</v>
      </c>
      <c r="AC198" s="341"/>
      <c r="AD198" s="341">
        <v>300000</v>
      </c>
      <c r="AE198" s="341">
        <v>310000</v>
      </c>
      <c r="AF198" s="341"/>
      <c r="AG198" s="341"/>
      <c r="AH198" s="144"/>
      <c r="AI198" s="144"/>
      <c r="AJ198" s="144"/>
      <c r="AK198" s="144"/>
      <c r="AL198" s="144"/>
    </row>
    <row r="199" spans="1:38" s="2" customFormat="1" ht="14.5" customHeight="1">
      <c r="B199" s="155" t="s">
        <v>256</v>
      </c>
      <c r="C199" s="41"/>
      <c r="D199" s="341">
        <v>218591</v>
      </c>
      <c r="E199" s="341">
        <v>262454</v>
      </c>
      <c r="F199" s="341"/>
      <c r="G199" s="341"/>
      <c r="H199" s="341"/>
      <c r="I199" s="341"/>
      <c r="J199" s="341">
        <v>262454</v>
      </c>
      <c r="K199" s="341">
        <v>188309</v>
      </c>
      <c r="L199" s="341"/>
      <c r="M199" s="341"/>
      <c r="N199" s="341">
        <v>177040</v>
      </c>
      <c r="O199" s="341">
        <v>188309</v>
      </c>
      <c r="P199" s="341">
        <v>188309</v>
      </c>
      <c r="Q199" s="341">
        <v>182796</v>
      </c>
      <c r="R199" s="341">
        <v>184101</v>
      </c>
      <c r="S199" s="341">
        <v>188125</v>
      </c>
      <c r="T199" s="341">
        <v>195010</v>
      </c>
      <c r="U199" s="341">
        <v>182796</v>
      </c>
      <c r="V199" s="341">
        <v>182796</v>
      </c>
      <c r="W199" s="341">
        <v>206000</v>
      </c>
      <c r="X199" s="341">
        <v>184282</v>
      </c>
      <c r="Y199" s="341">
        <v>190198</v>
      </c>
      <c r="Z199" s="341">
        <v>198689</v>
      </c>
      <c r="AA199" s="341">
        <v>206000</v>
      </c>
      <c r="AB199" s="341">
        <v>206000</v>
      </c>
      <c r="AC199" s="341"/>
      <c r="AD199" s="341">
        <v>214000</v>
      </c>
      <c r="AE199" s="341">
        <v>212000</v>
      </c>
      <c r="AF199" s="341"/>
      <c r="AG199" s="341"/>
      <c r="AH199" s="144"/>
      <c r="AI199" s="144"/>
      <c r="AJ199" s="144"/>
      <c r="AK199" s="144"/>
      <c r="AL199" s="144"/>
    </row>
    <row r="200" spans="1:38" s="2" customFormat="1" ht="14.5" customHeight="1">
      <c r="B200" s="155" t="s">
        <v>257</v>
      </c>
      <c r="C200" s="41"/>
      <c r="D200" s="343" t="s">
        <v>286</v>
      </c>
      <c r="E200" s="343" t="s">
        <v>286</v>
      </c>
      <c r="F200" s="341"/>
      <c r="G200" s="341"/>
      <c r="H200" s="343"/>
      <c r="I200" s="343"/>
      <c r="J200" s="343" t="s">
        <v>286</v>
      </c>
      <c r="K200" s="341">
        <v>209739</v>
      </c>
      <c r="L200" s="341"/>
      <c r="M200" s="343"/>
      <c r="N200" s="341">
        <v>226484</v>
      </c>
      <c r="O200" s="341">
        <v>209739</v>
      </c>
      <c r="P200" s="341">
        <v>209739</v>
      </c>
      <c r="Q200" s="341">
        <v>74492</v>
      </c>
      <c r="R200" s="341">
        <v>160871</v>
      </c>
      <c r="S200" s="341">
        <v>120696</v>
      </c>
      <c r="T200" s="341">
        <v>90764</v>
      </c>
      <c r="U200" s="341">
        <v>74492</v>
      </c>
      <c r="V200" s="341">
        <v>74492</v>
      </c>
      <c r="W200" s="343"/>
      <c r="X200" s="343" t="s">
        <v>286</v>
      </c>
      <c r="Y200" s="343" t="s">
        <v>286</v>
      </c>
      <c r="Z200" s="343" t="s">
        <v>286</v>
      </c>
      <c r="AA200" s="343" t="s">
        <v>286</v>
      </c>
      <c r="AB200" s="343" t="s">
        <v>286</v>
      </c>
      <c r="AC200" s="343"/>
      <c r="AD200" s="343" t="s">
        <v>286</v>
      </c>
      <c r="AE200" s="343" t="s">
        <v>286</v>
      </c>
      <c r="AF200" s="341"/>
      <c r="AG200" s="341"/>
      <c r="AH200" s="144"/>
      <c r="AI200" s="144"/>
      <c r="AJ200" s="144"/>
      <c r="AK200" s="144"/>
      <c r="AL200" s="144"/>
    </row>
    <row r="201" spans="1:38" s="2" customFormat="1" ht="14.5" customHeight="1">
      <c r="B201" s="155" t="s">
        <v>258</v>
      </c>
      <c r="C201" s="41"/>
      <c r="D201" s="343" t="s">
        <v>286</v>
      </c>
      <c r="E201" s="343" t="s">
        <v>286</v>
      </c>
      <c r="F201" s="341"/>
      <c r="G201" s="343"/>
      <c r="H201" s="343"/>
      <c r="I201" s="343"/>
      <c r="J201" s="343" t="s">
        <v>286</v>
      </c>
      <c r="K201" s="341">
        <v>985181</v>
      </c>
      <c r="L201" s="343"/>
      <c r="M201" s="343"/>
      <c r="N201" s="341">
        <v>168741</v>
      </c>
      <c r="O201" s="341">
        <v>985181</v>
      </c>
      <c r="P201" s="341">
        <v>985181</v>
      </c>
      <c r="Q201" s="343"/>
      <c r="R201" s="343" t="s">
        <v>286</v>
      </c>
      <c r="S201" s="343" t="s">
        <v>286</v>
      </c>
      <c r="T201" s="343" t="s">
        <v>286</v>
      </c>
      <c r="U201" s="343" t="s">
        <v>286</v>
      </c>
      <c r="V201" s="343" t="s">
        <v>286</v>
      </c>
      <c r="W201" s="343"/>
      <c r="X201" s="343" t="s">
        <v>286</v>
      </c>
      <c r="Y201" s="343" t="s">
        <v>286</v>
      </c>
      <c r="Z201" s="343" t="s">
        <v>286</v>
      </c>
      <c r="AA201" s="343" t="s">
        <v>286</v>
      </c>
      <c r="AB201" s="343" t="s">
        <v>286</v>
      </c>
      <c r="AC201" s="343"/>
      <c r="AD201" s="343" t="s">
        <v>286</v>
      </c>
      <c r="AE201" s="343" t="s">
        <v>286</v>
      </c>
      <c r="AF201" s="341"/>
      <c r="AG201" s="343"/>
      <c r="AH201" s="144"/>
      <c r="AI201" s="144"/>
      <c r="AJ201" s="144"/>
      <c r="AK201" s="144"/>
      <c r="AL201" s="144"/>
    </row>
    <row r="202" spans="1:38" s="2" customFormat="1" ht="14.5" customHeight="1">
      <c r="B202" s="155" t="s">
        <v>259</v>
      </c>
      <c r="C202" s="41"/>
      <c r="D202" s="343" t="s">
        <v>286</v>
      </c>
      <c r="E202" s="341">
        <v>475</v>
      </c>
      <c r="F202" s="343"/>
      <c r="G202" s="343"/>
      <c r="H202" s="343"/>
      <c r="I202" s="343"/>
      <c r="J202" s="341">
        <v>475</v>
      </c>
      <c r="K202" s="343" t="s">
        <v>286</v>
      </c>
      <c r="L202" s="343"/>
      <c r="M202" s="343"/>
      <c r="N202" s="341"/>
      <c r="O202" s="343" t="s">
        <v>286</v>
      </c>
      <c r="P202" s="343" t="s">
        <v>286</v>
      </c>
      <c r="Q202" s="343"/>
      <c r="R202" s="343"/>
      <c r="S202" s="343"/>
      <c r="T202" s="343"/>
      <c r="U202" s="343" t="s">
        <v>286</v>
      </c>
      <c r="V202" s="343" t="s">
        <v>286</v>
      </c>
      <c r="W202" s="343"/>
      <c r="X202" s="343"/>
      <c r="Y202" s="343"/>
      <c r="Z202" s="343"/>
      <c r="AA202" s="343" t="s">
        <v>286</v>
      </c>
      <c r="AB202" s="343" t="s">
        <v>286</v>
      </c>
      <c r="AC202" s="343"/>
      <c r="AD202" s="343"/>
      <c r="AE202" s="343"/>
      <c r="AF202" s="343"/>
      <c r="AG202" s="343"/>
      <c r="AH202" s="144"/>
      <c r="AI202" s="144"/>
      <c r="AJ202" s="144"/>
      <c r="AK202" s="144"/>
      <c r="AL202" s="144"/>
    </row>
    <row r="203" spans="1:38" s="2" customFormat="1" ht="14.5" customHeight="1">
      <c r="B203" s="155" t="s">
        <v>260</v>
      </c>
      <c r="C203" s="227"/>
      <c r="D203" s="343" t="s">
        <v>286</v>
      </c>
      <c r="E203" s="343" t="s">
        <v>286</v>
      </c>
      <c r="F203" s="341"/>
      <c r="G203" s="341"/>
      <c r="H203" s="343"/>
      <c r="I203" s="343"/>
      <c r="J203" s="343" t="s">
        <v>286</v>
      </c>
      <c r="K203" s="341">
        <v>32250</v>
      </c>
      <c r="L203" s="341"/>
      <c r="M203" s="343"/>
      <c r="N203" s="343" t="s">
        <v>286</v>
      </c>
      <c r="O203" s="341">
        <v>32250</v>
      </c>
      <c r="P203" s="341">
        <v>32250</v>
      </c>
      <c r="Q203" s="341">
        <v>10280</v>
      </c>
      <c r="R203" s="341">
        <v>5257</v>
      </c>
      <c r="S203" s="341">
        <v>4446</v>
      </c>
      <c r="T203" s="341">
        <v>3831</v>
      </c>
      <c r="U203" s="341">
        <v>10280</v>
      </c>
      <c r="V203" s="341">
        <v>10280</v>
      </c>
      <c r="W203" s="343"/>
      <c r="X203" s="343" t="s">
        <v>286</v>
      </c>
      <c r="Y203" s="343" t="s">
        <v>286</v>
      </c>
      <c r="Z203" s="343" t="s">
        <v>286</v>
      </c>
      <c r="AA203" s="343" t="s">
        <v>286</v>
      </c>
      <c r="AB203" s="343" t="s">
        <v>286</v>
      </c>
      <c r="AC203" s="343"/>
      <c r="AD203" s="343" t="s">
        <v>286</v>
      </c>
      <c r="AE203" s="343" t="s">
        <v>286</v>
      </c>
      <c r="AF203" s="341"/>
      <c r="AG203" s="341"/>
      <c r="AH203" s="8"/>
      <c r="AI203" s="8"/>
      <c r="AJ203" s="8"/>
      <c r="AK203" s="8"/>
      <c r="AL203" s="8"/>
    </row>
    <row r="204" spans="1:38" s="2" customFormat="1" ht="14.5" customHeight="1">
      <c r="B204" s="155" t="s">
        <v>261</v>
      </c>
      <c r="C204" s="227"/>
      <c r="D204" s="343" t="s">
        <v>286</v>
      </c>
      <c r="E204" s="343" t="s">
        <v>286</v>
      </c>
      <c r="F204" s="341"/>
      <c r="G204" s="343"/>
      <c r="H204" s="343"/>
      <c r="I204" s="343"/>
      <c r="J204" s="343" t="s">
        <v>286</v>
      </c>
      <c r="K204" s="341">
        <v>26755</v>
      </c>
      <c r="L204" s="343"/>
      <c r="M204" s="343"/>
      <c r="N204" s="341">
        <v>27856</v>
      </c>
      <c r="O204" s="341">
        <v>26755</v>
      </c>
      <c r="P204" s="341">
        <v>26755</v>
      </c>
      <c r="Q204" s="343"/>
      <c r="R204" s="343" t="s">
        <v>286</v>
      </c>
      <c r="S204" s="343" t="s">
        <v>286</v>
      </c>
      <c r="T204" s="343" t="s">
        <v>286</v>
      </c>
      <c r="U204" s="343" t="s">
        <v>286</v>
      </c>
      <c r="V204" s="343" t="s">
        <v>286</v>
      </c>
      <c r="W204" s="343"/>
      <c r="X204" s="343" t="s">
        <v>286</v>
      </c>
      <c r="Y204" s="343" t="s">
        <v>286</v>
      </c>
      <c r="Z204" s="343" t="s">
        <v>286</v>
      </c>
      <c r="AA204" s="343" t="s">
        <v>286</v>
      </c>
      <c r="AB204" s="343" t="s">
        <v>286</v>
      </c>
      <c r="AC204" s="343"/>
      <c r="AD204" s="343" t="s">
        <v>286</v>
      </c>
      <c r="AE204" s="343" t="s">
        <v>286</v>
      </c>
      <c r="AF204" s="341"/>
      <c r="AG204" s="343"/>
      <c r="AH204" s="8"/>
      <c r="AI204" s="8"/>
      <c r="AJ204" s="8"/>
      <c r="AK204" s="8"/>
      <c r="AL204" s="8"/>
    </row>
    <row r="205" spans="1:38" s="2" customFormat="1" ht="14.5" customHeight="1">
      <c r="B205" s="155" t="s">
        <v>262</v>
      </c>
      <c r="C205"/>
      <c r="D205" s="343" t="s">
        <v>286</v>
      </c>
      <c r="E205" s="343" t="s">
        <v>286</v>
      </c>
      <c r="F205" s="341"/>
      <c r="G205" s="341"/>
      <c r="H205" s="343"/>
      <c r="I205" s="343"/>
      <c r="J205" s="343" t="s">
        <v>286</v>
      </c>
      <c r="K205" s="341">
        <v>23096</v>
      </c>
      <c r="L205" s="341"/>
      <c r="M205" s="343"/>
      <c r="N205" s="343" t="s">
        <v>286</v>
      </c>
      <c r="O205" s="341">
        <v>23096</v>
      </c>
      <c r="P205" s="341">
        <v>23096</v>
      </c>
      <c r="Q205" s="341">
        <v>34344</v>
      </c>
      <c r="R205" s="341">
        <v>31085</v>
      </c>
      <c r="S205" s="341">
        <v>30344</v>
      </c>
      <c r="T205" s="341">
        <v>33544</v>
      </c>
      <c r="U205" s="341">
        <v>34344</v>
      </c>
      <c r="V205" s="341">
        <v>34344</v>
      </c>
      <c r="W205" s="343"/>
      <c r="X205" s="343" t="s">
        <v>286</v>
      </c>
      <c r="Y205" s="343" t="s">
        <v>286</v>
      </c>
      <c r="Z205" s="343" t="s">
        <v>286</v>
      </c>
      <c r="AA205" s="343" t="s">
        <v>286</v>
      </c>
      <c r="AB205" s="343" t="s">
        <v>286</v>
      </c>
      <c r="AC205" s="343"/>
      <c r="AD205" s="343" t="s">
        <v>286</v>
      </c>
      <c r="AE205" s="343" t="s">
        <v>286</v>
      </c>
      <c r="AF205" s="341"/>
      <c r="AG205" s="341"/>
      <c r="AH205" s="144"/>
      <c r="AI205" s="144"/>
      <c r="AJ205" s="144"/>
      <c r="AK205" s="144"/>
      <c r="AL205" s="144"/>
    </row>
    <row r="206" spans="1:38" s="2" customFormat="1" ht="14.5" customHeight="1">
      <c r="B206" s="155" t="s">
        <v>263</v>
      </c>
      <c r="C206"/>
      <c r="D206" s="341">
        <v>65661</v>
      </c>
      <c r="E206" s="341">
        <v>94228</v>
      </c>
      <c r="F206" s="341"/>
      <c r="G206" s="341"/>
      <c r="H206" s="343"/>
      <c r="I206" s="341"/>
      <c r="J206" s="341">
        <v>94228</v>
      </c>
      <c r="K206" s="341">
        <v>25437</v>
      </c>
      <c r="L206" s="341"/>
      <c r="M206" s="343"/>
      <c r="N206" s="341">
        <v>15365</v>
      </c>
      <c r="O206" s="341">
        <v>25437</v>
      </c>
      <c r="P206" s="341">
        <v>25437</v>
      </c>
      <c r="Q206" s="341">
        <v>59418</v>
      </c>
      <c r="R206" s="341">
        <v>23493</v>
      </c>
      <c r="S206" s="341">
        <v>52807</v>
      </c>
      <c r="T206" s="341">
        <v>56114</v>
      </c>
      <c r="U206" s="341">
        <v>59418</v>
      </c>
      <c r="V206" s="341">
        <v>59418</v>
      </c>
      <c r="W206" s="343"/>
      <c r="X206" s="343" t="s">
        <v>286</v>
      </c>
      <c r="Y206" s="343" t="s">
        <v>286</v>
      </c>
      <c r="Z206" s="343" t="s">
        <v>286</v>
      </c>
      <c r="AA206" s="343" t="s">
        <v>286</v>
      </c>
      <c r="AB206" s="343" t="s">
        <v>286</v>
      </c>
      <c r="AC206" s="343"/>
      <c r="AD206" s="343" t="s">
        <v>286</v>
      </c>
      <c r="AE206" s="343" t="s">
        <v>286</v>
      </c>
      <c r="AF206" s="341"/>
      <c r="AG206" s="341"/>
      <c r="AH206" s="144"/>
      <c r="AI206" s="144"/>
      <c r="AJ206" s="144"/>
      <c r="AK206" s="144"/>
      <c r="AL206" s="144"/>
    </row>
    <row r="207" spans="1:38" s="2" customFormat="1" ht="14.5" customHeight="1">
      <c r="A207" s="12"/>
      <c r="B207" s="155" t="s">
        <v>264</v>
      </c>
      <c r="C207" s="12"/>
      <c r="D207" s="341">
        <v>3180</v>
      </c>
      <c r="E207" s="341">
        <v>15424</v>
      </c>
      <c r="F207" s="341"/>
      <c r="G207" s="341"/>
      <c r="H207" s="343"/>
      <c r="I207" s="341"/>
      <c r="J207" s="341">
        <v>15424</v>
      </c>
      <c r="K207" s="341">
        <v>12002</v>
      </c>
      <c r="L207" s="341"/>
      <c r="M207" s="343"/>
      <c r="N207" s="341">
        <v>13037</v>
      </c>
      <c r="O207" s="341">
        <v>12002</v>
      </c>
      <c r="P207" s="341">
        <v>12002</v>
      </c>
      <c r="Q207" s="341">
        <v>25112</v>
      </c>
      <c r="R207" s="341">
        <v>8577</v>
      </c>
      <c r="S207" s="341">
        <v>19227</v>
      </c>
      <c r="T207" s="341">
        <v>27431</v>
      </c>
      <c r="U207" s="341">
        <v>25112</v>
      </c>
      <c r="V207" s="341">
        <v>25112</v>
      </c>
      <c r="W207" s="343"/>
      <c r="X207" s="343" t="s">
        <v>286</v>
      </c>
      <c r="Y207" s="343" t="s">
        <v>286</v>
      </c>
      <c r="Z207" s="343" t="s">
        <v>286</v>
      </c>
      <c r="AA207" s="343" t="s">
        <v>286</v>
      </c>
      <c r="AB207" s="343" t="s">
        <v>286</v>
      </c>
      <c r="AC207" s="343"/>
      <c r="AD207" s="343" t="s">
        <v>286</v>
      </c>
      <c r="AE207" s="343" t="s">
        <v>286</v>
      </c>
      <c r="AF207" s="341"/>
      <c r="AG207" s="341"/>
      <c r="AH207" s="12"/>
      <c r="AI207" s="12"/>
      <c r="AJ207" s="12"/>
      <c r="AK207" s="12"/>
      <c r="AL207" s="12"/>
    </row>
    <row r="208" spans="1:38" s="2" customFormat="1" ht="14.5" customHeight="1">
      <c r="A208"/>
      <c r="B208" s="155" t="s">
        <v>265</v>
      </c>
      <c r="C208"/>
      <c r="D208" s="343" t="s">
        <v>286</v>
      </c>
      <c r="E208" s="343" t="s">
        <v>286</v>
      </c>
      <c r="F208" s="343"/>
      <c r="G208" s="341"/>
      <c r="H208" s="341"/>
      <c r="I208" s="343"/>
      <c r="J208" s="343" t="s">
        <v>286</v>
      </c>
      <c r="K208" s="343" t="s">
        <v>286</v>
      </c>
      <c r="L208" s="341"/>
      <c r="M208" s="341"/>
      <c r="N208" s="343" t="s">
        <v>286</v>
      </c>
      <c r="O208" s="343" t="s">
        <v>286</v>
      </c>
      <c r="P208" s="343" t="s">
        <v>286</v>
      </c>
      <c r="Q208" s="341">
        <v>98129</v>
      </c>
      <c r="R208" s="343" t="s">
        <v>286</v>
      </c>
      <c r="S208" s="343" t="s">
        <v>286</v>
      </c>
      <c r="T208" s="343" t="s">
        <v>286</v>
      </c>
      <c r="U208" s="341">
        <v>98129</v>
      </c>
      <c r="V208" s="341">
        <v>98129</v>
      </c>
      <c r="W208" s="341"/>
      <c r="X208" s="341">
        <v>96396</v>
      </c>
      <c r="Y208" s="341">
        <v>102187</v>
      </c>
      <c r="Z208" s="341">
        <v>104213</v>
      </c>
      <c r="AA208" s="341">
        <v>141000</v>
      </c>
      <c r="AB208" s="341">
        <v>141000</v>
      </c>
      <c r="AC208" s="341"/>
      <c r="AD208" s="341">
        <v>141000</v>
      </c>
      <c r="AE208" s="341">
        <v>148000</v>
      </c>
      <c r="AF208" s="343"/>
      <c r="AG208" s="341"/>
      <c r="AH208" s="144"/>
      <c r="AI208" s="144"/>
      <c r="AJ208" s="144"/>
      <c r="AK208" s="144"/>
      <c r="AL208" s="144"/>
    </row>
    <row r="209" spans="1:38" s="2" customFormat="1" ht="14.5" customHeight="1">
      <c r="A209"/>
      <c r="B209" s="155" t="s">
        <v>266</v>
      </c>
      <c r="C209"/>
      <c r="D209" s="341">
        <v>269370</v>
      </c>
      <c r="E209" s="341">
        <v>406156</v>
      </c>
      <c r="F209" s="341"/>
      <c r="G209" s="341"/>
      <c r="H209" s="341"/>
      <c r="I209" s="341"/>
      <c r="J209" s="341">
        <v>406156</v>
      </c>
      <c r="K209" s="341">
        <v>377883</v>
      </c>
      <c r="L209" s="341"/>
      <c r="M209" s="341"/>
      <c r="N209" s="341">
        <v>397704</v>
      </c>
      <c r="O209" s="341">
        <v>377883</v>
      </c>
      <c r="P209" s="341">
        <v>377883</v>
      </c>
      <c r="Q209" s="341">
        <v>348430</v>
      </c>
      <c r="R209" s="341">
        <v>397809</v>
      </c>
      <c r="S209" s="341">
        <v>411291</v>
      </c>
      <c r="T209" s="341">
        <v>376967</v>
      </c>
      <c r="U209" s="341">
        <v>348430</v>
      </c>
      <c r="V209" s="341">
        <v>348430</v>
      </c>
      <c r="W209" s="341"/>
      <c r="X209" s="341">
        <v>615363</v>
      </c>
      <c r="Y209" s="341">
        <v>566437</v>
      </c>
      <c r="Z209" s="341">
        <v>608292</v>
      </c>
      <c r="AA209" s="341">
        <v>672000</v>
      </c>
      <c r="AB209" s="341">
        <v>672000</v>
      </c>
      <c r="AC209" s="341"/>
      <c r="AD209" s="341">
        <v>745000</v>
      </c>
      <c r="AE209" s="341">
        <v>725000</v>
      </c>
      <c r="AF209" s="341"/>
      <c r="AG209" s="341"/>
      <c r="AH209" s="144"/>
      <c r="AI209" s="144"/>
      <c r="AJ209" s="144"/>
      <c r="AK209" s="144"/>
      <c r="AL209" s="144"/>
    </row>
    <row r="210" spans="1:38" s="2" customFormat="1" ht="14.5" customHeight="1">
      <c r="A210"/>
      <c r="B210" s="155" t="s">
        <v>267</v>
      </c>
      <c r="C210"/>
      <c r="D210" s="341">
        <v>864130</v>
      </c>
      <c r="E210" s="341">
        <v>1224080</v>
      </c>
      <c r="F210" s="341"/>
      <c r="G210" s="341"/>
      <c r="H210" s="341"/>
      <c r="I210" s="341"/>
      <c r="J210" s="341">
        <v>1224080</v>
      </c>
      <c r="K210" s="341">
        <v>2414071</v>
      </c>
      <c r="L210" s="341"/>
      <c r="M210" s="341"/>
      <c r="N210" s="341">
        <v>1461151</v>
      </c>
      <c r="O210" s="341">
        <v>2414071</v>
      </c>
      <c r="P210" s="341">
        <v>2414071</v>
      </c>
      <c r="Q210" s="341">
        <v>1558243</v>
      </c>
      <c r="R210" s="341">
        <v>1440557</v>
      </c>
      <c r="S210" s="341">
        <v>1561965</v>
      </c>
      <c r="T210" s="341">
        <v>1563734</v>
      </c>
      <c r="U210" s="341">
        <v>1558243</v>
      </c>
      <c r="V210" s="341">
        <v>1558243</v>
      </c>
      <c r="W210" s="341"/>
      <c r="X210" s="341">
        <v>1729672</v>
      </c>
      <c r="Y210" s="341">
        <v>1639842</v>
      </c>
      <c r="Z210" s="341">
        <v>1784704</v>
      </c>
      <c r="AA210" s="341">
        <v>1817000</v>
      </c>
      <c r="AB210" s="341">
        <v>1817000</v>
      </c>
      <c r="AC210" s="341"/>
      <c r="AD210" s="341">
        <v>2119000</v>
      </c>
      <c r="AE210" s="341">
        <v>2033000</v>
      </c>
      <c r="AF210" s="341"/>
      <c r="AG210" s="341"/>
      <c r="AH210" s="144"/>
      <c r="AI210" s="144"/>
      <c r="AJ210" s="144"/>
      <c r="AK210" s="144"/>
      <c r="AL210" s="144"/>
    </row>
    <row r="211" spans="1:38" s="2" customFormat="1" ht="14.5" customHeight="1">
      <c r="B211" s="155" t="s">
        <v>268</v>
      </c>
      <c r="D211" s="341">
        <v>2305011</v>
      </c>
      <c r="E211" s="341">
        <v>3145457</v>
      </c>
      <c r="F211" s="341"/>
      <c r="G211" s="341"/>
      <c r="H211" s="341"/>
      <c r="I211" s="341"/>
      <c r="J211" s="341">
        <v>3145457</v>
      </c>
      <c r="K211" s="341">
        <v>2181329</v>
      </c>
      <c r="L211" s="341"/>
      <c r="M211" s="341"/>
      <c r="N211" s="341">
        <v>2354450</v>
      </c>
      <c r="O211" s="341">
        <v>2181329</v>
      </c>
      <c r="P211" s="341">
        <v>2181329</v>
      </c>
      <c r="Q211" s="341">
        <v>3715471</v>
      </c>
      <c r="R211" s="341">
        <v>4014876</v>
      </c>
      <c r="S211" s="341">
        <v>6301695</v>
      </c>
      <c r="T211" s="341">
        <v>3940494</v>
      </c>
      <c r="U211" s="341">
        <v>3715471</v>
      </c>
      <c r="V211" s="341">
        <v>3715471</v>
      </c>
      <c r="W211" s="341"/>
      <c r="X211" s="341">
        <v>6104653</v>
      </c>
      <c r="Y211" s="341">
        <v>7465510</v>
      </c>
      <c r="Z211" s="341">
        <v>4805382</v>
      </c>
      <c r="AA211" s="341">
        <v>4783000</v>
      </c>
      <c r="AB211" s="341">
        <v>4783000</v>
      </c>
      <c r="AC211" s="341"/>
      <c r="AD211" s="341">
        <v>7760000</v>
      </c>
      <c r="AE211" s="341">
        <v>9144000</v>
      </c>
      <c r="AF211" s="341"/>
      <c r="AG211" s="341"/>
      <c r="AH211" s="8"/>
      <c r="AI211" s="8"/>
      <c r="AJ211" s="8"/>
      <c r="AK211" s="8"/>
      <c r="AL211" s="8"/>
    </row>
    <row r="212" spans="1:38" s="2" customFormat="1" ht="14.5" customHeight="1">
      <c r="A212"/>
      <c r="B212" s="155" t="s">
        <v>269</v>
      </c>
      <c r="C212"/>
      <c r="D212" s="341">
        <v>496239</v>
      </c>
      <c r="E212" s="341">
        <v>674788</v>
      </c>
      <c r="F212" s="341"/>
      <c r="G212" s="341"/>
      <c r="H212" s="341"/>
      <c r="I212" s="341"/>
      <c r="J212" s="341">
        <v>674788</v>
      </c>
      <c r="K212" s="341">
        <v>407895</v>
      </c>
      <c r="L212" s="341"/>
      <c r="M212" s="341"/>
      <c r="N212" s="341">
        <v>459772</v>
      </c>
      <c r="O212" s="341">
        <v>407895</v>
      </c>
      <c r="P212" s="341">
        <v>407895</v>
      </c>
      <c r="Q212" s="341">
        <v>903728</v>
      </c>
      <c r="R212" s="341">
        <v>946204</v>
      </c>
      <c r="S212" s="341">
        <v>1483909</v>
      </c>
      <c r="T212" s="341">
        <v>892415</v>
      </c>
      <c r="U212" s="341">
        <v>903728</v>
      </c>
      <c r="V212" s="341">
        <v>903728</v>
      </c>
      <c r="W212" s="341"/>
      <c r="X212" s="341">
        <v>1747746</v>
      </c>
      <c r="Y212" s="341">
        <v>1980863</v>
      </c>
      <c r="Z212" s="341">
        <v>1220256</v>
      </c>
      <c r="AA212" s="341">
        <v>1182000</v>
      </c>
      <c r="AB212" s="341">
        <v>1182000</v>
      </c>
      <c r="AC212" s="341"/>
      <c r="AD212" s="341">
        <v>2172000</v>
      </c>
      <c r="AE212" s="341">
        <v>2347000</v>
      </c>
      <c r="AF212" s="341"/>
      <c r="AG212" s="341"/>
      <c r="AH212" s="144"/>
      <c r="AI212" s="144"/>
      <c r="AJ212" s="144"/>
      <c r="AK212" s="144"/>
      <c r="AL212" s="144"/>
    </row>
    <row r="213" spans="1:38" s="2" customFormat="1" ht="14.5" customHeight="1">
      <c r="B213" s="342" t="s">
        <v>270</v>
      </c>
      <c r="D213" s="344">
        <v>3736010</v>
      </c>
      <c r="E213" s="344">
        <v>5233764</v>
      </c>
      <c r="F213" s="344"/>
      <c r="G213" s="344"/>
      <c r="H213" s="344"/>
      <c r="I213" s="344"/>
      <c r="J213" s="344">
        <v>5233764</v>
      </c>
      <c r="K213" s="344">
        <v>5139779</v>
      </c>
      <c r="L213" s="344"/>
      <c r="M213" s="344"/>
      <c r="N213" s="344">
        <v>4384056</v>
      </c>
      <c r="O213" s="344">
        <v>5139779</v>
      </c>
      <c r="P213" s="344">
        <v>5139779</v>
      </c>
      <c r="Q213" s="344">
        <v>6359282</v>
      </c>
      <c r="R213" s="344">
        <v>6573192</v>
      </c>
      <c r="S213" s="344">
        <v>9496350</v>
      </c>
      <c r="T213" s="344">
        <v>6559314</v>
      </c>
      <c r="U213" s="344">
        <v>6359282</v>
      </c>
      <c r="V213" s="344">
        <v>6359282</v>
      </c>
      <c r="W213" s="344">
        <v>7978000</v>
      </c>
      <c r="X213" s="344">
        <v>9773782</v>
      </c>
      <c r="Y213" s="344">
        <v>11287165</v>
      </c>
      <c r="Z213" s="344">
        <v>8015327</v>
      </c>
      <c r="AA213" s="344">
        <v>7978000</v>
      </c>
      <c r="AB213" s="344">
        <v>7978000</v>
      </c>
      <c r="AC213" s="344"/>
      <c r="AD213" s="344">
        <v>12212000</v>
      </c>
      <c r="AE213" s="344">
        <v>13624000</v>
      </c>
      <c r="AF213" s="344"/>
      <c r="AG213" s="344"/>
      <c r="AH213" s="8"/>
      <c r="AI213" s="8"/>
      <c r="AJ213" s="8"/>
      <c r="AK213" s="8"/>
      <c r="AL213" s="8"/>
    </row>
    <row r="214" spans="1:38" s="2" customFormat="1" ht="14.5" customHeight="1">
      <c r="B214" s="342"/>
      <c r="D214" s="173"/>
      <c r="F214" s="184"/>
      <c r="G214" s="172"/>
      <c r="H214" s="172"/>
      <c r="I214" s="172"/>
      <c r="J214" s="173"/>
      <c r="L214" s="184"/>
      <c r="M214" s="172"/>
      <c r="N214" s="344"/>
      <c r="O214" s="173"/>
      <c r="P214" s="173"/>
      <c r="R214" s="344"/>
      <c r="S214" s="344"/>
      <c r="T214" s="344"/>
      <c r="U214" s="173"/>
      <c r="V214" s="173"/>
      <c r="X214" s="344"/>
      <c r="Y214" s="344"/>
      <c r="Z214" s="344"/>
      <c r="AA214" s="24"/>
      <c r="AB214" s="24"/>
      <c r="AC214" s="28"/>
      <c r="AD214" s="344"/>
      <c r="AE214" s="344"/>
      <c r="AF214" s="28"/>
      <c r="AG214" s="28"/>
      <c r="AH214" s="8"/>
      <c r="AI214" s="8"/>
      <c r="AJ214" s="8"/>
      <c r="AK214" s="8"/>
      <c r="AL214" s="8"/>
    </row>
    <row r="215" spans="1:38" s="2" customFormat="1" ht="14.5" customHeight="1">
      <c r="A215"/>
      <c r="B215" s="155" t="s">
        <v>271</v>
      </c>
      <c r="C215"/>
      <c r="D215" s="343" t="s">
        <v>286</v>
      </c>
      <c r="E215" s="343"/>
      <c r="F215" s="343"/>
      <c r="G215" s="341"/>
      <c r="H215" s="341"/>
      <c r="I215" s="343"/>
      <c r="J215" s="343" t="s">
        <v>286</v>
      </c>
      <c r="K215" s="343"/>
      <c r="L215" s="341"/>
      <c r="M215" s="341"/>
      <c r="N215" s="343" t="s">
        <v>286</v>
      </c>
      <c r="O215" s="343" t="s">
        <v>286</v>
      </c>
      <c r="P215" s="343" t="s">
        <v>286</v>
      </c>
      <c r="Q215" s="341"/>
      <c r="R215" s="341">
        <v>2000000</v>
      </c>
      <c r="S215" s="341">
        <v>2000000</v>
      </c>
      <c r="T215" s="341">
        <v>2000000</v>
      </c>
      <c r="U215" s="341">
        <v>2000000</v>
      </c>
      <c r="V215" s="341">
        <v>2000000</v>
      </c>
      <c r="W215" s="341"/>
      <c r="X215" s="341">
        <v>2000000</v>
      </c>
      <c r="Y215" s="341">
        <v>2000000</v>
      </c>
      <c r="Z215" s="341">
        <v>2000000</v>
      </c>
      <c r="AA215" s="341">
        <v>2000000</v>
      </c>
      <c r="AB215" s="341">
        <v>2000000</v>
      </c>
      <c r="AC215" s="341"/>
      <c r="AD215" s="343" t="s">
        <v>286</v>
      </c>
      <c r="AE215" s="343" t="s">
        <v>286</v>
      </c>
      <c r="AF215" s="343"/>
      <c r="AG215" s="341"/>
      <c r="AH215" s="144"/>
      <c r="AI215" s="144"/>
      <c r="AJ215" s="144"/>
      <c r="AK215" s="144"/>
      <c r="AL215" s="144"/>
    </row>
    <row r="216" spans="1:38" s="2" customFormat="1" ht="14.5" customHeight="1">
      <c r="A216"/>
      <c r="B216" s="155" t="s">
        <v>272</v>
      </c>
      <c r="C216"/>
      <c r="D216" s="343" t="s">
        <v>286</v>
      </c>
      <c r="E216" s="343"/>
      <c r="F216" s="341"/>
      <c r="G216" s="343"/>
      <c r="H216" s="343"/>
      <c r="I216" s="343"/>
      <c r="J216" s="343" t="s">
        <v>286</v>
      </c>
      <c r="K216" s="341"/>
      <c r="L216" s="343"/>
      <c r="M216" s="343"/>
      <c r="N216" s="343"/>
      <c r="O216" s="341">
        <v>995000</v>
      </c>
      <c r="P216" s="341">
        <v>995000</v>
      </c>
      <c r="Q216" s="343"/>
      <c r="R216" s="341"/>
      <c r="S216" s="341"/>
      <c r="T216" s="341"/>
      <c r="U216" s="343" t="s">
        <v>286</v>
      </c>
      <c r="V216" s="343" t="s">
        <v>286</v>
      </c>
      <c r="W216" s="343"/>
      <c r="X216" s="341"/>
      <c r="Y216" s="341"/>
      <c r="Z216" s="341"/>
      <c r="AA216" s="343" t="s">
        <v>286</v>
      </c>
      <c r="AB216" s="343" t="s">
        <v>286</v>
      </c>
      <c r="AC216" s="343"/>
      <c r="AD216" s="343"/>
      <c r="AE216" s="343"/>
      <c r="AF216" s="341"/>
      <c r="AG216" s="343"/>
      <c r="AH216" s="150"/>
      <c r="AI216" s="150"/>
      <c r="AJ216" s="150"/>
      <c r="AK216" s="150"/>
      <c r="AL216" s="150"/>
    </row>
    <row r="217" spans="1:38" s="2" customFormat="1" ht="14.5" customHeight="1">
      <c r="A217" s="151"/>
      <c r="B217" s="155" t="s">
        <v>273</v>
      </c>
      <c r="C217" s="152"/>
      <c r="D217" s="343" t="s">
        <v>286</v>
      </c>
      <c r="E217" s="343"/>
      <c r="F217" s="341"/>
      <c r="G217" s="343"/>
      <c r="H217" s="343"/>
      <c r="I217" s="343"/>
      <c r="J217" s="343" t="s">
        <v>286</v>
      </c>
      <c r="K217" s="341"/>
      <c r="L217" s="343"/>
      <c r="M217" s="343"/>
      <c r="N217" s="343"/>
      <c r="O217" s="341">
        <v>1000000</v>
      </c>
      <c r="P217" s="341">
        <v>1000000</v>
      </c>
      <c r="Q217" s="343"/>
      <c r="R217" s="341"/>
      <c r="S217" s="341"/>
      <c r="T217" s="341"/>
      <c r="U217" s="343" t="s">
        <v>286</v>
      </c>
      <c r="V217" s="343" t="s">
        <v>286</v>
      </c>
      <c r="W217" s="343"/>
      <c r="X217" s="341"/>
      <c r="Y217" s="341"/>
      <c r="Z217" s="341"/>
      <c r="AA217" s="343" t="s">
        <v>286</v>
      </c>
      <c r="AB217" s="343" t="s">
        <v>286</v>
      </c>
      <c r="AC217" s="343"/>
      <c r="AD217" s="343"/>
      <c r="AE217" s="343"/>
      <c r="AF217" s="341"/>
      <c r="AG217" s="343"/>
      <c r="AH217" s="152"/>
      <c r="AI217" s="152"/>
      <c r="AJ217" s="152"/>
      <c r="AK217" s="152"/>
      <c r="AL217" s="152"/>
    </row>
    <row r="218" spans="1:38" s="2" customFormat="1" ht="14.5" customHeight="1">
      <c r="A218"/>
      <c r="B218" s="155" t="s">
        <v>346</v>
      </c>
      <c r="C218"/>
      <c r="D218" s="343" t="s">
        <v>286</v>
      </c>
      <c r="E218" s="343"/>
      <c r="F218" s="341"/>
      <c r="G218" s="341"/>
      <c r="H218" s="343"/>
      <c r="I218" s="343"/>
      <c r="J218" s="343" t="s">
        <v>286</v>
      </c>
      <c r="K218" s="341"/>
      <c r="L218" s="341"/>
      <c r="M218" s="343"/>
      <c r="N218" s="343" t="s">
        <v>286</v>
      </c>
      <c r="O218" s="341">
        <v>1995000</v>
      </c>
      <c r="P218" s="341">
        <v>1995000</v>
      </c>
      <c r="Q218" s="341"/>
      <c r="R218" s="341">
        <v>2000000</v>
      </c>
      <c r="S218" s="341">
        <v>2000000</v>
      </c>
      <c r="T218" s="341">
        <v>2000000</v>
      </c>
      <c r="U218" s="341">
        <v>2000000</v>
      </c>
      <c r="V218" s="341">
        <v>2000000</v>
      </c>
      <c r="W218" s="343"/>
      <c r="X218" s="341">
        <v>2000000</v>
      </c>
      <c r="Y218" s="343" t="s">
        <v>286</v>
      </c>
      <c r="Z218" s="343" t="s">
        <v>286</v>
      </c>
      <c r="AA218" s="343" t="s">
        <v>286</v>
      </c>
      <c r="AB218" s="343">
        <v>2000000</v>
      </c>
      <c r="AC218" s="343"/>
      <c r="AD218" s="343" t="s">
        <v>286</v>
      </c>
      <c r="AE218" s="343" t="s">
        <v>286</v>
      </c>
      <c r="AF218" s="341"/>
      <c r="AG218" s="341"/>
      <c r="AH218" s="144"/>
      <c r="AI218" s="144"/>
      <c r="AJ218" s="144"/>
      <c r="AK218" s="144"/>
      <c r="AL218" s="144"/>
    </row>
    <row r="219" spans="1:38" s="2" customFormat="1" ht="14.5" customHeight="1">
      <c r="A219" s="12"/>
      <c r="B219" s="155" t="s">
        <v>274</v>
      </c>
      <c r="C219" s="12"/>
      <c r="D219" s="343" t="s">
        <v>286</v>
      </c>
      <c r="E219" s="343"/>
      <c r="F219" s="341"/>
      <c r="G219" s="341"/>
      <c r="H219" s="341"/>
      <c r="I219" s="343"/>
      <c r="J219" s="343" t="s">
        <v>286</v>
      </c>
      <c r="K219" s="341"/>
      <c r="L219" s="341"/>
      <c r="M219" s="341"/>
      <c r="N219" s="343" t="s">
        <v>286</v>
      </c>
      <c r="O219" s="341">
        <v>-169438</v>
      </c>
      <c r="P219" s="341">
        <v>-169438</v>
      </c>
      <c r="Q219" s="341"/>
      <c r="R219" s="341">
        <v>-20602</v>
      </c>
      <c r="S219" s="341">
        <v>-19545</v>
      </c>
      <c r="T219" s="341">
        <v>-18504</v>
      </c>
      <c r="U219" s="341">
        <v>-17463</v>
      </c>
      <c r="V219" s="341">
        <v>-17463</v>
      </c>
      <c r="W219" s="341"/>
      <c r="X219" s="341">
        <v>-16422</v>
      </c>
      <c r="Y219" s="341">
        <v>-15382</v>
      </c>
      <c r="Z219" s="341">
        <v>-14341</v>
      </c>
      <c r="AA219" s="341">
        <v>-13000</v>
      </c>
      <c r="AB219" s="341">
        <v>-13000</v>
      </c>
      <c r="AC219" s="341"/>
      <c r="AD219" s="343" t="s">
        <v>286</v>
      </c>
      <c r="AE219" s="343" t="s">
        <v>286</v>
      </c>
      <c r="AF219" s="341"/>
      <c r="AG219" s="341"/>
      <c r="AH219" s="12"/>
      <c r="AI219" s="12"/>
      <c r="AJ219" s="12"/>
      <c r="AK219" s="12"/>
      <c r="AL219" s="12"/>
    </row>
    <row r="220" spans="1:38" s="2" customFormat="1" ht="14.5" customHeight="1">
      <c r="A220"/>
      <c r="B220" s="155" t="s">
        <v>275</v>
      </c>
      <c r="C220"/>
      <c r="D220" s="343" t="s">
        <v>286</v>
      </c>
      <c r="E220" s="343"/>
      <c r="F220" s="341"/>
      <c r="G220" s="343"/>
      <c r="H220" s="343"/>
      <c r="I220" s="343"/>
      <c r="J220" s="343" t="s">
        <v>286</v>
      </c>
      <c r="K220" s="341"/>
      <c r="L220" s="343"/>
      <c r="M220" s="343"/>
      <c r="N220" s="343"/>
      <c r="O220" s="341">
        <v>10000</v>
      </c>
      <c r="P220" s="341">
        <v>10000</v>
      </c>
      <c r="Q220" s="343"/>
      <c r="R220" s="341"/>
      <c r="S220" s="341"/>
      <c r="T220" s="341"/>
      <c r="U220" s="343" t="s">
        <v>286</v>
      </c>
      <c r="V220" s="343" t="s">
        <v>286</v>
      </c>
      <c r="W220" s="343"/>
      <c r="X220" s="341"/>
      <c r="Y220" s="341"/>
      <c r="Z220" s="341"/>
      <c r="AA220" s="343" t="s">
        <v>286</v>
      </c>
      <c r="AB220" s="343" t="s">
        <v>286</v>
      </c>
      <c r="AC220" s="343"/>
      <c r="AD220" s="343"/>
      <c r="AE220" s="343"/>
      <c r="AF220" s="341"/>
      <c r="AG220" s="343"/>
      <c r="AH220" s="144"/>
      <c r="AI220" s="144"/>
      <c r="AJ220" s="144"/>
      <c r="AK220" s="144"/>
      <c r="AL220" s="144"/>
    </row>
    <row r="221" spans="1:38" s="2" customFormat="1" ht="14.5" customHeight="1">
      <c r="A221"/>
      <c r="B221" s="155" t="s">
        <v>276</v>
      </c>
      <c r="C221"/>
      <c r="D221" s="341">
        <v>1811302</v>
      </c>
      <c r="E221" s="343"/>
      <c r="F221" s="341"/>
      <c r="G221" s="341"/>
      <c r="H221" s="341"/>
      <c r="I221" s="343"/>
      <c r="J221" s="343" t="s">
        <v>286</v>
      </c>
      <c r="K221" s="341"/>
      <c r="L221" s="341"/>
      <c r="M221" s="341"/>
      <c r="N221" s="341">
        <v>1811302</v>
      </c>
      <c r="O221" s="341">
        <v>1815562</v>
      </c>
      <c r="P221" s="341">
        <v>1815562</v>
      </c>
      <c r="Q221" s="341"/>
      <c r="R221" s="341">
        <v>1979398</v>
      </c>
      <c r="S221" s="341">
        <v>1980455</v>
      </c>
      <c r="T221" s="341">
        <v>1981496</v>
      </c>
      <c r="U221" s="341">
        <v>1982537</v>
      </c>
      <c r="V221" s="341">
        <v>1982537</v>
      </c>
      <c r="W221" s="341"/>
      <c r="X221" s="341">
        <v>1983578</v>
      </c>
      <c r="Y221" s="341">
        <v>1984618</v>
      </c>
      <c r="Z221" s="341">
        <v>1985659</v>
      </c>
      <c r="AA221" s="341">
        <v>1987000</v>
      </c>
      <c r="AB221" s="341">
        <v>1987000</v>
      </c>
      <c r="AC221" s="341"/>
      <c r="AD221" s="341">
        <v>1988000</v>
      </c>
      <c r="AE221" s="341">
        <v>1989000</v>
      </c>
      <c r="AF221" s="341"/>
      <c r="AG221" s="341"/>
      <c r="AH221" s="144"/>
      <c r="AI221" s="144"/>
      <c r="AJ221" s="144"/>
      <c r="AK221" s="144"/>
      <c r="AL221" s="144"/>
    </row>
    <row r="222" spans="1:38" s="2" customFormat="1" ht="14.5" customHeight="1" outlineLevel="1">
      <c r="A222"/>
      <c r="B222" s="155" t="s">
        <v>277</v>
      </c>
      <c r="C222"/>
      <c r="D222" s="341">
        <v>380079</v>
      </c>
      <c r="E222" s="341">
        <v>381374</v>
      </c>
      <c r="F222" s="341"/>
      <c r="G222" s="341"/>
      <c r="H222" s="341"/>
      <c r="I222" s="343"/>
      <c r="J222" s="341">
        <v>381374</v>
      </c>
      <c r="K222" s="341"/>
      <c r="L222" s="341"/>
      <c r="M222" s="341"/>
      <c r="N222" s="341">
        <v>380079</v>
      </c>
      <c r="O222" s="341">
        <v>430905</v>
      </c>
      <c r="P222" s="341">
        <v>430905</v>
      </c>
      <c r="Q222" s="341"/>
      <c r="R222" s="341">
        <v>422759</v>
      </c>
      <c r="S222" s="341">
        <v>412182</v>
      </c>
      <c r="T222" s="341">
        <v>383924</v>
      </c>
      <c r="U222" s="341">
        <v>372483</v>
      </c>
      <c r="V222" s="341">
        <v>372483</v>
      </c>
      <c r="W222" s="341"/>
      <c r="X222" s="341">
        <v>358908</v>
      </c>
      <c r="Y222" s="341">
        <v>334989</v>
      </c>
      <c r="Z222" s="341">
        <v>323201</v>
      </c>
      <c r="AA222" s="341">
        <v>295000</v>
      </c>
      <c r="AB222" s="341">
        <v>295000</v>
      </c>
      <c r="AC222" s="341"/>
      <c r="AD222" s="341">
        <v>300000</v>
      </c>
      <c r="AE222" s="341">
        <v>285000</v>
      </c>
      <c r="AF222" s="341"/>
      <c r="AG222" s="341"/>
      <c r="AH222" s="144"/>
      <c r="AI222" s="144"/>
      <c r="AJ222" s="144"/>
      <c r="AK222" s="144"/>
      <c r="AL222" s="144"/>
    </row>
    <row r="223" spans="1:38" s="2" customFormat="1" ht="14.5" customHeight="1" outlineLevel="1">
      <c r="A223"/>
      <c r="B223" s="155" t="s">
        <v>278</v>
      </c>
      <c r="C223"/>
      <c r="D223" s="341">
        <v>297824</v>
      </c>
      <c r="E223" s="341">
        <v>271164</v>
      </c>
      <c r="F223" s="341"/>
      <c r="G223" s="341"/>
      <c r="H223" s="341"/>
      <c r="I223" s="341"/>
      <c r="J223" s="341">
        <v>271164</v>
      </c>
      <c r="K223" s="341"/>
      <c r="L223" s="341"/>
      <c r="M223" s="341"/>
      <c r="N223" s="341">
        <v>297824</v>
      </c>
      <c r="O223" s="341">
        <v>203470</v>
      </c>
      <c r="P223" s="341">
        <v>203470</v>
      </c>
      <c r="Q223" s="341"/>
      <c r="R223" s="341">
        <v>204305</v>
      </c>
      <c r="S223" s="341">
        <v>202622</v>
      </c>
      <c r="T223" s="341">
        <v>208335</v>
      </c>
      <c r="U223" s="341">
        <v>218459</v>
      </c>
      <c r="V223" s="341">
        <v>218459</v>
      </c>
      <c r="W223" s="341"/>
      <c r="X223" s="341">
        <v>214758</v>
      </c>
      <c r="Y223" s="341">
        <v>207329</v>
      </c>
      <c r="Z223" s="341">
        <v>212267</v>
      </c>
      <c r="AA223" s="341">
        <v>218000</v>
      </c>
      <c r="AB223" s="341">
        <v>218000</v>
      </c>
      <c r="AC223" s="341"/>
      <c r="AD223" s="341">
        <v>227000</v>
      </c>
      <c r="AE223" s="341">
        <v>231000</v>
      </c>
      <c r="AF223" s="341"/>
      <c r="AG223" s="341"/>
      <c r="AH223" s="144"/>
      <c r="AI223" s="144"/>
      <c r="AJ223" s="144"/>
      <c r="AK223" s="144"/>
      <c r="AL223" s="144"/>
    </row>
    <row r="224" spans="1:38" s="2" customFormat="1" ht="14.5" customHeight="1">
      <c r="B224" s="342" t="s">
        <v>279</v>
      </c>
      <c r="D224" s="344">
        <v>6873261</v>
      </c>
      <c r="E224" s="344">
        <v>5886302</v>
      </c>
      <c r="F224" s="344"/>
      <c r="G224" s="344"/>
      <c r="H224" s="344"/>
      <c r="I224" s="344"/>
      <c r="J224" s="344">
        <v>5886302</v>
      </c>
      <c r="K224" s="344"/>
      <c r="L224" s="344"/>
      <c r="M224" s="344"/>
      <c r="N224" s="344">
        <v>6873261</v>
      </c>
      <c r="O224" s="344">
        <v>7589716</v>
      </c>
      <c r="P224" s="344">
        <v>7589716</v>
      </c>
      <c r="Q224" s="344"/>
      <c r="R224" s="344">
        <v>9179654</v>
      </c>
      <c r="S224" s="344">
        <v>12091609</v>
      </c>
      <c r="T224" s="344">
        <v>9133069</v>
      </c>
      <c r="U224" s="344">
        <v>8932761</v>
      </c>
      <c r="V224" s="344">
        <v>8932761</v>
      </c>
      <c r="W224" s="344"/>
      <c r="X224" s="344">
        <v>12331026</v>
      </c>
      <c r="Y224" s="344">
        <v>13814101</v>
      </c>
      <c r="Z224" s="344">
        <v>10536454</v>
      </c>
      <c r="AA224" s="344">
        <v>10478000</v>
      </c>
      <c r="AB224" s="344">
        <v>10478000</v>
      </c>
      <c r="AC224" s="344"/>
      <c r="AD224" s="344">
        <v>14727000</v>
      </c>
      <c r="AE224" s="344">
        <v>16129000</v>
      </c>
      <c r="AF224" s="344"/>
      <c r="AG224" s="344"/>
      <c r="AH224" s="8"/>
      <c r="AI224" s="8"/>
      <c r="AJ224" s="8"/>
      <c r="AK224" s="8"/>
      <c r="AL224" s="8"/>
    </row>
    <row r="225" spans="1:38" s="2" customFormat="1" ht="14.5" customHeight="1">
      <c r="B225" s="342"/>
      <c r="D225" s="173"/>
      <c r="F225" s="172"/>
      <c r="G225" s="172"/>
      <c r="H225" s="172"/>
      <c r="I225" s="172"/>
      <c r="J225" s="173"/>
      <c r="L225" s="172"/>
      <c r="M225" s="172"/>
      <c r="N225" s="344"/>
      <c r="O225" s="173"/>
      <c r="P225" s="173"/>
      <c r="R225" s="344"/>
      <c r="S225" s="344"/>
      <c r="T225" s="344"/>
      <c r="U225" s="173"/>
      <c r="V225" s="173"/>
      <c r="X225" s="344"/>
      <c r="Y225" s="344"/>
      <c r="Z225" s="344"/>
      <c r="AA225" s="24"/>
      <c r="AB225" s="24"/>
      <c r="AC225" s="28"/>
      <c r="AD225" s="344"/>
      <c r="AE225" s="344"/>
      <c r="AF225" s="28"/>
      <c r="AG225" s="28"/>
      <c r="AH225" s="8"/>
      <c r="AI225" s="8"/>
      <c r="AJ225" s="8"/>
      <c r="AK225" s="8"/>
      <c r="AL225" s="8"/>
    </row>
    <row r="226" spans="1:38" s="2" customFormat="1" ht="14.5" customHeight="1">
      <c r="B226" s="155" t="s">
        <v>280</v>
      </c>
      <c r="C226"/>
      <c r="D226" s="341">
        <v>3231502</v>
      </c>
      <c r="E226" s="341">
        <v>3231502</v>
      </c>
      <c r="F226" s="343"/>
      <c r="G226" s="343"/>
      <c r="H226" s="343"/>
      <c r="I226" s="341"/>
      <c r="J226" s="341">
        <v>3231502</v>
      </c>
      <c r="K226" s="343"/>
      <c r="L226" s="343"/>
      <c r="M226" s="343"/>
      <c r="N226" s="341">
        <v>3231502</v>
      </c>
      <c r="O226" s="343" t="s">
        <v>286</v>
      </c>
      <c r="P226" s="343" t="s">
        <v>286</v>
      </c>
      <c r="Q226" s="343"/>
      <c r="R226" s="343" t="s">
        <v>286</v>
      </c>
      <c r="S226" s="343" t="s">
        <v>286</v>
      </c>
      <c r="T226" s="343" t="s">
        <v>286</v>
      </c>
      <c r="U226" s="343" t="s">
        <v>286</v>
      </c>
      <c r="V226" s="343" t="s">
        <v>286</v>
      </c>
      <c r="W226" s="343"/>
      <c r="X226" s="343" t="s">
        <v>286</v>
      </c>
      <c r="Y226" s="343" t="s">
        <v>286</v>
      </c>
      <c r="Z226" s="343" t="s">
        <v>286</v>
      </c>
      <c r="AA226" s="343" t="s">
        <v>286</v>
      </c>
      <c r="AB226" s="343" t="s">
        <v>286</v>
      </c>
      <c r="AC226" s="343"/>
      <c r="AD226" s="343" t="s">
        <v>286</v>
      </c>
      <c r="AE226" s="343" t="s">
        <v>286</v>
      </c>
      <c r="AF226" s="343"/>
      <c r="AG226" s="343"/>
      <c r="AH226" s="144"/>
      <c r="AI226" s="144"/>
      <c r="AJ226" s="144"/>
      <c r="AK226" s="144"/>
      <c r="AL226" s="144"/>
    </row>
    <row r="227" spans="1:38" s="2" customFormat="1" ht="14.5" customHeight="1">
      <c r="A227" s="28"/>
      <c r="B227" s="155" t="s">
        <v>113</v>
      </c>
      <c r="C227" s="28"/>
      <c r="D227" s="341">
        <v>26</v>
      </c>
      <c r="E227" s="341">
        <v>26</v>
      </c>
      <c r="F227" s="341"/>
      <c r="G227" s="341"/>
      <c r="H227" s="343"/>
      <c r="I227" s="341"/>
      <c r="J227" s="341">
        <v>26</v>
      </c>
      <c r="K227" s="341"/>
      <c r="L227" s="341"/>
      <c r="M227" s="343"/>
      <c r="N227" s="341">
        <v>26</v>
      </c>
      <c r="O227" s="341">
        <v>60</v>
      </c>
      <c r="P227" s="341">
        <v>60</v>
      </c>
      <c r="Q227" s="341"/>
      <c r="R227" s="341">
        <v>61</v>
      </c>
      <c r="S227" s="341">
        <v>62</v>
      </c>
      <c r="T227" s="341">
        <v>62</v>
      </c>
      <c r="U227" s="341">
        <v>63</v>
      </c>
      <c r="V227" s="341">
        <v>63</v>
      </c>
      <c r="W227" s="343"/>
      <c r="X227" s="341">
        <v>64</v>
      </c>
      <c r="Y227" s="341">
        <v>64</v>
      </c>
      <c r="Z227" s="341">
        <v>63</v>
      </c>
      <c r="AA227" s="343" t="s">
        <v>286</v>
      </c>
      <c r="AB227" s="343" t="s">
        <v>286</v>
      </c>
      <c r="AC227" s="343"/>
      <c r="AD227" s="343" t="s">
        <v>286</v>
      </c>
      <c r="AE227" s="343" t="s">
        <v>286</v>
      </c>
      <c r="AF227" s="341"/>
      <c r="AG227" s="341"/>
      <c r="AH227" s="8"/>
      <c r="AI227" s="8"/>
      <c r="AJ227" s="8"/>
      <c r="AK227" s="8"/>
      <c r="AL227" s="8"/>
    </row>
    <row r="228" spans="1:38" s="2" customFormat="1" ht="14.5" customHeight="1" outlineLevel="1">
      <c r="A228" s="156"/>
      <c r="B228" s="155" t="s">
        <v>114</v>
      </c>
      <c r="C228" s="156"/>
      <c r="D228" s="341">
        <v>259466</v>
      </c>
      <c r="E228" s="341">
        <v>617690</v>
      </c>
      <c r="F228" s="341"/>
      <c r="G228" s="341"/>
      <c r="H228" s="341"/>
      <c r="I228" s="341"/>
      <c r="J228" s="341">
        <v>617690</v>
      </c>
      <c r="K228" s="341"/>
      <c r="L228" s="341"/>
      <c r="M228" s="341"/>
      <c r="N228" s="341">
        <v>744413</v>
      </c>
      <c r="O228" s="341">
        <v>8904791</v>
      </c>
      <c r="P228" s="341">
        <v>8904791</v>
      </c>
      <c r="Q228" s="341"/>
      <c r="R228" s="341">
        <v>10339480</v>
      </c>
      <c r="S228" s="341">
        <v>10639267</v>
      </c>
      <c r="T228" s="341">
        <v>10864266</v>
      </c>
      <c r="U228" s="341">
        <v>11140284</v>
      </c>
      <c r="V228" s="341">
        <v>11140284</v>
      </c>
      <c r="W228" s="341"/>
      <c r="X228" s="341">
        <v>11126300</v>
      </c>
      <c r="Y228" s="341">
        <v>11266683</v>
      </c>
      <c r="Z228" s="341">
        <v>11365347</v>
      </c>
      <c r="AA228" s="341">
        <v>11557000</v>
      </c>
      <c r="AB228" s="341">
        <v>11557000</v>
      </c>
      <c r="AC228" s="341"/>
      <c r="AD228" s="341">
        <v>11662000</v>
      </c>
      <c r="AE228" s="341">
        <v>11290000</v>
      </c>
      <c r="AF228" s="341"/>
      <c r="AG228" s="341"/>
      <c r="AH228" s="144"/>
      <c r="AI228" s="144"/>
      <c r="AJ228" s="144"/>
      <c r="AK228" s="144"/>
      <c r="AL228" s="144"/>
    </row>
    <row r="229" spans="1:38" s="2" customFormat="1" ht="14.5" customHeight="1">
      <c r="A229" s="28"/>
      <c r="B229" s="155" t="s">
        <v>281</v>
      </c>
      <c r="C229" s="28"/>
      <c r="D229" s="341">
        <v>-7912</v>
      </c>
      <c r="E229" s="341">
        <v>-4410</v>
      </c>
      <c r="F229" s="341"/>
      <c r="G229" s="341"/>
      <c r="H229" s="341"/>
      <c r="I229" s="341"/>
      <c r="J229" s="341">
        <v>-4410</v>
      </c>
      <c r="K229" s="341"/>
      <c r="L229" s="341"/>
      <c r="M229" s="341"/>
      <c r="N229" s="341">
        <v>-2867</v>
      </c>
      <c r="O229" s="341">
        <v>2639</v>
      </c>
      <c r="P229" s="341">
        <v>2639</v>
      </c>
      <c r="Q229" s="341"/>
      <c r="R229" s="341">
        <v>-2200</v>
      </c>
      <c r="S229" s="341">
        <v>7</v>
      </c>
      <c r="T229" s="341">
        <v>-3152</v>
      </c>
      <c r="U229" s="341">
        <v>-6893</v>
      </c>
      <c r="V229" s="341">
        <v>-6893</v>
      </c>
      <c r="W229" s="341"/>
      <c r="X229" s="341">
        <v>-12415</v>
      </c>
      <c r="Y229" s="341">
        <v>-24030</v>
      </c>
      <c r="Z229" s="341">
        <v>-41871</v>
      </c>
      <c r="AA229" s="341">
        <v>-32000</v>
      </c>
      <c r="AB229" s="341">
        <v>-32000</v>
      </c>
      <c r="AC229" s="341"/>
      <c r="AD229" s="341">
        <v>-30000</v>
      </c>
      <c r="AE229" s="341">
        <v>-33000</v>
      </c>
      <c r="AF229" s="341"/>
      <c r="AG229" s="341"/>
      <c r="AH229" s="8"/>
      <c r="AI229" s="8"/>
      <c r="AJ229" s="8"/>
      <c r="AK229" s="8"/>
      <c r="AL229" s="8"/>
    </row>
    <row r="230" spans="1:38" s="2" customFormat="1" ht="14.5" customHeight="1">
      <c r="B230" s="155" t="s">
        <v>282</v>
      </c>
      <c r="C230"/>
      <c r="D230" s="341">
        <v>-768888</v>
      </c>
      <c r="E230" s="341">
        <v>-1420991</v>
      </c>
      <c r="F230" s="341"/>
      <c r="G230" s="341"/>
      <c r="H230" s="341"/>
      <c r="I230" s="341"/>
      <c r="J230" s="341">
        <v>-1420991</v>
      </c>
      <c r="K230" s="341"/>
      <c r="L230" s="341"/>
      <c r="M230" s="341"/>
      <c r="N230" s="341">
        <v>-2117856</v>
      </c>
      <c r="O230" s="341">
        <v>-6005707</v>
      </c>
      <c r="P230" s="341">
        <v>-6005707</v>
      </c>
      <c r="Q230" s="341"/>
      <c r="R230" s="341">
        <v>-7177918</v>
      </c>
      <c r="S230" s="341">
        <v>-7246135</v>
      </c>
      <c r="T230" s="341">
        <v>-6412242</v>
      </c>
      <c r="U230" s="341">
        <v>-6357741</v>
      </c>
      <c r="V230" s="341">
        <v>-6357741</v>
      </c>
      <c r="W230" s="341"/>
      <c r="X230" s="341">
        <v>-6376533</v>
      </c>
      <c r="Y230" s="341">
        <v>-5997692</v>
      </c>
      <c r="Z230" s="341">
        <v>-5783403</v>
      </c>
      <c r="AA230" s="341">
        <v>-5965000</v>
      </c>
      <c r="AB230" s="341">
        <v>-5965000</v>
      </c>
      <c r="AC230" s="341"/>
      <c r="AD230" s="341">
        <v>-6341000</v>
      </c>
      <c r="AE230" s="341">
        <v>-6198000</v>
      </c>
      <c r="AF230" s="341"/>
      <c r="AG230" s="341"/>
      <c r="AH230" s="144"/>
      <c r="AI230" s="144"/>
      <c r="AJ230" s="144"/>
      <c r="AK230" s="144"/>
      <c r="AL230" s="144"/>
    </row>
    <row r="231" spans="1:38" s="2" customFormat="1" ht="14.5" customHeight="1">
      <c r="A231" s="153"/>
      <c r="B231" s="136" t="s">
        <v>345</v>
      </c>
      <c r="C231" s="154"/>
      <c r="D231" s="341">
        <v>-517308</v>
      </c>
      <c r="E231" s="341">
        <v>-807685</v>
      </c>
      <c r="F231" s="341"/>
      <c r="G231" s="341"/>
      <c r="H231" s="341"/>
      <c r="I231" s="341"/>
      <c r="J231" s="341">
        <v>-807685</v>
      </c>
      <c r="K231" s="341"/>
      <c r="L231" s="341"/>
      <c r="M231" s="341"/>
      <c r="N231" s="341">
        <v>-1376284</v>
      </c>
      <c r="O231" s="341">
        <v>2901783</v>
      </c>
      <c r="P231" s="341">
        <v>2901783</v>
      </c>
      <c r="Q231" s="341"/>
      <c r="R231" s="341">
        <v>3159423</v>
      </c>
      <c r="S231" s="341">
        <v>3393201</v>
      </c>
      <c r="T231" s="341">
        <v>4448934</v>
      </c>
      <c r="U231" s="341">
        <v>4775713</v>
      </c>
      <c r="V231" s="341">
        <v>4775713</v>
      </c>
      <c r="W231" s="341"/>
      <c r="X231" s="341">
        <v>4737416</v>
      </c>
      <c r="Y231" s="341">
        <v>5245025</v>
      </c>
      <c r="Z231" s="341">
        <v>5540136</v>
      </c>
      <c r="AA231" s="341">
        <v>5560000</v>
      </c>
      <c r="AB231" s="341">
        <v>5560000</v>
      </c>
      <c r="AC231" s="341"/>
      <c r="AD231" s="341">
        <v>5291000</v>
      </c>
      <c r="AE231" s="341">
        <v>5059000</v>
      </c>
      <c r="AF231" s="341"/>
      <c r="AG231" s="341"/>
      <c r="AH231" s="154"/>
      <c r="AI231" s="154"/>
      <c r="AJ231" s="154"/>
      <c r="AK231" s="154"/>
      <c r="AL231" s="154"/>
    </row>
    <row r="232" spans="1:38" s="2" customFormat="1" ht="14.5" customHeight="1">
      <c r="A232" s="153"/>
      <c r="B232" s="136" t="s">
        <v>116</v>
      </c>
      <c r="C232" s="375"/>
      <c r="D232" s="341">
        <f>D224+D231</f>
        <v>6355953</v>
      </c>
      <c r="E232" s="341"/>
      <c r="F232" s="341"/>
      <c r="G232" s="341"/>
      <c r="H232" s="341"/>
      <c r="I232" s="341"/>
      <c r="J232" s="341">
        <f>J224+J231</f>
        <v>5078617</v>
      </c>
      <c r="K232" s="341"/>
      <c r="L232" s="341"/>
      <c r="M232" s="341"/>
      <c r="N232" s="341">
        <f>N224+N231</f>
        <v>5496977</v>
      </c>
      <c r="O232" s="341">
        <f>O224+O231</f>
        <v>10491499</v>
      </c>
      <c r="P232" s="341">
        <f>P224+P231</f>
        <v>10491499</v>
      </c>
      <c r="Q232" s="341"/>
      <c r="R232" s="341">
        <f>R224+R231</f>
        <v>12339077</v>
      </c>
      <c r="S232" s="341">
        <f>S224+S231</f>
        <v>15484810</v>
      </c>
      <c r="T232" s="341">
        <f>T224+T231</f>
        <v>13582003</v>
      </c>
      <c r="U232" s="341">
        <f>U224+U231</f>
        <v>13708474</v>
      </c>
      <c r="V232" s="341">
        <f>V224+V231</f>
        <v>13708474</v>
      </c>
      <c r="W232" s="341"/>
      <c r="X232" s="341">
        <f>X224+X231</f>
        <v>17068442</v>
      </c>
      <c r="Y232" s="341">
        <f>Y224+Y231</f>
        <v>19059126</v>
      </c>
      <c r="Z232" s="341">
        <f>Z224+Z231</f>
        <v>16076590</v>
      </c>
      <c r="AA232" s="341">
        <f>AA224+AA231</f>
        <v>16038000</v>
      </c>
      <c r="AB232" s="341">
        <f>AB224+AB231</f>
        <v>16038000</v>
      </c>
      <c r="AC232" s="341"/>
      <c r="AD232" s="341">
        <f>AD224+AD231</f>
        <v>20018000</v>
      </c>
      <c r="AE232" s="341">
        <f>AE224+AE231</f>
        <v>21188000</v>
      </c>
      <c r="AF232" s="341"/>
      <c r="AG232" s="341"/>
      <c r="AH232" s="375"/>
      <c r="AI232" s="375"/>
      <c r="AJ232" s="375"/>
      <c r="AK232" s="375"/>
      <c r="AL232" s="375"/>
    </row>
    <row r="233" spans="1:38" s="2" customFormat="1" ht="14.5" customHeight="1">
      <c r="A233" s="153"/>
      <c r="B233" s="155" t="s">
        <v>117</v>
      </c>
      <c r="C233" s="375"/>
      <c r="D233" s="341">
        <f>D193-D232</f>
        <v>257136</v>
      </c>
      <c r="E233" s="341"/>
      <c r="F233" s="341"/>
      <c r="G233" s="341"/>
      <c r="H233" s="341"/>
      <c r="I233" s="341"/>
      <c r="J233" s="341">
        <f>J193-J232</f>
        <v>3231502</v>
      </c>
      <c r="K233" s="341"/>
      <c r="L233" s="341"/>
      <c r="M233" s="341"/>
      <c r="N233" s="341">
        <f>N193-N232</f>
        <v>3231502</v>
      </c>
      <c r="O233" s="341">
        <f>O193-O232</f>
        <v>0</v>
      </c>
      <c r="P233" s="341">
        <f>P193-P232</f>
        <v>0</v>
      </c>
      <c r="Q233" s="341"/>
      <c r="R233" s="341">
        <f>R193-R232</f>
        <v>0</v>
      </c>
      <c r="S233" s="341">
        <f>S193-S232</f>
        <v>0</v>
      </c>
      <c r="T233" s="341">
        <f>T193-T232</f>
        <v>0</v>
      </c>
      <c r="U233" s="341">
        <f>U193-U232</f>
        <v>0</v>
      </c>
      <c r="V233" s="341">
        <f>V193-V232</f>
        <v>0</v>
      </c>
      <c r="W233" s="341"/>
      <c r="X233" s="341">
        <f>X193-X232</f>
        <v>0</v>
      </c>
      <c r="Y233" s="341">
        <f>Y193-Y232</f>
        <v>0</v>
      </c>
      <c r="Z233" s="341">
        <f>Z193-Z232</f>
        <v>0</v>
      </c>
      <c r="AA233" s="341">
        <f>AA193-AA232</f>
        <v>0</v>
      </c>
      <c r="AB233" s="341">
        <f>AB193-AB232</f>
        <v>0</v>
      </c>
      <c r="AC233" s="341"/>
      <c r="AD233" s="341">
        <f>AD193-AD232</f>
        <v>0</v>
      </c>
      <c r="AE233" s="341">
        <f>AE193-AE232</f>
        <v>0</v>
      </c>
      <c r="AF233" s="341"/>
      <c r="AG233" s="341"/>
      <c r="AH233" s="375"/>
      <c r="AI233" s="375"/>
      <c r="AJ233" s="375"/>
      <c r="AK233" s="375"/>
      <c r="AL233" s="375"/>
    </row>
    <row r="234" spans="1:38" s="2" customFormat="1" ht="14.5" customHeight="1">
      <c r="A234" s="153"/>
      <c r="B234" s="155"/>
      <c r="C234" s="375"/>
      <c r="D234" s="341"/>
      <c r="E234" s="341"/>
      <c r="F234" s="341"/>
      <c r="G234" s="341"/>
      <c r="H234" s="341"/>
      <c r="I234" s="341"/>
      <c r="J234" s="341"/>
      <c r="K234" s="341"/>
      <c r="L234" s="341"/>
      <c r="M234" s="341"/>
      <c r="N234" s="341"/>
      <c r="O234" s="341"/>
      <c r="P234" s="341"/>
      <c r="Q234" s="341"/>
      <c r="R234" s="341"/>
      <c r="S234" s="341"/>
      <c r="T234" s="341"/>
      <c r="U234" s="341"/>
      <c r="V234" s="341"/>
      <c r="W234" s="341"/>
      <c r="X234" s="341"/>
      <c r="Y234" s="341"/>
      <c r="Z234" s="341"/>
      <c r="AA234" s="341"/>
      <c r="AB234" s="341"/>
      <c r="AC234" s="341"/>
      <c r="AD234" s="341"/>
      <c r="AE234" s="341"/>
      <c r="AF234" s="341"/>
      <c r="AG234" s="341"/>
      <c r="AH234" s="375"/>
      <c r="AI234" s="375"/>
      <c r="AJ234" s="375"/>
      <c r="AK234" s="375"/>
      <c r="AL234" s="375"/>
    </row>
    <row r="235" spans="1:38" s="2" customFormat="1" ht="14.5" customHeight="1">
      <c r="A235" s="153"/>
      <c r="B235" s="31" t="s">
        <v>118</v>
      </c>
      <c r="C235" s="375"/>
      <c r="D235" s="341"/>
      <c r="E235" s="341"/>
      <c r="F235" s="341"/>
      <c r="G235" s="341"/>
      <c r="H235" s="341"/>
      <c r="I235" s="341"/>
      <c r="J235" s="341"/>
      <c r="K235" s="341"/>
      <c r="L235" s="341"/>
      <c r="M235" s="341"/>
      <c r="N235" s="341"/>
      <c r="O235" s="341"/>
      <c r="P235" s="341"/>
      <c r="Q235" s="341"/>
      <c r="R235" s="341"/>
      <c r="S235" s="341"/>
      <c r="T235" s="341"/>
      <c r="U235" s="341"/>
      <c r="V235" s="341"/>
      <c r="W235" s="341"/>
      <c r="X235" s="341"/>
      <c r="Y235" s="341"/>
      <c r="Z235" s="341"/>
      <c r="AA235" s="341"/>
      <c r="AB235" s="341"/>
      <c r="AC235" s="341"/>
      <c r="AD235" s="341"/>
      <c r="AE235" s="341"/>
      <c r="AF235" s="341"/>
      <c r="AG235" s="341"/>
      <c r="AH235" s="375"/>
      <c r="AI235" s="375"/>
      <c r="AJ235" s="375"/>
      <c r="AK235" s="375"/>
      <c r="AL235" s="375"/>
    </row>
    <row r="236" spans="1:38" s="2" customFormat="1" ht="14.5" customHeight="1">
      <c r="A236" s="153"/>
      <c r="B236"/>
      <c r="C236" s="375"/>
      <c r="D236" s="341"/>
      <c r="E236" s="341"/>
      <c r="F236" s="341"/>
      <c r="G236" s="341"/>
      <c r="H236" s="341"/>
      <c r="I236" s="341"/>
      <c r="J236" s="341"/>
      <c r="K236" s="341"/>
      <c r="L236" s="341"/>
      <c r="M236" s="341"/>
      <c r="N236" s="341"/>
      <c r="O236" s="341"/>
      <c r="P236" s="341"/>
      <c r="Q236" s="341"/>
      <c r="R236" s="341"/>
      <c r="S236" s="341"/>
      <c r="T236" s="341"/>
      <c r="U236" s="341"/>
      <c r="V236" s="341"/>
      <c r="W236" s="341"/>
      <c r="X236" s="341"/>
      <c r="Y236" s="341"/>
      <c r="Z236" s="341"/>
      <c r="AA236" s="341"/>
      <c r="AB236" s="341"/>
      <c r="AC236" s="341"/>
      <c r="AD236" s="341"/>
      <c r="AE236" s="341"/>
      <c r="AF236" s="341"/>
      <c r="AG236" s="341"/>
      <c r="AH236" s="375"/>
      <c r="AI236" s="375"/>
      <c r="AJ236" s="375"/>
      <c r="AK236" s="375"/>
      <c r="AL236" s="375"/>
    </row>
    <row r="237" spans="1:38" s="2" customFormat="1" ht="14.5" customHeight="1">
      <c r="A237" s="153"/>
      <c r="B237" s="10" t="s">
        <v>111</v>
      </c>
      <c r="C237" s="375"/>
      <c r="D237" s="341" t="str">
        <f>D218</f>
        <v>-</v>
      </c>
      <c r="E237" s="341"/>
      <c r="F237" s="341"/>
      <c r="G237" s="341"/>
      <c r="H237" s="341"/>
      <c r="I237" s="341"/>
      <c r="J237" s="341" t="str">
        <f>J218</f>
        <v>-</v>
      </c>
      <c r="K237" s="341"/>
      <c r="L237" s="341"/>
      <c r="M237" s="341"/>
      <c r="N237" s="341"/>
      <c r="O237" s="341"/>
      <c r="P237" s="341">
        <f>P218</f>
        <v>1995000</v>
      </c>
      <c r="Q237" s="341"/>
      <c r="R237" s="341"/>
      <c r="S237" s="341"/>
      <c r="T237" s="341"/>
      <c r="U237" s="341"/>
      <c r="V237" s="341">
        <f>V218</f>
        <v>2000000</v>
      </c>
      <c r="W237" s="341"/>
      <c r="X237" s="341"/>
      <c r="Y237" s="341"/>
      <c r="Z237" s="341"/>
      <c r="AA237" s="341"/>
      <c r="AB237" s="341">
        <f>AB218</f>
        <v>2000000</v>
      </c>
      <c r="AC237" s="341"/>
      <c r="AD237" s="341"/>
      <c r="AE237" s="341"/>
      <c r="AF237" s="341"/>
      <c r="AG237" s="341"/>
      <c r="AH237" s="375"/>
      <c r="AI237" s="375"/>
      <c r="AJ237" s="375"/>
      <c r="AK237" s="375"/>
      <c r="AL237" s="375"/>
    </row>
    <row r="238" spans="1:38" s="2" customFormat="1" ht="14.5" customHeight="1">
      <c r="A238" s="153"/>
      <c r="B238" s="10" t="s">
        <v>112</v>
      </c>
      <c r="C238" s="375"/>
      <c r="D238" s="341">
        <f>D221</f>
        <v>1811302</v>
      </c>
      <c r="E238" s="341"/>
      <c r="F238" s="341"/>
      <c r="G238" s="341"/>
      <c r="H238" s="341"/>
      <c r="I238" s="341"/>
      <c r="J238" s="341" t="str">
        <f>J221</f>
        <v>-</v>
      </c>
      <c r="K238" s="341"/>
      <c r="L238" s="341"/>
      <c r="M238" s="341"/>
      <c r="N238" s="341"/>
      <c r="O238" s="341"/>
      <c r="P238" s="341">
        <f>P221</f>
        <v>1815562</v>
      </c>
      <c r="Q238" s="341"/>
      <c r="R238" s="341"/>
      <c r="S238" s="341"/>
      <c r="T238" s="341"/>
      <c r="U238" s="341"/>
      <c r="V238" s="341">
        <f>V221</f>
        <v>1982537</v>
      </c>
      <c r="W238" s="341"/>
      <c r="X238" s="341"/>
      <c r="Y238" s="341"/>
      <c r="Z238" s="341"/>
      <c r="AA238" s="341"/>
      <c r="AB238" s="341">
        <f>AB221</f>
        <v>1987000</v>
      </c>
      <c r="AC238" s="341"/>
      <c r="AD238" s="341"/>
      <c r="AE238" s="341"/>
      <c r="AF238" s="341"/>
      <c r="AG238" s="341"/>
      <c r="AH238" s="375"/>
      <c r="AI238" s="375"/>
      <c r="AJ238" s="375"/>
      <c r="AK238" s="375"/>
      <c r="AL238" s="375"/>
    </row>
    <row r="239" spans="1:38" s="2" customFormat="1" ht="14.5" customHeight="1">
      <c r="A239" s="153"/>
      <c r="B239" s="2" t="s">
        <v>119</v>
      </c>
      <c r="C239" s="375"/>
      <c r="D239" s="371">
        <f>D238</f>
        <v>1811302</v>
      </c>
      <c r="E239" s="371"/>
      <c r="F239" s="371"/>
      <c r="G239" s="371"/>
      <c r="H239" s="371"/>
      <c r="I239" s="371"/>
      <c r="J239" s="371">
        <v>0</v>
      </c>
      <c r="K239" s="371"/>
      <c r="L239" s="371"/>
      <c r="M239" s="371"/>
      <c r="N239" s="371"/>
      <c r="O239" s="371"/>
      <c r="P239" s="371">
        <f>P237+P238</f>
        <v>3810562</v>
      </c>
      <c r="Q239" s="371"/>
      <c r="R239" s="371"/>
      <c r="S239" s="371"/>
      <c r="T239" s="371"/>
      <c r="U239" s="371"/>
      <c r="V239" s="371">
        <f>V237+V238</f>
        <v>3982537</v>
      </c>
      <c r="W239" s="371"/>
      <c r="X239" s="371"/>
      <c r="Y239" s="371"/>
      <c r="Z239" s="371"/>
      <c r="AA239" s="371"/>
      <c r="AB239" s="371">
        <f>AB237+AB238</f>
        <v>3987000</v>
      </c>
      <c r="AC239" s="341"/>
      <c r="AD239" s="341"/>
      <c r="AE239" s="341"/>
      <c r="AF239" s="341"/>
      <c r="AG239" s="341"/>
      <c r="AH239" s="375"/>
      <c r="AI239" s="375"/>
      <c r="AJ239" s="375"/>
      <c r="AK239" s="375"/>
      <c r="AL239" s="375"/>
    </row>
    <row r="240" spans="1:38" s="2" customFormat="1" ht="14.5" customHeight="1">
      <c r="A240" s="153"/>
      <c r="B240" s="10" t="s">
        <v>108</v>
      </c>
      <c r="C240" s="375"/>
      <c r="D240" s="341">
        <f>D170+D171+D172</f>
        <v>3329308</v>
      </c>
      <c r="E240" s="341"/>
      <c r="F240" s="341"/>
      <c r="G240" s="341"/>
      <c r="H240" s="341"/>
      <c r="I240" s="341"/>
      <c r="J240" s="341">
        <f>J170+J171+J172</f>
        <v>3074273</v>
      </c>
      <c r="K240" s="341"/>
      <c r="L240" s="341"/>
      <c r="M240" s="341"/>
      <c r="N240" s="341"/>
      <c r="O240" s="341"/>
      <c r="P240" s="341">
        <f>P170+P171+P172</f>
        <v>6391257</v>
      </c>
      <c r="Q240" s="341"/>
      <c r="R240" s="341"/>
      <c r="S240" s="341"/>
      <c r="T240" s="341"/>
      <c r="U240" s="341"/>
      <c r="V240" s="341">
        <f>V170+V171+V172</f>
        <v>8322476</v>
      </c>
      <c r="W240" s="341"/>
      <c r="X240" s="341"/>
      <c r="Y240" s="341"/>
      <c r="Z240" s="341"/>
      <c r="AA240" s="341"/>
      <c r="AB240" s="341">
        <f>AB170+AB171+AB172</f>
        <v>9622000</v>
      </c>
      <c r="AC240" s="341"/>
      <c r="AD240" s="341"/>
      <c r="AE240" s="341"/>
      <c r="AF240" s="341"/>
      <c r="AG240" s="341"/>
      <c r="AH240" s="375"/>
      <c r="AI240" s="375"/>
      <c r="AJ240" s="375"/>
      <c r="AK240" s="375"/>
      <c r="AL240" s="375"/>
    </row>
    <row r="241" spans="1:38" s="2" customFormat="1" ht="14.5" customHeight="1">
      <c r="A241" s="153"/>
      <c r="B241" s="2" t="s">
        <v>120</v>
      </c>
      <c r="C241" s="375"/>
      <c r="D241" s="341">
        <f>D239-D240</f>
        <v>-1518006</v>
      </c>
      <c r="E241" s="341"/>
      <c r="F241" s="341"/>
      <c r="G241" s="341"/>
      <c r="H241" s="341"/>
      <c r="I241" s="341"/>
      <c r="J241" s="341">
        <f>J239-J240</f>
        <v>-3074273</v>
      </c>
      <c r="K241" s="341"/>
      <c r="L241" s="341"/>
      <c r="M241" s="341"/>
      <c r="N241" s="341"/>
      <c r="O241" s="341"/>
      <c r="P241" s="341">
        <f>P239-P240</f>
        <v>-2580695</v>
      </c>
      <c r="Q241" s="341"/>
      <c r="R241" s="341"/>
      <c r="S241" s="341"/>
      <c r="T241" s="341"/>
      <c r="U241" s="341"/>
      <c r="V241" s="341">
        <f>V239-V240</f>
        <v>-4339939</v>
      </c>
      <c r="W241" s="341"/>
      <c r="X241" s="341"/>
      <c r="Y241" s="341"/>
      <c r="Z241" s="341"/>
      <c r="AA241" s="341"/>
      <c r="AB241" s="341">
        <f>AB239-AB240</f>
        <v>-5635000</v>
      </c>
      <c r="AC241" s="341"/>
      <c r="AD241" s="341"/>
      <c r="AE241" s="341"/>
      <c r="AF241" s="341"/>
      <c r="AG241" s="341"/>
      <c r="AH241" s="375"/>
      <c r="AI241" s="375"/>
      <c r="AJ241" s="375"/>
      <c r="AK241" s="375"/>
      <c r="AL241" s="375"/>
    </row>
    <row r="242" spans="1:38" s="2" customFormat="1" ht="14.5" customHeight="1">
      <c r="A242" s="153"/>
      <c r="B242"/>
      <c r="C242" s="375"/>
      <c r="D242" s="341"/>
      <c r="E242" s="341"/>
      <c r="F242" s="341"/>
      <c r="G242" s="341"/>
      <c r="H242" s="341"/>
      <c r="I242" s="341"/>
      <c r="J242" s="341"/>
      <c r="K242" s="341"/>
      <c r="L242" s="341"/>
      <c r="M242" s="341"/>
      <c r="N242" s="341"/>
      <c r="O242" s="341"/>
      <c r="P242" s="341"/>
      <c r="Q242" s="341"/>
      <c r="R242" s="341"/>
      <c r="S242" s="341"/>
      <c r="T242" s="341"/>
      <c r="U242" s="341"/>
      <c r="V242" s="341"/>
      <c r="W242" s="341"/>
      <c r="X242" s="341"/>
      <c r="Y242" s="341"/>
      <c r="Z242" s="341"/>
      <c r="AA242" s="341"/>
      <c r="AB242" s="341"/>
      <c r="AC242" s="341"/>
      <c r="AD242" s="341"/>
      <c r="AE242" s="341"/>
      <c r="AF242" s="341"/>
      <c r="AG242" s="341"/>
      <c r="AH242" s="375"/>
      <c r="AI242" s="375"/>
      <c r="AJ242" s="375"/>
      <c r="AK242" s="375"/>
      <c r="AL242" s="375"/>
    </row>
    <row r="243" spans="1:38" s="2" customFormat="1" ht="14.5" customHeight="1">
      <c r="A243" s="153"/>
      <c r="B243" s="10" t="s">
        <v>121</v>
      </c>
      <c r="C243" s="375"/>
      <c r="D243" s="341"/>
      <c r="E243" s="341"/>
      <c r="F243" s="341"/>
      <c r="G243" s="341"/>
      <c r="H243" s="341"/>
      <c r="I243" s="341"/>
      <c r="J243" s="341"/>
      <c r="K243" s="341"/>
      <c r="L243" s="341"/>
      <c r="M243" s="341"/>
      <c r="N243" s="341"/>
      <c r="O243" s="341"/>
      <c r="P243" s="341"/>
      <c r="Q243" s="341"/>
      <c r="R243" s="341"/>
      <c r="S243" s="341"/>
      <c r="T243" s="341"/>
      <c r="U243" s="341"/>
      <c r="V243" s="341"/>
      <c r="W243" s="341"/>
      <c r="X243" s="341"/>
      <c r="Y243" s="341"/>
      <c r="Z243" s="341"/>
      <c r="AA243" s="341"/>
      <c r="AB243" s="341"/>
      <c r="AC243" s="341"/>
      <c r="AD243" s="341"/>
      <c r="AE243" s="341"/>
      <c r="AF243" s="341"/>
      <c r="AG243" s="341"/>
      <c r="AH243" s="375"/>
      <c r="AI243" s="375"/>
      <c r="AJ243" s="375"/>
      <c r="AK243" s="375"/>
      <c r="AL243" s="375"/>
    </row>
    <row r="244" spans="1:38" s="2" customFormat="1" ht="14.5" customHeight="1">
      <c r="A244" s="153"/>
      <c r="B244" s="152" t="s">
        <v>122</v>
      </c>
      <c r="C244" s="375"/>
      <c r="D244" s="341"/>
      <c r="E244" s="341"/>
      <c r="F244" s="341"/>
      <c r="G244" s="341"/>
      <c r="H244" s="341"/>
      <c r="I244" s="341"/>
      <c r="J244" s="341"/>
      <c r="K244" s="341"/>
      <c r="L244" s="341"/>
      <c r="M244" s="341"/>
      <c r="N244" s="341"/>
      <c r="O244" s="341"/>
      <c r="P244" s="341"/>
      <c r="Q244" s="341"/>
      <c r="R244" s="341"/>
      <c r="S244" s="341"/>
      <c r="T244" s="341"/>
      <c r="U244" s="341"/>
      <c r="V244" s="341"/>
      <c r="W244" s="341"/>
      <c r="X244" s="341"/>
      <c r="Y244" s="341"/>
      <c r="Z244" s="341"/>
      <c r="AA244" s="341"/>
      <c r="AB244" s="341"/>
      <c r="AC244" s="341"/>
      <c r="AD244" s="341"/>
      <c r="AE244" s="341"/>
      <c r="AF244" s="341"/>
      <c r="AG244" s="341"/>
      <c r="AH244" s="375"/>
      <c r="AI244" s="375"/>
      <c r="AJ244" s="375"/>
      <c r="AK244" s="375"/>
      <c r="AL244" s="375"/>
    </row>
    <row r="245" spans="1:38" s="2" customFormat="1" ht="14.5" customHeight="1">
      <c r="A245" s="153"/>
      <c r="B245"/>
      <c r="C245" s="375"/>
      <c r="D245" s="341"/>
      <c r="E245" s="341"/>
      <c r="F245" s="341"/>
      <c r="G245" s="341"/>
      <c r="H245" s="341"/>
      <c r="I245" s="341"/>
      <c r="J245" s="341"/>
      <c r="K245" s="341"/>
      <c r="L245" s="341"/>
      <c r="M245" s="341"/>
      <c r="N245" s="341"/>
      <c r="O245" s="341"/>
      <c r="P245" s="341"/>
      <c r="Q245" s="341"/>
      <c r="R245" s="341"/>
      <c r="S245" s="341"/>
      <c r="T245" s="341"/>
      <c r="U245" s="341"/>
      <c r="V245" s="341"/>
      <c r="W245" s="341"/>
      <c r="X245" s="341"/>
      <c r="Y245" s="341"/>
      <c r="Z245" s="341"/>
      <c r="AA245" s="341"/>
      <c r="AB245" s="341"/>
      <c r="AC245" s="341"/>
      <c r="AD245" s="341"/>
      <c r="AE245" s="341"/>
      <c r="AF245" s="341"/>
      <c r="AG245" s="341"/>
      <c r="AH245" s="375"/>
      <c r="AI245" s="375"/>
      <c r="AJ245" s="375"/>
      <c r="AK245" s="375"/>
      <c r="AL245" s="375"/>
    </row>
    <row r="246" spans="1:38" s="2" customFormat="1" ht="14.5" customHeight="1">
      <c r="A246" s="153"/>
      <c r="B246" s="31" t="s">
        <v>123</v>
      </c>
      <c r="C246" s="375"/>
      <c r="D246" s="341"/>
      <c r="E246" s="341"/>
      <c r="F246" s="341"/>
      <c r="G246" s="341"/>
      <c r="H246" s="341"/>
      <c r="I246" s="341"/>
      <c r="J246" s="341"/>
      <c r="K246" s="341"/>
      <c r="L246" s="341"/>
      <c r="M246" s="341"/>
      <c r="N246" s="341"/>
      <c r="O246" s="341"/>
      <c r="P246" s="341"/>
      <c r="Q246" s="341"/>
      <c r="R246" s="341"/>
      <c r="S246" s="341"/>
      <c r="T246" s="341"/>
      <c r="U246" s="341"/>
      <c r="V246" s="341"/>
      <c r="W246" s="341"/>
      <c r="X246" s="341"/>
      <c r="Y246" s="341"/>
      <c r="Z246" s="341"/>
      <c r="AA246" s="341"/>
      <c r="AB246" s="341"/>
      <c r="AC246" s="341"/>
      <c r="AD246" s="341"/>
      <c r="AE246" s="341"/>
      <c r="AF246" s="341"/>
      <c r="AG246" s="341"/>
      <c r="AH246" s="375"/>
      <c r="AI246" s="375"/>
      <c r="AJ246" s="375"/>
      <c r="AK246" s="375"/>
      <c r="AL246" s="375"/>
    </row>
    <row r="247" spans="1:38" s="2" customFormat="1" ht="14.5" customHeight="1">
      <c r="A247" s="153"/>
      <c r="B247"/>
      <c r="C247" s="375"/>
      <c r="D247" s="341"/>
      <c r="E247" s="341"/>
      <c r="F247" s="341"/>
      <c r="G247" s="341"/>
      <c r="H247" s="341"/>
      <c r="I247" s="341"/>
      <c r="J247" s="341"/>
      <c r="K247" s="341"/>
      <c r="L247" s="341"/>
      <c r="M247" s="341"/>
      <c r="N247" s="341"/>
      <c r="O247" s="341"/>
      <c r="P247" s="341"/>
      <c r="Q247" s="341"/>
      <c r="R247" s="341"/>
      <c r="S247" s="341"/>
      <c r="T247" s="341"/>
      <c r="U247" s="341"/>
      <c r="V247" s="341"/>
      <c r="W247" s="341"/>
      <c r="X247" s="341"/>
      <c r="Y247" s="341"/>
      <c r="Z247" s="341"/>
      <c r="AA247" s="341"/>
      <c r="AB247" s="341"/>
      <c r="AC247" s="341"/>
      <c r="AD247" s="341"/>
      <c r="AE247" s="341"/>
      <c r="AF247" s="341"/>
      <c r="AG247" s="341"/>
      <c r="AH247" s="375"/>
      <c r="AI247" s="375"/>
      <c r="AJ247" s="375"/>
      <c r="AK247" s="375"/>
      <c r="AL247" s="375"/>
    </row>
    <row r="248" spans="1:38" s="2" customFormat="1" ht="14.5" customHeight="1">
      <c r="A248" s="153"/>
      <c r="B248" s="155" t="s">
        <v>124</v>
      </c>
      <c r="C248" s="375"/>
      <c r="D248" s="341">
        <f>D193-D213</f>
        <v>2877079</v>
      </c>
      <c r="E248" s="341">
        <f t="shared" ref="E248:AB248" si="104">E193-E213</f>
        <v>3076355</v>
      </c>
      <c r="F248" s="341">
        <f t="shared" si="104"/>
        <v>0</v>
      </c>
      <c r="G248" s="341">
        <f t="shared" si="104"/>
        <v>0</v>
      </c>
      <c r="H248" s="341">
        <f t="shared" si="104"/>
        <v>0</v>
      </c>
      <c r="I248" s="341">
        <f t="shared" si="104"/>
        <v>0</v>
      </c>
      <c r="J248" s="341">
        <f t="shared" si="104"/>
        <v>3076355</v>
      </c>
      <c r="K248" s="341">
        <f t="shared" si="104"/>
        <v>5351720</v>
      </c>
      <c r="L248" s="341">
        <f t="shared" si="104"/>
        <v>0</v>
      </c>
      <c r="M248" s="341">
        <f t="shared" si="104"/>
        <v>0</v>
      </c>
      <c r="N248" s="341">
        <f t="shared" si="104"/>
        <v>4344423</v>
      </c>
      <c r="O248" s="341">
        <f t="shared" si="104"/>
        <v>5351720</v>
      </c>
      <c r="P248" s="341">
        <f t="shared" si="104"/>
        <v>5351720</v>
      </c>
      <c r="Q248" s="341">
        <f t="shared" si="104"/>
        <v>7349192</v>
      </c>
      <c r="R248" s="341">
        <f t="shared" si="104"/>
        <v>5765885</v>
      </c>
      <c r="S248" s="341">
        <f t="shared" si="104"/>
        <v>5988460</v>
      </c>
      <c r="T248" s="341">
        <f t="shared" si="104"/>
        <v>7022689</v>
      </c>
      <c r="U248" s="341">
        <f t="shared" si="104"/>
        <v>7349192</v>
      </c>
      <c r="V248" s="341">
        <f t="shared" si="104"/>
        <v>7349192</v>
      </c>
      <c r="W248" s="341">
        <f t="shared" si="104"/>
        <v>8060000</v>
      </c>
      <c r="X248" s="341">
        <f t="shared" si="104"/>
        <v>7294660</v>
      </c>
      <c r="Y248" s="341">
        <f t="shared" si="104"/>
        <v>7771961</v>
      </c>
      <c r="Z248" s="341">
        <f t="shared" si="104"/>
        <v>8061263</v>
      </c>
      <c r="AA248" s="341">
        <f t="shared" si="104"/>
        <v>8060000</v>
      </c>
      <c r="AB248" s="341">
        <f t="shared" si="104"/>
        <v>8060000</v>
      </c>
      <c r="AC248" s="341"/>
      <c r="AD248" s="341"/>
      <c r="AE248" s="341"/>
      <c r="AF248" s="341"/>
      <c r="AG248" s="341"/>
      <c r="AH248" s="375"/>
      <c r="AI248" s="375"/>
      <c r="AJ248" s="375"/>
      <c r="AK248" s="375"/>
      <c r="AL248" s="375"/>
    </row>
    <row r="249" spans="1:38" s="2" customFormat="1" ht="14.5" customHeight="1">
      <c r="A249" s="153"/>
      <c r="B249" s="10" t="s">
        <v>125</v>
      </c>
      <c r="C249" s="375"/>
      <c r="D249" s="341"/>
      <c r="E249" s="341"/>
      <c r="F249" s="341"/>
      <c r="G249" s="341"/>
      <c r="H249" s="341"/>
      <c r="I249" s="341"/>
      <c r="J249" s="341"/>
      <c r="K249" s="341"/>
      <c r="L249" s="341"/>
      <c r="M249" s="341"/>
      <c r="N249" s="341"/>
      <c r="O249" s="341"/>
      <c r="P249" s="341"/>
      <c r="Q249" s="341"/>
      <c r="R249" s="341"/>
      <c r="S249" s="341"/>
      <c r="T249" s="341"/>
      <c r="U249" s="341"/>
      <c r="V249" s="341"/>
      <c r="W249" s="341"/>
      <c r="X249" s="341"/>
      <c r="Y249" s="341"/>
      <c r="Z249" s="341"/>
      <c r="AA249" s="341"/>
      <c r="AB249" s="341"/>
      <c r="AC249" s="341"/>
      <c r="AD249" s="341"/>
      <c r="AE249" s="341"/>
      <c r="AF249" s="341"/>
      <c r="AG249" s="341"/>
      <c r="AH249" s="375"/>
      <c r="AI249" s="375"/>
      <c r="AJ249" s="375"/>
      <c r="AK249" s="375"/>
      <c r="AL249" s="375"/>
    </row>
    <row r="250" spans="1:38" s="2" customFormat="1" ht="14.5" customHeight="1">
      <c r="A250" s="153"/>
      <c r="B250" s="10" t="s">
        <v>126</v>
      </c>
      <c r="C250" s="375"/>
      <c r="D250" s="341"/>
      <c r="E250" s="341"/>
      <c r="F250" s="341"/>
      <c r="G250" s="341"/>
      <c r="H250" s="341"/>
      <c r="I250" s="341"/>
      <c r="J250" s="341"/>
      <c r="K250" s="341"/>
      <c r="L250" s="341"/>
      <c r="M250" s="341"/>
      <c r="N250" s="341"/>
      <c r="O250" s="341"/>
      <c r="P250" s="341"/>
      <c r="Q250" s="341"/>
      <c r="R250" s="341"/>
      <c r="S250" s="341"/>
      <c r="T250" s="341"/>
      <c r="U250" s="341"/>
      <c r="V250" s="341"/>
      <c r="W250" s="341"/>
      <c r="X250" s="341"/>
      <c r="Y250" s="341"/>
      <c r="Z250" s="341"/>
      <c r="AA250" s="341"/>
      <c r="AB250" s="341"/>
      <c r="AC250" s="341"/>
      <c r="AD250" s="341"/>
      <c r="AE250" s="341"/>
      <c r="AF250" s="341"/>
      <c r="AG250" s="341"/>
      <c r="AH250" s="375"/>
      <c r="AI250" s="375"/>
      <c r="AJ250" s="375"/>
      <c r="AK250" s="375"/>
      <c r="AL250" s="375"/>
    </row>
    <row r="251" spans="1:38" s="2" customFormat="1" ht="14.5" customHeight="1">
      <c r="A251" s="153"/>
      <c r="B251" s="136" t="s">
        <v>127</v>
      </c>
      <c r="C251" s="375"/>
      <c r="D251" s="341">
        <f>D248</f>
        <v>2877079</v>
      </c>
      <c r="E251" s="341">
        <f t="shared" ref="E251:AB251" si="105">E248</f>
        <v>3076355</v>
      </c>
      <c r="F251" s="341">
        <f t="shared" si="105"/>
        <v>0</v>
      </c>
      <c r="G251" s="341">
        <f t="shared" si="105"/>
        <v>0</v>
      </c>
      <c r="H251" s="341">
        <f t="shared" si="105"/>
        <v>0</v>
      </c>
      <c r="I251" s="341">
        <f t="shared" si="105"/>
        <v>0</v>
      </c>
      <c r="J251" s="341">
        <f t="shared" si="105"/>
        <v>3076355</v>
      </c>
      <c r="K251" s="341">
        <f t="shared" si="105"/>
        <v>5351720</v>
      </c>
      <c r="L251" s="341">
        <f t="shared" si="105"/>
        <v>0</v>
      </c>
      <c r="M251" s="341">
        <f t="shared" si="105"/>
        <v>0</v>
      </c>
      <c r="N251" s="341">
        <f t="shared" si="105"/>
        <v>4344423</v>
      </c>
      <c r="O251" s="341">
        <f t="shared" si="105"/>
        <v>5351720</v>
      </c>
      <c r="P251" s="341">
        <f t="shared" si="105"/>
        <v>5351720</v>
      </c>
      <c r="Q251" s="341">
        <f t="shared" si="105"/>
        <v>7349192</v>
      </c>
      <c r="R251" s="341">
        <f t="shared" si="105"/>
        <v>5765885</v>
      </c>
      <c r="S251" s="341">
        <f t="shared" si="105"/>
        <v>5988460</v>
      </c>
      <c r="T251" s="341">
        <f t="shared" si="105"/>
        <v>7022689</v>
      </c>
      <c r="U251" s="341">
        <f t="shared" si="105"/>
        <v>7349192</v>
      </c>
      <c r="V251" s="341">
        <f t="shared" si="105"/>
        <v>7349192</v>
      </c>
      <c r="W251" s="341">
        <f t="shared" si="105"/>
        <v>8060000</v>
      </c>
      <c r="X251" s="341">
        <f t="shared" si="105"/>
        <v>7294660</v>
      </c>
      <c r="Y251" s="341">
        <f t="shared" si="105"/>
        <v>7771961</v>
      </c>
      <c r="Z251" s="341">
        <f t="shared" si="105"/>
        <v>8061263</v>
      </c>
      <c r="AA251" s="341">
        <f t="shared" si="105"/>
        <v>8060000</v>
      </c>
      <c r="AB251" s="341">
        <f t="shared" si="105"/>
        <v>8060000</v>
      </c>
      <c r="AC251" s="341"/>
      <c r="AD251" s="341"/>
      <c r="AE251" s="341"/>
      <c r="AF251" s="341"/>
      <c r="AG251" s="341"/>
      <c r="AH251" s="375"/>
      <c r="AI251" s="375"/>
      <c r="AJ251" s="375"/>
      <c r="AK251" s="375"/>
      <c r="AL251" s="375"/>
    </row>
    <row r="252" spans="1:38" s="2" customFormat="1" ht="14.5" customHeight="1">
      <c r="A252" s="153"/>
      <c r="C252" s="375"/>
      <c r="D252" s="341"/>
      <c r="E252" s="341"/>
      <c r="F252" s="341"/>
      <c r="G252" s="341"/>
      <c r="H252" s="341"/>
      <c r="I252" s="341"/>
      <c r="J252" s="341"/>
      <c r="K252" s="341"/>
      <c r="L252" s="341"/>
      <c r="M252" s="341"/>
      <c r="N252" s="341"/>
      <c r="O252" s="341"/>
      <c r="P252" s="341"/>
      <c r="Q252" s="341"/>
      <c r="R252" s="341"/>
      <c r="S252" s="341"/>
      <c r="T252" s="341"/>
      <c r="U252" s="341"/>
      <c r="V252" s="341"/>
      <c r="W252" s="341"/>
      <c r="X252" s="341"/>
      <c r="Y252" s="341"/>
      <c r="Z252" s="341"/>
      <c r="AA252" s="341"/>
      <c r="AB252" s="341"/>
      <c r="AC252" s="341"/>
      <c r="AD252" s="341"/>
      <c r="AE252" s="341"/>
      <c r="AF252" s="341"/>
      <c r="AG252" s="341"/>
      <c r="AH252" s="375"/>
      <c r="AI252" s="375"/>
      <c r="AJ252" s="375"/>
      <c r="AK252" s="375"/>
      <c r="AL252" s="375"/>
    </row>
    <row r="253" spans="1:38" s="2" customFormat="1" ht="14.5" customHeight="1">
      <c r="A253" s="153"/>
      <c r="B253" s="28" t="s">
        <v>128</v>
      </c>
      <c r="C253" s="375"/>
      <c r="D253" s="341">
        <f>D123</f>
        <v>18744</v>
      </c>
      <c r="E253" s="341">
        <f t="shared" ref="E253:AB253" si="106">E123</f>
        <v>0</v>
      </c>
      <c r="F253" s="341">
        <f t="shared" si="106"/>
        <v>0</v>
      </c>
      <c r="G253" s="341">
        <f t="shared" si="106"/>
        <v>0</v>
      </c>
      <c r="H253" s="341">
        <f t="shared" si="106"/>
        <v>0</v>
      </c>
      <c r="I253" s="341">
        <f t="shared" si="106"/>
        <v>0</v>
      </c>
      <c r="J253" s="341">
        <f t="shared" si="106"/>
        <v>-501543</v>
      </c>
      <c r="K253" s="341">
        <f t="shared" si="106"/>
        <v>0</v>
      </c>
      <c r="L253" s="341">
        <f t="shared" si="106"/>
        <v>0</v>
      </c>
      <c r="M253" s="341">
        <f t="shared" si="106"/>
        <v>0</v>
      </c>
      <c r="N253" s="341">
        <f t="shared" si="106"/>
        <v>0</v>
      </c>
      <c r="O253" s="341">
        <f t="shared" si="106"/>
        <v>0</v>
      </c>
      <c r="P253" s="341">
        <f t="shared" si="106"/>
        <v>-3438791</v>
      </c>
      <c r="Q253" s="341">
        <f t="shared" si="106"/>
        <v>0</v>
      </c>
      <c r="R253" s="341">
        <f t="shared" si="106"/>
        <v>0</v>
      </c>
      <c r="S253" s="341">
        <f t="shared" si="106"/>
        <v>0</v>
      </c>
      <c r="T253" s="341">
        <f t="shared" si="106"/>
        <v>0</v>
      </c>
      <c r="U253" s="341">
        <f t="shared" si="106"/>
        <v>0</v>
      </c>
      <c r="V253" s="341">
        <f t="shared" si="106"/>
        <v>542106</v>
      </c>
      <c r="W253" s="341">
        <f t="shared" si="106"/>
        <v>0</v>
      </c>
      <c r="X253" s="341">
        <f t="shared" si="106"/>
        <v>0</v>
      </c>
      <c r="Y253" s="341">
        <f t="shared" si="106"/>
        <v>0</v>
      </c>
      <c r="Z253" s="341">
        <f t="shared" si="106"/>
        <v>0</v>
      </c>
      <c r="AA253" s="341">
        <f t="shared" si="106"/>
        <v>0</v>
      </c>
      <c r="AB253" s="341">
        <f t="shared" si="106"/>
        <v>1891000</v>
      </c>
      <c r="AC253" s="341"/>
      <c r="AD253" s="341"/>
      <c r="AE253" s="341"/>
      <c r="AF253" s="341"/>
      <c r="AG253" s="341"/>
      <c r="AH253" s="375"/>
      <c r="AI253" s="375"/>
      <c r="AJ253" s="375"/>
      <c r="AK253" s="375"/>
      <c r="AL253" s="375"/>
    </row>
    <row r="254" spans="1:38" s="2" customFormat="1" ht="14.5" customHeight="1">
      <c r="A254" s="153"/>
      <c r="B254" s="157" t="s">
        <v>129</v>
      </c>
      <c r="C254" s="375"/>
      <c r="D254" s="341">
        <f>-D317</f>
        <v>-44620</v>
      </c>
      <c r="E254" s="341">
        <f t="shared" ref="E254:AB254" si="107">-E317</f>
        <v>-28192</v>
      </c>
      <c r="F254" s="341">
        <f t="shared" si="107"/>
        <v>0</v>
      </c>
      <c r="G254" s="341">
        <f t="shared" si="107"/>
        <v>0</v>
      </c>
      <c r="H254" s="341">
        <f t="shared" si="107"/>
        <v>0</v>
      </c>
      <c r="I254" s="341">
        <f t="shared" si="107"/>
        <v>0</v>
      </c>
      <c r="J254" s="341">
        <f t="shared" si="107"/>
        <v>-28192</v>
      </c>
      <c r="K254" s="341">
        <f t="shared" si="107"/>
        <v>-15103</v>
      </c>
      <c r="L254" s="341">
        <f t="shared" si="107"/>
        <v>-2921</v>
      </c>
      <c r="M254" s="341">
        <f t="shared" si="107"/>
        <v>-5345</v>
      </c>
      <c r="N254" s="341">
        <f t="shared" si="107"/>
        <v>-10453</v>
      </c>
      <c r="O254" s="341">
        <f t="shared" si="107"/>
        <v>0</v>
      </c>
      <c r="P254" s="341">
        <f t="shared" si="107"/>
        <v>-15103</v>
      </c>
      <c r="Q254" s="341">
        <f t="shared" si="107"/>
        <v>-17291</v>
      </c>
      <c r="R254" s="341">
        <f t="shared" si="107"/>
        <v>-6307</v>
      </c>
      <c r="S254" s="341">
        <f t="shared" si="107"/>
        <v>-11744</v>
      </c>
      <c r="T254" s="341">
        <f t="shared" si="107"/>
        <v>-14299</v>
      </c>
      <c r="U254" s="341">
        <f t="shared" si="107"/>
        <v>0</v>
      </c>
      <c r="V254" s="341">
        <f t="shared" si="107"/>
        <v>-17291</v>
      </c>
      <c r="W254" s="341">
        <f t="shared" si="107"/>
        <v>-68000</v>
      </c>
      <c r="X254" s="341">
        <f t="shared" si="107"/>
        <v>-14706</v>
      </c>
      <c r="Y254" s="341">
        <f t="shared" si="107"/>
        <v>-27523</v>
      </c>
      <c r="Z254" s="341">
        <f t="shared" si="107"/>
        <v>-51795</v>
      </c>
      <c r="AA254" s="341">
        <f t="shared" si="107"/>
        <v>0</v>
      </c>
      <c r="AB254" s="341">
        <f t="shared" si="107"/>
        <v>-68000</v>
      </c>
      <c r="AC254" s="341"/>
      <c r="AD254" s="341"/>
      <c r="AE254" s="341"/>
      <c r="AF254" s="341"/>
      <c r="AG254" s="341"/>
      <c r="AH254" s="375"/>
      <c r="AI254" s="375"/>
      <c r="AJ254" s="375"/>
      <c r="AK254" s="375"/>
      <c r="AL254" s="375"/>
    </row>
    <row r="255" spans="1:38" s="2" customFormat="1" ht="14.5" customHeight="1">
      <c r="A255" s="153"/>
      <c r="B255" s="28" t="s">
        <v>130</v>
      </c>
      <c r="C255" s="375"/>
      <c r="D255" s="341">
        <f>D253+D254</f>
        <v>-25876</v>
      </c>
      <c r="E255" s="341">
        <f t="shared" ref="E255:AB255" si="108">E253+E254</f>
        <v>-28192</v>
      </c>
      <c r="F255" s="341">
        <f t="shared" si="108"/>
        <v>0</v>
      </c>
      <c r="G255" s="341">
        <f t="shared" si="108"/>
        <v>0</v>
      </c>
      <c r="H255" s="341">
        <f t="shared" si="108"/>
        <v>0</v>
      </c>
      <c r="I255" s="341">
        <f t="shared" si="108"/>
        <v>0</v>
      </c>
      <c r="J255" s="341">
        <f t="shared" si="108"/>
        <v>-529735</v>
      </c>
      <c r="K255" s="341">
        <f t="shared" si="108"/>
        <v>-15103</v>
      </c>
      <c r="L255" s="341">
        <f t="shared" si="108"/>
        <v>-2921</v>
      </c>
      <c r="M255" s="341">
        <f t="shared" si="108"/>
        <v>-5345</v>
      </c>
      <c r="N255" s="341">
        <f t="shared" si="108"/>
        <v>-10453</v>
      </c>
      <c r="O255" s="341">
        <f t="shared" si="108"/>
        <v>0</v>
      </c>
      <c r="P255" s="341">
        <f t="shared" si="108"/>
        <v>-3453894</v>
      </c>
      <c r="Q255" s="341">
        <f t="shared" si="108"/>
        <v>-17291</v>
      </c>
      <c r="R255" s="341">
        <f t="shared" si="108"/>
        <v>-6307</v>
      </c>
      <c r="S255" s="341">
        <f t="shared" si="108"/>
        <v>-11744</v>
      </c>
      <c r="T255" s="341">
        <f t="shared" si="108"/>
        <v>-14299</v>
      </c>
      <c r="U255" s="341">
        <f t="shared" si="108"/>
        <v>0</v>
      </c>
      <c r="V255" s="341">
        <f t="shared" si="108"/>
        <v>524815</v>
      </c>
      <c r="W255" s="341">
        <f t="shared" si="108"/>
        <v>-68000</v>
      </c>
      <c r="X255" s="341">
        <f t="shared" si="108"/>
        <v>-14706</v>
      </c>
      <c r="Y255" s="341">
        <f t="shared" si="108"/>
        <v>-27523</v>
      </c>
      <c r="Z255" s="341">
        <f t="shared" si="108"/>
        <v>-51795</v>
      </c>
      <c r="AA255" s="341">
        <f t="shared" si="108"/>
        <v>0</v>
      </c>
      <c r="AB255" s="341">
        <f t="shared" si="108"/>
        <v>1823000</v>
      </c>
      <c r="AC255" s="341"/>
      <c r="AD255" s="341"/>
      <c r="AE255" s="341"/>
      <c r="AF255" s="341"/>
      <c r="AG255" s="341"/>
      <c r="AH255" s="375"/>
      <c r="AI255" s="375"/>
      <c r="AJ255" s="375"/>
      <c r="AK255" s="375"/>
      <c r="AL255" s="375"/>
    </row>
    <row r="256" spans="1:38" s="2" customFormat="1" ht="14.5" customHeight="1">
      <c r="A256" s="153"/>
      <c r="C256" s="375"/>
      <c r="D256" s="341"/>
      <c r="E256" s="341"/>
      <c r="F256" s="341"/>
      <c r="G256" s="341"/>
      <c r="H256" s="341"/>
      <c r="I256" s="341"/>
      <c r="J256" s="341"/>
      <c r="K256" s="341"/>
      <c r="L256" s="341"/>
      <c r="M256" s="341"/>
      <c r="N256" s="341"/>
      <c r="O256" s="341"/>
      <c r="P256" s="341"/>
      <c r="Q256" s="341"/>
      <c r="R256" s="341"/>
      <c r="S256" s="341"/>
      <c r="T256" s="341"/>
      <c r="U256" s="341"/>
      <c r="V256" s="341"/>
      <c r="W256" s="341"/>
      <c r="X256" s="341"/>
      <c r="Y256" s="341"/>
      <c r="Z256" s="341"/>
      <c r="AA256" s="341"/>
      <c r="AB256" s="341"/>
      <c r="AC256" s="341"/>
      <c r="AD256" s="341"/>
      <c r="AE256" s="341"/>
      <c r="AF256" s="341"/>
      <c r="AG256" s="341"/>
      <c r="AH256" s="375"/>
      <c r="AI256" s="375"/>
      <c r="AJ256" s="375"/>
      <c r="AK256" s="375"/>
      <c r="AL256" s="375"/>
    </row>
    <row r="257" spans="1:38" s="2" customFormat="1" ht="14.5" customHeight="1">
      <c r="A257" s="153"/>
      <c r="B257" s="154" t="s">
        <v>123</v>
      </c>
      <c r="C257" s="375"/>
      <c r="D257" s="405">
        <f>D255/D248</f>
        <v>-8.9938441036898891E-3</v>
      </c>
      <c r="E257" s="405">
        <f t="shared" ref="E257:AB257" si="109">E255/E248</f>
        <v>-9.1640919204708168E-3</v>
      </c>
      <c r="F257" s="405" t="e">
        <f t="shared" si="109"/>
        <v>#DIV/0!</v>
      </c>
      <c r="G257" s="405" t="e">
        <f t="shared" si="109"/>
        <v>#DIV/0!</v>
      </c>
      <c r="H257" s="405" t="e">
        <f t="shared" si="109"/>
        <v>#DIV/0!</v>
      </c>
      <c r="I257" s="405" t="e">
        <f t="shared" si="109"/>
        <v>#DIV/0!</v>
      </c>
      <c r="J257" s="405">
        <f t="shared" si="109"/>
        <v>-0.17219566662495064</v>
      </c>
      <c r="K257" s="405">
        <f t="shared" si="109"/>
        <v>-2.8220833675902325E-3</v>
      </c>
      <c r="L257" s="405" t="e">
        <f t="shared" si="109"/>
        <v>#DIV/0!</v>
      </c>
      <c r="M257" s="405" t="e">
        <f t="shared" si="109"/>
        <v>#DIV/0!</v>
      </c>
      <c r="N257" s="405">
        <f t="shared" si="109"/>
        <v>-2.4060732575994555E-3</v>
      </c>
      <c r="O257" s="405">
        <f t="shared" si="109"/>
        <v>0</v>
      </c>
      <c r="P257" s="405">
        <f t="shared" si="109"/>
        <v>-0.64538017684034288</v>
      </c>
      <c r="Q257" s="405">
        <f t="shared" si="109"/>
        <v>-2.3527756520716836E-3</v>
      </c>
      <c r="R257" s="405">
        <f t="shared" si="109"/>
        <v>-1.0938476920715555E-3</v>
      </c>
      <c r="S257" s="405">
        <f t="shared" si="109"/>
        <v>-1.9611051923198951E-3</v>
      </c>
      <c r="T257" s="405">
        <f t="shared" si="109"/>
        <v>-2.0361146563659589E-3</v>
      </c>
      <c r="U257" s="405">
        <f t="shared" si="109"/>
        <v>0</v>
      </c>
      <c r="V257" s="405">
        <f t="shared" si="109"/>
        <v>7.1411251740327378E-2</v>
      </c>
      <c r="W257" s="405">
        <f t="shared" si="109"/>
        <v>-8.4367245657568247E-3</v>
      </c>
      <c r="X257" s="405">
        <f t="shared" si="109"/>
        <v>-2.0159952622877558E-3</v>
      </c>
      <c r="Y257" s="405">
        <f t="shared" si="109"/>
        <v>-3.5413198805295085E-3</v>
      </c>
      <c r="Z257" s="405">
        <f t="shared" si="109"/>
        <v>-6.4251718372170712E-3</v>
      </c>
      <c r="AA257" s="405">
        <f t="shared" si="109"/>
        <v>0</v>
      </c>
      <c r="AB257" s="405">
        <f t="shared" si="109"/>
        <v>0.22617866004962778</v>
      </c>
      <c r="AC257" s="341"/>
      <c r="AD257" s="341"/>
      <c r="AE257" s="341"/>
      <c r="AF257" s="341"/>
      <c r="AG257" s="341"/>
      <c r="AH257" s="375"/>
      <c r="AI257" s="375"/>
      <c r="AJ257" s="375"/>
      <c r="AK257" s="375"/>
      <c r="AL257" s="375"/>
    </row>
    <row r="258" spans="1:38" s="2" customFormat="1" ht="14.5" customHeight="1">
      <c r="A258" s="153"/>
      <c r="B258" s="159" t="s">
        <v>131</v>
      </c>
      <c r="C258" s="375"/>
      <c r="D258" s="341"/>
      <c r="E258" s="341"/>
      <c r="F258" s="341"/>
      <c r="G258" s="341"/>
      <c r="H258" s="341"/>
      <c r="I258" s="341"/>
      <c r="J258" s="341"/>
      <c r="K258" s="341"/>
      <c r="L258" s="341"/>
      <c r="M258" s="341"/>
      <c r="N258" s="341"/>
      <c r="O258" s="341"/>
      <c r="P258" s="341"/>
      <c r="Q258" s="341"/>
      <c r="R258" s="341"/>
      <c r="S258" s="341"/>
      <c r="T258" s="341"/>
      <c r="U258" s="341"/>
      <c r="V258" s="341"/>
      <c r="W258" s="341"/>
      <c r="X258" s="341"/>
      <c r="Y258" s="341"/>
      <c r="Z258" s="341"/>
      <c r="AA258" s="341"/>
      <c r="AB258" s="341"/>
      <c r="AC258" s="341"/>
      <c r="AD258" s="341"/>
      <c r="AE258" s="341"/>
      <c r="AF258" s="341"/>
      <c r="AG258" s="341"/>
      <c r="AH258" s="375"/>
      <c r="AI258" s="375"/>
      <c r="AJ258" s="375"/>
      <c r="AK258" s="375"/>
      <c r="AL258" s="375"/>
    </row>
    <row r="259" spans="1:38" s="2" customFormat="1" ht="14.5" customHeight="1">
      <c r="A259" s="153"/>
      <c r="B259"/>
      <c r="C259" s="375"/>
      <c r="D259" s="341"/>
      <c r="E259" s="341"/>
      <c r="F259" s="341"/>
      <c r="G259" s="341"/>
      <c r="H259" s="341"/>
      <c r="I259" s="341"/>
      <c r="J259" s="341"/>
      <c r="K259" s="341"/>
      <c r="L259" s="341"/>
      <c r="M259" s="341"/>
      <c r="N259" s="341"/>
      <c r="O259" s="341"/>
      <c r="P259" s="341"/>
      <c r="Q259" s="341"/>
      <c r="R259" s="341"/>
      <c r="S259" s="341"/>
      <c r="T259" s="341"/>
      <c r="U259" s="341"/>
      <c r="V259" s="341"/>
      <c r="W259" s="341"/>
      <c r="X259" s="341"/>
      <c r="Y259" s="341"/>
      <c r="Z259" s="341"/>
      <c r="AA259" s="341"/>
      <c r="AB259" s="341"/>
      <c r="AC259" s="341"/>
      <c r="AD259" s="341"/>
      <c r="AE259" s="341"/>
      <c r="AF259" s="341"/>
      <c r="AG259" s="341"/>
      <c r="AH259" s="375"/>
      <c r="AI259" s="375"/>
      <c r="AJ259" s="375"/>
      <c r="AK259" s="375"/>
      <c r="AL259" s="375"/>
    </row>
    <row r="260" spans="1:38" s="379" customFormat="1" ht="14.5" customHeight="1">
      <c r="A260" s="376"/>
      <c r="B260" s="154" t="s">
        <v>132</v>
      </c>
      <c r="C260" s="377"/>
      <c r="D260" s="411">
        <f>D255/D251</f>
        <v>-8.9938441036898891E-3</v>
      </c>
      <c r="E260" s="411">
        <f t="shared" ref="E260:AB260" si="110">E255/E251</f>
        <v>-9.1640919204708168E-3</v>
      </c>
      <c r="F260" s="411" t="e">
        <f t="shared" si="110"/>
        <v>#DIV/0!</v>
      </c>
      <c r="G260" s="411" t="e">
        <f t="shared" si="110"/>
        <v>#DIV/0!</v>
      </c>
      <c r="H260" s="411" t="e">
        <f t="shared" si="110"/>
        <v>#DIV/0!</v>
      </c>
      <c r="I260" s="411" t="e">
        <f t="shared" si="110"/>
        <v>#DIV/0!</v>
      </c>
      <c r="J260" s="411">
        <f t="shared" si="110"/>
        <v>-0.17219566662495064</v>
      </c>
      <c r="K260" s="411">
        <f t="shared" si="110"/>
        <v>-2.8220833675902325E-3</v>
      </c>
      <c r="L260" s="411" t="e">
        <f t="shared" si="110"/>
        <v>#DIV/0!</v>
      </c>
      <c r="M260" s="411" t="e">
        <f t="shared" si="110"/>
        <v>#DIV/0!</v>
      </c>
      <c r="N260" s="411">
        <f t="shared" si="110"/>
        <v>-2.4060732575994555E-3</v>
      </c>
      <c r="O260" s="411">
        <f t="shared" si="110"/>
        <v>0</v>
      </c>
      <c r="P260" s="411">
        <f t="shared" si="110"/>
        <v>-0.64538017684034288</v>
      </c>
      <c r="Q260" s="411">
        <f t="shared" si="110"/>
        <v>-2.3527756520716836E-3</v>
      </c>
      <c r="R260" s="411">
        <f t="shared" si="110"/>
        <v>-1.0938476920715555E-3</v>
      </c>
      <c r="S260" s="411">
        <f t="shared" si="110"/>
        <v>-1.9611051923198951E-3</v>
      </c>
      <c r="T260" s="411">
        <f t="shared" si="110"/>
        <v>-2.0361146563659589E-3</v>
      </c>
      <c r="U260" s="411">
        <f t="shared" si="110"/>
        <v>0</v>
      </c>
      <c r="V260" s="411">
        <f t="shared" si="110"/>
        <v>7.1411251740327378E-2</v>
      </c>
      <c r="W260" s="411">
        <f t="shared" si="110"/>
        <v>-8.4367245657568247E-3</v>
      </c>
      <c r="X260" s="411">
        <f t="shared" si="110"/>
        <v>-2.0159952622877558E-3</v>
      </c>
      <c r="Y260" s="411">
        <f t="shared" si="110"/>
        <v>-3.5413198805295085E-3</v>
      </c>
      <c r="Z260" s="411">
        <f t="shared" si="110"/>
        <v>-6.4251718372170712E-3</v>
      </c>
      <c r="AA260" s="411">
        <f t="shared" si="110"/>
        <v>0</v>
      </c>
      <c r="AB260" s="411">
        <f t="shared" si="110"/>
        <v>0.22617866004962778</v>
      </c>
      <c r="AC260" s="378"/>
      <c r="AD260" s="378"/>
      <c r="AE260" s="378"/>
      <c r="AF260" s="378"/>
      <c r="AG260" s="378"/>
      <c r="AH260" s="377"/>
      <c r="AI260" s="377"/>
      <c r="AJ260" s="377"/>
      <c r="AK260" s="377"/>
      <c r="AL260" s="377"/>
    </row>
    <row r="261" spans="1:38" s="2" customFormat="1" ht="14.5" customHeight="1">
      <c r="A261" s="153"/>
      <c r="B261" s="161" t="s">
        <v>133</v>
      </c>
      <c r="C261" s="375"/>
      <c r="D261" s="341"/>
      <c r="E261" s="341"/>
      <c r="F261" s="341"/>
      <c r="G261" s="341"/>
      <c r="H261" s="341"/>
      <c r="I261" s="341"/>
      <c r="J261" s="341"/>
      <c r="K261" s="341"/>
      <c r="L261" s="341"/>
      <c r="M261" s="341"/>
      <c r="N261" s="341"/>
      <c r="O261" s="341"/>
      <c r="P261" s="341"/>
      <c r="Q261" s="341"/>
      <c r="R261" s="341"/>
      <c r="S261" s="341"/>
      <c r="T261" s="341"/>
      <c r="U261" s="341"/>
      <c r="V261" s="341"/>
      <c r="W261" s="341"/>
      <c r="X261" s="341"/>
      <c r="Y261" s="341"/>
      <c r="Z261" s="341"/>
      <c r="AA261" s="341"/>
      <c r="AB261" s="341"/>
      <c r="AC261" s="341"/>
      <c r="AD261" s="341"/>
      <c r="AE261" s="341"/>
      <c r="AF261" s="341"/>
      <c r="AG261" s="341"/>
      <c r="AH261" s="375"/>
      <c r="AI261" s="375"/>
      <c r="AJ261" s="375"/>
      <c r="AK261" s="375"/>
      <c r="AL261" s="375"/>
    </row>
    <row r="262" spans="1:38" s="2" customFormat="1" ht="14.5" customHeight="1">
      <c r="A262"/>
      <c r="B262"/>
      <c r="C262"/>
      <c r="D262" s="160"/>
      <c r="E262"/>
      <c r="F262" s="158"/>
      <c r="G262" s="158"/>
      <c r="H262" s="158"/>
      <c r="I262" s="158"/>
      <c r="J262" s="160"/>
      <c r="K262"/>
      <c r="L262" s="158"/>
      <c r="M262" s="158"/>
      <c r="N262" s="158"/>
      <c r="O262" s="158"/>
      <c r="P262" s="160"/>
      <c r="Q262"/>
      <c r="R262" s="158"/>
      <c r="S262" s="158"/>
      <c r="T262" s="158"/>
      <c r="U262" s="158"/>
      <c r="V262" s="160"/>
      <c r="W262"/>
      <c r="X262" s="158"/>
      <c r="Y262" s="158"/>
      <c r="Z262" s="158"/>
      <c r="AA262" s="158"/>
      <c r="AB262" s="160"/>
      <c r="AC262" s="158"/>
      <c r="AD262" s="158"/>
      <c r="AE262" s="158"/>
      <c r="AF262" s="158"/>
      <c r="AG262" s="158"/>
      <c r="AH262" s="144"/>
      <c r="AI262" s="144"/>
      <c r="AJ262" s="144"/>
      <c r="AK262" s="144"/>
      <c r="AL262" s="144"/>
    </row>
    <row r="263" spans="1:38" s="2" customFormat="1" ht="14.5" customHeight="1">
      <c r="A263" s="147"/>
      <c r="B263" s="1" t="s">
        <v>134</v>
      </c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  <c r="AA263" s="147"/>
      <c r="AB263" s="147"/>
      <c r="AC263" s="147"/>
      <c r="AD263" s="147"/>
      <c r="AE263" s="147"/>
      <c r="AF263" s="147"/>
      <c r="AG263" s="147"/>
      <c r="AH263" s="147"/>
      <c r="AI263" s="147"/>
      <c r="AJ263" s="147"/>
      <c r="AK263" s="147"/>
      <c r="AL263" s="147"/>
    </row>
    <row r="264" spans="1:38" s="2" customFormat="1" ht="14.5" customHeight="1">
      <c r="B264" s="29"/>
      <c r="C264"/>
      <c r="D264" s="25"/>
      <c r="E264"/>
      <c r="F264" s="27"/>
      <c r="G264" s="27"/>
      <c r="H264" s="27"/>
      <c r="I264" s="134"/>
      <c r="J264" s="25"/>
      <c r="K264"/>
      <c r="L264" s="27"/>
      <c r="M264" s="27"/>
      <c r="N264" s="27"/>
      <c r="O264" s="134"/>
      <c r="P264" s="25"/>
      <c r="Q264"/>
      <c r="R264" s="27"/>
      <c r="S264" s="27"/>
      <c r="T264" s="27"/>
      <c r="U264" s="134"/>
      <c r="V264" s="25"/>
      <c r="W264"/>
      <c r="X264" s="27"/>
      <c r="Y264" s="27"/>
      <c r="Z264"/>
      <c r="AA264"/>
      <c r="AB264" s="144"/>
      <c r="AC264" s="144"/>
      <c r="AD264" s="27"/>
      <c r="AE264" s="27"/>
      <c r="AF264"/>
      <c r="AG264"/>
      <c r="AH264" s="144"/>
      <c r="AI264" s="144"/>
      <c r="AJ264" s="144"/>
      <c r="AK264" s="144"/>
      <c r="AL264" s="144"/>
    </row>
    <row r="265" spans="1:38" s="2" customFormat="1" ht="14.5" customHeight="1">
      <c r="B265" s="155" t="s">
        <v>287</v>
      </c>
      <c r="C265"/>
      <c r="D265" s="341">
        <v>-16860</v>
      </c>
      <c r="E265" s="341">
        <v>-674339</v>
      </c>
      <c r="F265" s="341"/>
      <c r="G265" s="341"/>
      <c r="H265" s="341"/>
      <c r="I265" s="341"/>
      <c r="J265" s="341">
        <v>-674339</v>
      </c>
      <c r="K265" s="341">
        <v>-4584716</v>
      </c>
      <c r="L265" s="341">
        <v>-340605</v>
      </c>
      <c r="M265" s="341">
        <v>-916193</v>
      </c>
      <c r="N265" s="341">
        <v>-696865</v>
      </c>
      <c r="O265" s="341"/>
      <c r="P265" s="341">
        <v>-4584716</v>
      </c>
      <c r="Q265" s="341">
        <v>-352034</v>
      </c>
      <c r="R265" s="341">
        <v>-1172211</v>
      </c>
      <c r="S265" s="341">
        <v>-1240428</v>
      </c>
      <c r="T265" s="341">
        <v>-406535</v>
      </c>
      <c r="U265" s="341"/>
      <c r="V265" s="341">
        <v>-352034</v>
      </c>
      <c r="W265" s="341">
        <v>1893000</v>
      </c>
      <c r="X265" s="341">
        <v>-18792</v>
      </c>
      <c r="Y265" s="341">
        <v>360049</v>
      </c>
      <c r="Z265" s="341">
        <v>1574337</v>
      </c>
      <c r="AA265" s="341"/>
      <c r="AB265" s="341">
        <v>1893000</v>
      </c>
      <c r="AC265" s="341"/>
      <c r="AD265" s="341">
        <v>117000</v>
      </c>
      <c r="AE265" s="341">
        <v>767000</v>
      </c>
      <c r="AF265" s="341"/>
      <c r="AG265" s="341"/>
      <c r="AH265" s="182"/>
      <c r="AI265" s="182"/>
      <c r="AJ265" s="182"/>
      <c r="AK265" s="182"/>
      <c r="AL265" s="182"/>
    </row>
    <row r="266" spans="1:38" s="2" customFormat="1" ht="14.5" customHeight="1">
      <c r="B266" s="155" t="s">
        <v>288</v>
      </c>
      <c r="C266"/>
      <c r="D266" s="341">
        <v>82401</v>
      </c>
      <c r="E266" s="341">
        <v>114162</v>
      </c>
      <c r="F266" s="341"/>
      <c r="G266" s="341"/>
      <c r="H266" s="341"/>
      <c r="I266" s="341"/>
      <c r="J266" s="341">
        <v>114162</v>
      </c>
      <c r="K266" s="341">
        <v>125876</v>
      </c>
      <c r="L266" s="341">
        <v>33872</v>
      </c>
      <c r="M266" s="341">
        <v>63800</v>
      </c>
      <c r="N266" s="341">
        <v>93438</v>
      </c>
      <c r="O266" s="341"/>
      <c r="P266" s="341">
        <v>125876</v>
      </c>
      <c r="Q266" s="341">
        <v>138319</v>
      </c>
      <c r="R266" s="341">
        <v>38252</v>
      </c>
      <c r="S266" s="341">
        <v>73788</v>
      </c>
      <c r="T266" s="341">
        <v>107475</v>
      </c>
      <c r="U266" s="341"/>
      <c r="V266" s="341">
        <v>138319</v>
      </c>
      <c r="W266" s="341">
        <v>81000</v>
      </c>
      <c r="X266" s="341">
        <v>29232</v>
      </c>
      <c r="Y266" s="341">
        <v>55237</v>
      </c>
      <c r="Z266" s="341">
        <v>68052</v>
      </c>
      <c r="AA266" s="341"/>
      <c r="AB266" s="341">
        <v>81000</v>
      </c>
      <c r="AC266" s="341"/>
      <c r="AD266" s="341">
        <v>11000</v>
      </c>
      <c r="AE266" s="341">
        <v>20000</v>
      </c>
      <c r="AF266" s="341"/>
      <c r="AG266" s="341"/>
      <c r="AH266" s="175"/>
      <c r="AI266" s="175"/>
      <c r="AJ266" s="175"/>
      <c r="AK266" s="175"/>
      <c r="AL266" s="175"/>
    </row>
    <row r="267" spans="1:38" s="2" customFormat="1" ht="14.5" customHeight="1">
      <c r="B267" s="155" t="s">
        <v>289</v>
      </c>
      <c r="C267"/>
      <c r="D267" s="341">
        <v>49028</v>
      </c>
      <c r="E267" s="341">
        <v>77053</v>
      </c>
      <c r="F267" s="341"/>
      <c r="G267" s="341"/>
      <c r="H267" s="341"/>
      <c r="I267" s="341"/>
      <c r="J267" s="341">
        <v>77053</v>
      </c>
      <c r="K267" s="341">
        <v>107685</v>
      </c>
      <c r="L267" s="341">
        <v>27128</v>
      </c>
      <c r="M267" s="341">
        <v>63827</v>
      </c>
      <c r="N267" s="341">
        <v>85531</v>
      </c>
      <c r="O267" s="341"/>
      <c r="P267" s="341">
        <v>107685</v>
      </c>
      <c r="Q267" s="341">
        <v>27285</v>
      </c>
      <c r="R267" s="341">
        <v>7305</v>
      </c>
      <c r="S267" s="341">
        <v>9622</v>
      </c>
      <c r="T267" s="341">
        <v>16959</v>
      </c>
      <c r="U267" s="341"/>
      <c r="V267" s="341">
        <v>27285</v>
      </c>
      <c r="W267" s="341">
        <v>49000</v>
      </c>
      <c r="X267" s="341">
        <v>9299</v>
      </c>
      <c r="Y267" s="341">
        <v>20270</v>
      </c>
      <c r="Z267" s="341">
        <v>32647</v>
      </c>
      <c r="AA267" s="341"/>
      <c r="AB267" s="341">
        <v>49000</v>
      </c>
      <c r="AC267" s="341"/>
      <c r="AD267" s="343" t="s">
        <v>286</v>
      </c>
      <c r="AE267" s="343" t="s">
        <v>286</v>
      </c>
      <c r="AF267" s="341"/>
      <c r="AG267" s="341"/>
      <c r="AH267" s="175"/>
      <c r="AI267" s="175"/>
      <c r="AJ267" s="175"/>
      <c r="AK267" s="175"/>
      <c r="AL267" s="175"/>
    </row>
    <row r="268" spans="1:38" s="2" customFormat="1" ht="14.5" customHeight="1">
      <c r="B268" s="155" t="s">
        <v>105</v>
      </c>
      <c r="C268"/>
      <c r="D268" s="341">
        <v>53893</v>
      </c>
      <c r="E268" s="341">
        <v>97547</v>
      </c>
      <c r="F268" s="341"/>
      <c r="G268" s="341"/>
      <c r="H268" s="341"/>
      <c r="I268" s="341"/>
      <c r="J268" s="341">
        <v>97547</v>
      </c>
      <c r="K268" s="341">
        <v>3001948</v>
      </c>
      <c r="L268" s="341">
        <v>41626</v>
      </c>
      <c r="M268" s="341">
        <v>79416</v>
      </c>
      <c r="N268" s="341">
        <v>108776</v>
      </c>
      <c r="O268" s="341"/>
      <c r="P268" s="341">
        <v>3001948</v>
      </c>
      <c r="Q268" s="341">
        <v>898830</v>
      </c>
      <c r="R268" s="341">
        <v>229474</v>
      </c>
      <c r="S268" s="341">
        <v>462337</v>
      </c>
      <c r="T268" s="341">
        <v>673126</v>
      </c>
      <c r="U268" s="341"/>
      <c r="V268" s="341">
        <v>898830</v>
      </c>
      <c r="W268" s="341">
        <v>930000</v>
      </c>
      <c r="X268" s="341">
        <v>194923</v>
      </c>
      <c r="Y268" s="341">
        <v>442028</v>
      </c>
      <c r="Z268" s="341">
        <v>676392</v>
      </c>
      <c r="AA268" s="341"/>
      <c r="AB268" s="341">
        <v>930000</v>
      </c>
      <c r="AC268" s="341"/>
      <c r="AD268" s="341">
        <v>240000</v>
      </c>
      <c r="AE268" s="341">
        <v>544000</v>
      </c>
      <c r="AF268" s="341"/>
      <c r="AG268" s="341"/>
      <c r="AH268" s="175"/>
      <c r="AI268" s="175"/>
      <c r="AJ268" s="175"/>
      <c r="AK268" s="175"/>
      <c r="AL268" s="175"/>
    </row>
    <row r="269" spans="1:38" s="2" customFormat="1" ht="14.5" customHeight="1">
      <c r="B269" s="155" t="s">
        <v>135</v>
      </c>
      <c r="C269"/>
      <c r="D269" s="341">
        <v>-5017</v>
      </c>
      <c r="E269" s="341">
        <v>-5627</v>
      </c>
      <c r="F269" s="341"/>
      <c r="G269" s="341"/>
      <c r="H269" s="341"/>
      <c r="I269" s="341"/>
      <c r="J269" s="341">
        <v>-5627</v>
      </c>
      <c r="K269" s="341">
        <v>-19601</v>
      </c>
      <c r="L269" s="343" t="s">
        <v>286</v>
      </c>
      <c r="M269" s="343" t="s">
        <v>286</v>
      </c>
      <c r="N269" s="341">
        <v>400</v>
      </c>
      <c r="O269" s="341"/>
      <c r="P269" s="341">
        <v>-19601</v>
      </c>
      <c r="Q269" s="341">
        <v>10935</v>
      </c>
      <c r="R269" s="343" t="s">
        <v>286</v>
      </c>
      <c r="S269" s="343" t="s">
        <v>286</v>
      </c>
      <c r="T269" s="343" t="s">
        <v>286</v>
      </c>
      <c r="U269" s="341"/>
      <c r="V269" s="341">
        <v>10935</v>
      </c>
      <c r="W269" s="341">
        <v>-1000</v>
      </c>
      <c r="X269" s="343" t="s">
        <v>286</v>
      </c>
      <c r="Y269" s="343" t="s">
        <v>286</v>
      </c>
      <c r="Z269" s="343" t="s">
        <v>286</v>
      </c>
      <c r="AA269" s="341"/>
      <c r="AB269" s="341">
        <v>-1000</v>
      </c>
      <c r="AC269" s="341"/>
      <c r="AD269" s="343" t="s">
        <v>286</v>
      </c>
      <c r="AE269" s="343" t="s">
        <v>286</v>
      </c>
      <c r="AF269" s="343"/>
      <c r="AG269" s="341"/>
      <c r="AH269" s="175"/>
      <c r="AI269" s="175"/>
      <c r="AJ269" s="175"/>
      <c r="AK269" s="175"/>
      <c r="AL269" s="175"/>
    </row>
    <row r="270" spans="1:38" s="2" customFormat="1" ht="14.5" customHeight="1">
      <c r="B270" s="155" t="s">
        <v>290</v>
      </c>
      <c r="C270"/>
      <c r="D270" s="343" t="s">
        <v>286</v>
      </c>
      <c r="E270" s="341">
        <v>27751</v>
      </c>
      <c r="F270" s="341"/>
      <c r="G270" s="341"/>
      <c r="H270" s="343"/>
      <c r="I270" s="343"/>
      <c r="J270" s="341">
        <v>27751</v>
      </c>
      <c r="K270" s="341">
        <v>82125</v>
      </c>
      <c r="L270" s="341">
        <v>45636</v>
      </c>
      <c r="M270" s="341">
        <v>53136</v>
      </c>
      <c r="N270" s="341">
        <v>82125</v>
      </c>
      <c r="O270" s="341"/>
      <c r="P270" s="341">
        <v>82125</v>
      </c>
      <c r="Q270" s="341">
        <v>3081</v>
      </c>
      <c r="R270" s="343" t="s">
        <v>286</v>
      </c>
      <c r="S270" s="343" t="s">
        <v>286</v>
      </c>
      <c r="T270" s="343" t="s">
        <v>286</v>
      </c>
      <c r="U270" s="341"/>
      <c r="V270" s="341">
        <v>3081</v>
      </c>
      <c r="W270" s="343" t="s">
        <v>286</v>
      </c>
      <c r="X270" s="343" t="s">
        <v>286</v>
      </c>
      <c r="Y270" s="343" t="s">
        <v>286</v>
      </c>
      <c r="Z270" s="343" t="s">
        <v>286</v>
      </c>
      <c r="AA270" s="341"/>
      <c r="AB270" s="343" t="s">
        <v>286</v>
      </c>
      <c r="AC270" s="343"/>
      <c r="AD270" s="343" t="s">
        <v>286</v>
      </c>
      <c r="AE270" s="343" t="s">
        <v>286</v>
      </c>
      <c r="AF270" s="343"/>
      <c r="AG270" s="341"/>
      <c r="AH270" s="175"/>
      <c r="AI270" s="175"/>
      <c r="AJ270" s="175"/>
      <c r="AK270" s="175"/>
      <c r="AL270" s="175"/>
    </row>
    <row r="271" spans="1:38" s="2" customFormat="1" ht="14.5" customHeight="1">
      <c r="B271" s="155" t="s">
        <v>291</v>
      </c>
      <c r="C271"/>
      <c r="D271" s="343" t="s">
        <v>286</v>
      </c>
      <c r="E271" s="341">
        <v>-38472</v>
      </c>
      <c r="F271" s="341"/>
      <c r="G271" s="341"/>
      <c r="H271" s="341"/>
      <c r="I271" s="343"/>
      <c r="J271" s="341">
        <v>-38472</v>
      </c>
      <c r="K271" s="341">
        <v>31457</v>
      </c>
      <c r="L271" s="341">
        <v>31601</v>
      </c>
      <c r="M271" s="341">
        <v>34410</v>
      </c>
      <c r="N271" s="341">
        <v>26969</v>
      </c>
      <c r="O271" s="341"/>
      <c r="P271" s="341">
        <v>31457</v>
      </c>
      <c r="Q271" s="341">
        <v>-8253</v>
      </c>
      <c r="R271" s="341">
        <v>-12171</v>
      </c>
      <c r="S271" s="341">
        <v>-10847</v>
      </c>
      <c r="T271" s="341">
        <v>-9581</v>
      </c>
      <c r="U271" s="341"/>
      <c r="V271" s="341">
        <v>-8253</v>
      </c>
      <c r="W271" s="341">
        <v>-2000</v>
      </c>
      <c r="X271" s="341">
        <v>1260</v>
      </c>
      <c r="Y271" s="341">
        <v>2852</v>
      </c>
      <c r="Z271" s="341">
        <v>4232</v>
      </c>
      <c r="AA271" s="341"/>
      <c r="AB271" s="341">
        <v>-2000</v>
      </c>
      <c r="AC271" s="341"/>
      <c r="AD271" s="343" t="s">
        <v>286</v>
      </c>
      <c r="AE271" s="343" t="s">
        <v>286</v>
      </c>
      <c r="AF271" s="341"/>
      <c r="AG271" s="341"/>
      <c r="AH271" s="175"/>
      <c r="AI271" s="175"/>
      <c r="AJ271" s="175"/>
      <c r="AK271" s="175"/>
      <c r="AL271" s="175"/>
    </row>
    <row r="272" spans="1:38" s="2" customFormat="1" ht="14.5" customHeight="1">
      <c r="B272" s="155" t="s">
        <v>333</v>
      </c>
      <c r="C272"/>
      <c r="D272" s="343"/>
      <c r="E272" s="341"/>
      <c r="F272" s="341"/>
      <c r="G272" s="341"/>
      <c r="H272" s="341"/>
      <c r="I272" s="343"/>
      <c r="J272" s="341"/>
      <c r="K272" s="341"/>
      <c r="L272" s="343" t="s">
        <v>286</v>
      </c>
      <c r="M272" s="341">
        <v>11951</v>
      </c>
      <c r="N272" s="341">
        <v>41160</v>
      </c>
      <c r="O272" s="341"/>
      <c r="P272" s="341"/>
      <c r="Q272" s="341"/>
      <c r="R272" s="341">
        <v>291987</v>
      </c>
      <c r="S272" s="341">
        <v>291987</v>
      </c>
      <c r="T272" s="343" t="s">
        <v>286</v>
      </c>
      <c r="U272" s="341"/>
      <c r="V272" s="341"/>
      <c r="W272" s="341"/>
      <c r="X272" s="343" t="s">
        <v>286</v>
      </c>
      <c r="Y272" s="343" t="s">
        <v>286</v>
      </c>
      <c r="Z272" s="343" t="s">
        <v>286</v>
      </c>
      <c r="AA272" s="341"/>
      <c r="AB272" s="341"/>
      <c r="AC272" s="341"/>
      <c r="AD272" s="343" t="s">
        <v>286</v>
      </c>
      <c r="AE272" s="343" t="s">
        <v>286</v>
      </c>
      <c r="AF272" s="343"/>
      <c r="AG272" s="341"/>
      <c r="AH272" s="175"/>
      <c r="AI272" s="175"/>
      <c r="AJ272" s="175"/>
      <c r="AK272" s="175"/>
      <c r="AL272" s="175"/>
    </row>
    <row r="273" spans="2:38" s="2" customFormat="1" ht="14.5" customHeight="1">
      <c r="B273" s="155" t="s">
        <v>292</v>
      </c>
      <c r="C273"/>
      <c r="D273" s="341">
        <v>3473</v>
      </c>
      <c r="E273" s="341">
        <v>-286</v>
      </c>
      <c r="F273" s="341"/>
      <c r="G273" s="341"/>
      <c r="H273" s="343"/>
      <c r="I273" s="341"/>
      <c r="J273" s="341">
        <v>-286</v>
      </c>
      <c r="K273" s="341">
        <v>868539</v>
      </c>
      <c r="L273" s="343" t="s">
        <v>286</v>
      </c>
      <c r="M273" s="343" t="s">
        <v>286</v>
      </c>
      <c r="N273" s="343" t="s">
        <v>286</v>
      </c>
      <c r="O273" s="341"/>
      <c r="P273" s="341">
        <v>868539</v>
      </c>
      <c r="Q273" s="341">
        <v>291987</v>
      </c>
      <c r="R273" s="343" t="s">
        <v>286</v>
      </c>
      <c r="S273" s="343" t="s">
        <v>286</v>
      </c>
      <c r="T273" s="341">
        <v>291987</v>
      </c>
      <c r="U273" s="341"/>
      <c r="V273" s="341">
        <v>291987</v>
      </c>
      <c r="W273" s="343" t="s">
        <v>286</v>
      </c>
      <c r="X273" s="343" t="s">
        <v>286</v>
      </c>
      <c r="Y273" s="343" t="s">
        <v>286</v>
      </c>
      <c r="Z273" s="343" t="s">
        <v>286</v>
      </c>
      <c r="AA273" s="341"/>
      <c r="AB273" s="343" t="s">
        <v>286</v>
      </c>
      <c r="AC273" s="343"/>
      <c r="AD273" s="343" t="s">
        <v>286</v>
      </c>
      <c r="AE273" s="343" t="s">
        <v>286</v>
      </c>
      <c r="AF273" s="343"/>
      <c r="AG273" s="341"/>
      <c r="AH273" s="175"/>
      <c r="AI273" s="175"/>
      <c r="AJ273" s="175"/>
      <c r="AK273" s="175"/>
      <c r="AL273" s="175"/>
    </row>
    <row r="274" spans="2:38" s="2" customFormat="1" ht="14.5" customHeight="1">
      <c r="B274" s="155" t="s">
        <v>293</v>
      </c>
      <c r="C274"/>
      <c r="D274" s="341">
        <v>5964</v>
      </c>
      <c r="E274" s="341">
        <v>2927</v>
      </c>
      <c r="F274" s="341"/>
      <c r="G274" s="341"/>
      <c r="H274" s="341"/>
      <c r="I274" s="341"/>
      <c r="J274" s="341">
        <v>2927</v>
      </c>
      <c r="K274" s="341">
        <v>-53176</v>
      </c>
      <c r="L274" s="341">
        <v>-38228</v>
      </c>
      <c r="M274" s="341">
        <v>-30641</v>
      </c>
      <c r="N274" s="341">
        <v>-63177</v>
      </c>
      <c r="O274" s="341"/>
      <c r="P274" s="341">
        <v>-53176</v>
      </c>
      <c r="Q274" s="341">
        <v>24371</v>
      </c>
      <c r="R274" s="341">
        <v>-9151</v>
      </c>
      <c r="S274" s="341">
        <v>-16974</v>
      </c>
      <c r="T274" s="341">
        <v>7345</v>
      </c>
      <c r="U274" s="341"/>
      <c r="V274" s="341">
        <v>24371</v>
      </c>
      <c r="W274" s="341">
        <v>62000</v>
      </c>
      <c r="X274" s="341">
        <v>14854</v>
      </c>
      <c r="Y274" s="341">
        <v>38241</v>
      </c>
      <c r="Z274" s="341">
        <v>83380</v>
      </c>
      <c r="AA274" s="341"/>
      <c r="AB274" s="341">
        <v>62000</v>
      </c>
      <c r="AC274" s="341"/>
      <c r="AD274" s="341">
        <v>-17000</v>
      </c>
      <c r="AE274" s="341">
        <v>-46000</v>
      </c>
      <c r="AF274" s="341"/>
      <c r="AG274" s="341"/>
      <c r="AH274" s="175"/>
      <c r="AI274" s="175"/>
      <c r="AJ274" s="175"/>
      <c r="AK274" s="175"/>
      <c r="AL274" s="175"/>
    </row>
    <row r="275" spans="2:38" s="2" customFormat="1" ht="14.5" customHeight="1">
      <c r="B275" s="155" t="s">
        <v>294</v>
      </c>
      <c r="C275"/>
      <c r="D275" s="343" t="s">
        <v>286</v>
      </c>
      <c r="E275" s="343" t="s">
        <v>286</v>
      </c>
      <c r="F275" s="341"/>
      <c r="G275" s="341"/>
      <c r="H275" s="341"/>
      <c r="I275" s="343"/>
      <c r="J275" s="343" t="s">
        <v>286</v>
      </c>
      <c r="K275" s="341">
        <v>35772</v>
      </c>
      <c r="L275" s="343" t="s">
        <v>286</v>
      </c>
      <c r="M275" s="343" t="s">
        <v>286</v>
      </c>
      <c r="N275" s="343" t="s">
        <v>286</v>
      </c>
      <c r="O275" s="343"/>
      <c r="P275" s="341">
        <v>35772</v>
      </c>
      <c r="Q275" s="341">
        <v>112545</v>
      </c>
      <c r="R275" s="341">
        <v>112545</v>
      </c>
      <c r="S275" s="341">
        <v>112545</v>
      </c>
      <c r="T275" s="341">
        <v>112545</v>
      </c>
      <c r="U275" s="341"/>
      <c r="V275" s="341">
        <v>112545</v>
      </c>
      <c r="W275" s="341">
        <v>91000</v>
      </c>
      <c r="X275" s="343" t="s">
        <v>286</v>
      </c>
      <c r="Y275" s="341">
        <v>88749</v>
      </c>
      <c r="Z275" s="341">
        <v>88850</v>
      </c>
      <c r="AA275" s="341"/>
      <c r="AB275" s="341">
        <v>91000</v>
      </c>
      <c r="AC275" s="341"/>
      <c r="AD275" s="343" t="s">
        <v>286</v>
      </c>
      <c r="AE275" s="343" t="s">
        <v>286</v>
      </c>
      <c r="AF275" s="341"/>
      <c r="AG275" s="341"/>
      <c r="AH275" s="175"/>
      <c r="AI275" s="175"/>
      <c r="AJ275" s="175"/>
      <c r="AK275" s="175"/>
      <c r="AL275" s="175"/>
    </row>
    <row r="276" spans="2:38" s="2" customFormat="1" ht="14.5" customHeight="1">
      <c r="B276" s="155" t="s">
        <v>295</v>
      </c>
      <c r="C276"/>
      <c r="D276" s="343" t="s">
        <v>286</v>
      </c>
      <c r="E276" s="343" t="s">
        <v>286</v>
      </c>
      <c r="F276" s="343"/>
      <c r="G276" s="341"/>
      <c r="H276" s="343"/>
      <c r="I276" s="343"/>
      <c r="J276" s="343" t="s">
        <v>286</v>
      </c>
      <c r="K276" s="343" t="s">
        <v>286</v>
      </c>
      <c r="L276" s="343" t="s">
        <v>286</v>
      </c>
      <c r="M276" s="343" t="s">
        <v>286</v>
      </c>
      <c r="N276" s="343" t="s">
        <v>286</v>
      </c>
      <c r="O276" s="343"/>
      <c r="P276" s="343" t="s">
        <v>286</v>
      </c>
      <c r="Q276" s="341">
        <v>377248</v>
      </c>
      <c r="R276" s="341">
        <v>377248</v>
      </c>
      <c r="S276" s="341">
        <v>377248</v>
      </c>
      <c r="T276" s="341">
        <v>377248</v>
      </c>
      <c r="U276" s="343"/>
      <c r="V276" s="341">
        <v>377248</v>
      </c>
      <c r="W276" s="343" t="s">
        <v>286</v>
      </c>
      <c r="X276" s="343" t="s">
        <v>286</v>
      </c>
      <c r="Y276" s="343" t="s">
        <v>286</v>
      </c>
      <c r="Z276" s="343" t="s">
        <v>286</v>
      </c>
      <c r="AA276" s="341"/>
      <c r="AB276" s="343" t="s">
        <v>286</v>
      </c>
      <c r="AC276" s="343"/>
      <c r="AD276" s="343" t="s">
        <v>286</v>
      </c>
      <c r="AE276" s="343" t="s">
        <v>286</v>
      </c>
      <c r="AF276" s="343"/>
      <c r="AG276" s="341"/>
      <c r="AH276" s="175"/>
      <c r="AI276" s="175"/>
      <c r="AJ276" s="175"/>
      <c r="AK276" s="175"/>
      <c r="AL276" s="175"/>
    </row>
    <row r="277" spans="2:38" s="2" customFormat="1" ht="14.5" customHeight="1">
      <c r="B277" s="155" t="s">
        <v>296</v>
      </c>
      <c r="C277"/>
      <c r="D277" s="343" t="s">
        <v>286</v>
      </c>
      <c r="E277" s="343" t="s">
        <v>286</v>
      </c>
      <c r="F277" s="341"/>
      <c r="G277" s="341"/>
      <c r="H277" s="343"/>
      <c r="I277" s="343"/>
      <c r="J277" s="343" t="s">
        <v>286</v>
      </c>
      <c r="K277" s="341">
        <v>18323</v>
      </c>
      <c r="L277" s="343" t="s">
        <v>286</v>
      </c>
      <c r="M277" s="343" t="s">
        <v>286</v>
      </c>
      <c r="N277" s="343" t="s">
        <v>286</v>
      </c>
      <c r="O277" s="343"/>
      <c r="P277" s="341">
        <v>18323</v>
      </c>
      <c r="Q277" s="341">
        <v>8444</v>
      </c>
      <c r="R277" s="343" t="s">
        <v>286</v>
      </c>
      <c r="S277" s="343" t="s">
        <v>286</v>
      </c>
      <c r="T277" s="341">
        <v>7402</v>
      </c>
      <c r="U277" s="341"/>
      <c r="V277" s="341">
        <v>8444</v>
      </c>
      <c r="W277" s="343" t="s">
        <v>286</v>
      </c>
      <c r="X277" s="341">
        <v>1041</v>
      </c>
      <c r="Y277" s="341">
        <v>2081</v>
      </c>
      <c r="Z277" s="341">
        <v>3122</v>
      </c>
      <c r="AA277" s="341"/>
      <c r="AB277" s="343" t="s">
        <v>286</v>
      </c>
      <c r="AC277" s="343"/>
      <c r="AD277" s="343" t="s">
        <v>286</v>
      </c>
      <c r="AE277" s="343" t="s">
        <v>286</v>
      </c>
      <c r="AF277" s="341"/>
      <c r="AG277" s="341"/>
      <c r="AH277" s="175"/>
      <c r="AI277" s="175"/>
      <c r="AJ277" s="175"/>
      <c r="AK277" s="175"/>
      <c r="AL277" s="175"/>
    </row>
    <row r="278" spans="2:38" s="2" customFormat="1" ht="14.5" customHeight="1">
      <c r="B278" s="155" t="s">
        <v>297</v>
      </c>
      <c r="C278"/>
      <c r="D278" s="341">
        <v>2687</v>
      </c>
      <c r="E278" s="341">
        <v>-2043</v>
      </c>
      <c r="F278" s="343"/>
      <c r="G278" s="343"/>
      <c r="H278" s="343"/>
      <c r="I278" s="341"/>
      <c r="J278" s="341">
        <v>-2043</v>
      </c>
      <c r="K278" s="343" t="s">
        <v>286</v>
      </c>
      <c r="L278" s="343" t="s">
        <v>286</v>
      </c>
      <c r="M278" s="343" t="s">
        <v>286</v>
      </c>
      <c r="N278" s="341">
        <v>546</v>
      </c>
      <c r="O278" s="341"/>
      <c r="P278" s="343" t="s">
        <v>286</v>
      </c>
      <c r="Q278" s="343" t="s">
        <v>286</v>
      </c>
      <c r="R278" s="341">
        <v>5405</v>
      </c>
      <c r="S278" s="341">
        <v>6362</v>
      </c>
      <c r="T278" s="343" t="s">
        <v>286</v>
      </c>
      <c r="U278" s="343"/>
      <c r="V278" s="343" t="s">
        <v>286</v>
      </c>
      <c r="W278" s="343" t="s">
        <v>286</v>
      </c>
      <c r="X278" s="343" t="s">
        <v>286</v>
      </c>
      <c r="Y278" s="343" t="s">
        <v>286</v>
      </c>
      <c r="Z278" s="343" t="s">
        <v>286</v>
      </c>
      <c r="AA278" s="343"/>
      <c r="AB278" s="343" t="s">
        <v>286</v>
      </c>
      <c r="AC278" s="343"/>
      <c r="AD278" s="343" t="s">
        <v>286</v>
      </c>
      <c r="AE278" s="343" t="s">
        <v>286</v>
      </c>
      <c r="AF278" s="343"/>
      <c r="AG278" s="343"/>
      <c r="AH278" s="175"/>
      <c r="AI278" s="175"/>
      <c r="AJ278" s="175"/>
      <c r="AK278" s="175"/>
      <c r="AL278" s="175"/>
    </row>
    <row r="279" spans="2:38" s="2" customFormat="1" ht="14.5" customHeight="1">
      <c r="B279" s="155" t="s">
        <v>298</v>
      </c>
      <c r="C279"/>
      <c r="D279" s="341">
        <v>-6358</v>
      </c>
      <c r="E279" s="341">
        <v>4153</v>
      </c>
      <c r="F279" s="341"/>
      <c r="G279" s="341"/>
      <c r="H279" s="343"/>
      <c r="I279" s="341"/>
      <c r="J279" s="341">
        <v>4153</v>
      </c>
      <c r="K279" s="341">
        <v>5769</v>
      </c>
      <c r="L279" s="341">
        <v>-3949</v>
      </c>
      <c r="M279" s="341">
        <v>15104</v>
      </c>
      <c r="N279" s="341">
        <v>17365</v>
      </c>
      <c r="O279" s="341"/>
      <c r="P279" s="341">
        <v>5769</v>
      </c>
      <c r="Q279" s="341">
        <v>6806</v>
      </c>
      <c r="R279" s="341">
        <v>1716</v>
      </c>
      <c r="S279" s="341">
        <v>4879</v>
      </c>
      <c r="T279" s="341">
        <v>7471</v>
      </c>
      <c r="U279" s="341"/>
      <c r="V279" s="341">
        <v>6806</v>
      </c>
      <c r="W279" s="343" t="s">
        <v>286</v>
      </c>
      <c r="X279" s="341">
        <v>2106</v>
      </c>
      <c r="Y279" s="341">
        <v>4979</v>
      </c>
      <c r="Z279" s="341">
        <v>8199</v>
      </c>
      <c r="AA279" s="341"/>
      <c r="AB279" s="343" t="s">
        <v>286</v>
      </c>
      <c r="AC279" s="343"/>
      <c r="AD279" s="343" t="s">
        <v>286</v>
      </c>
      <c r="AE279" s="343" t="s">
        <v>286</v>
      </c>
      <c r="AF279" s="341"/>
      <c r="AG279" s="341"/>
      <c r="AH279" s="175"/>
      <c r="AI279" s="175"/>
      <c r="AJ279" s="175"/>
      <c r="AK279" s="175"/>
      <c r="AL279" s="175"/>
    </row>
    <row r="280" spans="2:38" s="2" customFormat="1" ht="14.5" customHeight="1">
      <c r="B280" s="155" t="s">
        <v>299</v>
      </c>
      <c r="C280"/>
      <c r="D280" s="341">
        <v>5317</v>
      </c>
      <c r="E280" s="341">
        <v>-481</v>
      </c>
      <c r="F280" s="341"/>
      <c r="G280" s="341"/>
      <c r="H280" s="341"/>
      <c r="I280" s="341"/>
      <c r="J280" s="341">
        <v>-481</v>
      </c>
      <c r="K280" s="341">
        <v>34877</v>
      </c>
      <c r="L280" s="341">
        <v>-9463</v>
      </c>
      <c r="M280" s="341">
        <v>-7591</v>
      </c>
      <c r="N280" s="341">
        <v>-6491</v>
      </c>
      <c r="O280" s="341"/>
      <c r="P280" s="341">
        <v>34877</v>
      </c>
      <c r="Q280" s="341">
        <v>12207</v>
      </c>
      <c r="R280" s="341">
        <v>6978</v>
      </c>
      <c r="S280" s="341">
        <v>4417</v>
      </c>
      <c r="T280" s="341">
        <v>6361</v>
      </c>
      <c r="U280" s="341"/>
      <c r="V280" s="341">
        <v>12207</v>
      </c>
      <c r="W280" s="341">
        <v>8000</v>
      </c>
      <c r="X280" s="341">
        <v>14479</v>
      </c>
      <c r="Y280" s="341">
        <v>9904</v>
      </c>
      <c r="Z280" s="341">
        <v>11043</v>
      </c>
      <c r="AA280" s="341"/>
      <c r="AB280" s="341">
        <v>8000</v>
      </c>
      <c r="AC280" s="341"/>
      <c r="AD280" s="341">
        <v>29000</v>
      </c>
      <c r="AE280" s="341">
        <v>29000</v>
      </c>
      <c r="AF280" s="341"/>
      <c r="AG280" s="341"/>
      <c r="AH280" s="175"/>
      <c r="AI280" s="175"/>
      <c r="AJ280" s="175"/>
      <c r="AK280" s="175"/>
      <c r="AL280" s="175"/>
    </row>
    <row r="281" spans="2:38" s="2" customFormat="1" ht="14.5" customHeight="1">
      <c r="B281" s="155" t="s">
        <v>300</v>
      </c>
      <c r="C281"/>
      <c r="D281" s="341">
        <v>-102808</v>
      </c>
      <c r="E281" s="341">
        <v>-186445</v>
      </c>
      <c r="F281" s="341"/>
      <c r="G281" s="341"/>
      <c r="H281" s="341"/>
      <c r="I281" s="341"/>
      <c r="J281" s="341">
        <v>-186445</v>
      </c>
      <c r="K281" s="341">
        <v>-15863</v>
      </c>
      <c r="L281" s="341">
        <v>-136952</v>
      </c>
      <c r="M281" s="341">
        <v>-55481</v>
      </c>
      <c r="N281" s="341">
        <v>-816</v>
      </c>
      <c r="O281" s="341"/>
      <c r="P281" s="341">
        <v>-15863</v>
      </c>
      <c r="Q281" s="341">
        <v>-54351</v>
      </c>
      <c r="R281" s="341">
        <v>672</v>
      </c>
      <c r="S281" s="341">
        <v>-46377</v>
      </c>
      <c r="T281" s="341">
        <v>-57168</v>
      </c>
      <c r="U281" s="341"/>
      <c r="V281" s="341">
        <v>-54351</v>
      </c>
      <c r="W281" s="341">
        <v>-226000</v>
      </c>
      <c r="X281" s="341">
        <v>-18718</v>
      </c>
      <c r="Y281" s="341">
        <v>-186718</v>
      </c>
      <c r="Z281" s="341">
        <v>-184985</v>
      </c>
      <c r="AA281" s="341"/>
      <c r="AB281" s="341">
        <v>-226000</v>
      </c>
      <c r="AC281" s="341"/>
      <c r="AD281" s="341">
        <v>-31000</v>
      </c>
      <c r="AE281" s="341">
        <v>-83000</v>
      </c>
      <c r="AF281" s="341"/>
      <c r="AG281" s="341"/>
      <c r="AH281" s="175"/>
      <c r="AI281" s="175"/>
      <c r="AJ281" s="175"/>
      <c r="AK281" s="175"/>
      <c r="AL281" s="175"/>
    </row>
    <row r="282" spans="2:38" s="2" customFormat="1" ht="14.5" customHeight="1">
      <c r="B282" s="155" t="s">
        <v>249</v>
      </c>
      <c r="D282" s="343" t="s">
        <v>286</v>
      </c>
      <c r="E282" s="341">
        <v>49126</v>
      </c>
      <c r="F282" s="341"/>
      <c r="G282" s="341"/>
      <c r="H282" s="341"/>
      <c r="I282" s="343"/>
      <c r="J282" s="341">
        <v>49126</v>
      </c>
      <c r="K282" s="341">
        <v>-33280</v>
      </c>
      <c r="L282" s="341">
        <v>5355</v>
      </c>
      <c r="M282" s="341">
        <v>-10618</v>
      </c>
      <c r="N282" s="341">
        <v>5665</v>
      </c>
      <c r="O282" s="341"/>
      <c r="P282" s="341">
        <v>-33280</v>
      </c>
      <c r="Q282" s="341">
        <v>25156</v>
      </c>
      <c r="R282" s="341">
        <v>7462</v>
      </c>
      <c r="S282" s="341">
        <v>19708</v>
      </c>
      <c r="T282" s="341">
        <v>28502</v>
      </c>
      <c r="U282" s="341"/>
      <c r="V282" s="341">
        <v>25156</v>
      </c>
      <c r="W282" s="341">
        <v>41000</v>
      </c>
      <c r="X282" s="341">
        <v>9079</v>
      </c>
      <c r="Y282" s="341">
        <v>18054</v>
      </c>
      <c r="Z282" s="341">
        <v>27224</v>
      </c>
      <c r="AA282" s="341"/>
      <c r="AB282" s="341">
        <v>41000</v>
      </c>
      <c r="AC282" s="341"/>
      <c r="AD282" s="341">
        <v>-1000</v>
      </c>
      <c r="AE282" s="341">
        <v>7000</v>
      </c>
      <c r="AF282" s="341"/>
      <c r="AG282" s="341"/>
      <c r="AH282" s="173"/>
      <c r="AI282" s="173"/>
      <c r="AJ282" s="173"/>
      <c r="AK282" s="173"/>
      <c r="AL282" s="173"/>
    </row>
    <row r="283" spans="2:38" s="2" customFormat="1" ht="14.5" customHeight="1">
      <c r="B283" s="155" t="s">
        <v>110</v>
      </c>
      <c r="C283"/>
      <c r="D283" s="341">
        <v>29837</v>
      </c>
      <c r="E283" s="341">
        <v>75716</v>
      </c>
      <c r="F283" s="341"/>
      <c r="G283" s="341"/>
      <c r="H283" s="341"/>
      <c r="I283" s="341"/>
      <c r="J283" s="341">
        <v>75716</v>
      </c>
      <c r="K283" s="341">
        <v>-73111</v>
      </c>
      <c r="L283" s="341">
        <v>20510</v>
      </c>
      <c r="M283" s="341">
        <v>-85934</v>
      </c>
      <c r="N283" s="341">
        <v>-106139</v>
      </c>
      <c r="O283" s="341"/>
      <c r="P283" s="341">
        <v>-73111</v>
      </c>
      <c r="Q283" s="341">
        <v>39946</v>
      </c>
      <c r="R283" s="341">
        <v>37326</v>
      </c>
      <c r="S283" s="341">
        <v>18109</v>
      </c>
      <c r="T283" s="341">
        <v>18034</v>
      </c>
      <c r="U283" s="341"/>
      <c r="V283" s="341">
        <v>39946</v>
      </c>
      <c r="W283" s="341">
        <v>20000</v>
      </c>
      <c r="X283" s="341">
        <v>10270</v>
      </c>
      <c r="Y283" s="341">
        <v>23266</v>
      </c>
      <c r="Z283" s="341">
        <v>39219</v>
      </c>
      <c r="AA283" s="341"/>
      <c r="AB283" s="341">
        <v>20000</v>
      </c>
      <c r="AC283" s="341"/>
      <c r="AD283" s="341">
        <v>24000</v>
      </c>
      <c r="AE283" s="341">
        <v>-38000</v>
      </c>
      <c r="AF283" s="341"/>
      <c r="AG283" s="341"/>
      <c r="AH283" s="175"/>
      <c r="AI283" s="175"/>
      <c r="AJ283" s="175"/>
      <c r="AK283" s="175"/>
      <c r="AL283" s="175"/>
    </row>
    <row r="284" spans="2:38" s="2" customFormat="1" ht="14.5" customHeight="1">
      <c r="B284" s="155" t="s">
        <v>301</v>
      </c>
      <c r="C284"/>
      <c r="D284" s="341">
        <v>348105</v>
      </c>
      <c r="E284" s="341">
        <v>547654</v>
      </c>
      <c r="F284" s="341"/>
      <c r="G284" s="341"/>
      <c r="H284" s="341"/>
      <c r="I284" s="341"/>
      <c r="J284" s="341">
        <v>547654</v>
      </c>
      <c r="K284" s="341">
        <v>43756</v>
      </c>
      <c r="L284" s="341">
        <v>-225617</v>
      </c>
      <c r="M284" s="341">
        <v>-95569</v>
      </c>
      <c r="N284" s="341">
        <v>90208</v>
      </c>
      <c r="O284" s="341"/>
      <c r="P284" s="341">
        <v>43756</v>
      </c>
      <c r="Q284" s="341">
        <v>165130</v>
      </c>
      <c r="R284" s="341">
        <v>39849</v>
      </c>
      <c r="S284" s="341">
        <v>165475</v>
      </c>
      <c r="T284" s="341">
        <v>177542</v>
      </c>
      <c r="U284" s="341"/>
      <c r="V284" s="341">
        <v>165130</v>
      </c>
      <c r="W284" s="341">
        <v>273000</v>
      </c>
      <c r="X284" s="341">
        <v>121922</v>
      </c>
      <c r="Y284" s="341">
        <v>71237</v>
      </c>
      <c r="Z284" s="341">
        <v>261056</v>
      </c>
      <c r="AA284" s="341"/>
      <c r="AB284" s="341">
        <v>273000</v>
      </c>
      <c r="AC284" s="341"/>
      <c r="AD284" s="341">
        <v>226000</v>
      </c>
      <c r="AE284" s="341">
        <v>133000</v>
      </c>
      <c r="AF284" s="341"/>
      <c r="AG284" s="341"/>
      <c r="AH284" s="175"/>
      <c r="AI284" s="175"/>
      <c r="AJ284" s="175"/>
      <c r="AK284" s="175"/>
      <c r="AL284" s="175"/>
    </row>
    <row r="285" spans="2:38" s="2" customFormat="1" ht="14.5" customHeight="1">
      <c r="B285" s="155" t="s">
        <v>302</v>
      </c>
      <c r="C285"/>
      <c r="D285" s="343" t="s">
        <v>286</v>
      </c>
      <c r="E285" s="341">
        <v>-41923</v>
      </c>
      <c r="F285" s="341"/>
      <c r="G285" s="341"/>
      <c r="H285" s="341"/>
      <c r="I285" s="343"/>
      <c r="J285" s="341">
        <v>-41923</v>
      </c>
      <c r="K285" s="341">
        <v>60897</v>
      </c>
      <c r="L285" s="341">
        <v>-3800</v>
      </c>
      <c r="M285" s="341">
        <v>34944</v>
      </c>
      <c r="N285" s="341">
        <v>20484</v>
      </c>
      <c r="O285" s="341"/>
      <c r="P285" s="341">
        <v>60897</v>
      </c>
      <c r="Q285" s="341">
        <v>-33774</v>
      </c>
      <c r="R285" s="341">
        <v>-6650</v>
      </c>
      <c r="S285" s="341">
        <v>-22177</v>
      </c>
      <c r="T285" s="341">
        <v>-34365</v>
      </c>
      <c r="U285" s="341"/>
      <c r="V285" s="341">
        <v>-33774</v>
      </c>
      <c r="W285" s="341">
        <v>-69000</v>
      </c>
      <c r="X285" s="341">
        <v>-12982</v>
      </c>
      <c r="Y285" s="341">
        <v>-26811</v>
      </c>
      <c r="Z285" s="341">
        <v>-44084</v>
      </c>
      <c r="AA285" s="341"/>
      <c r="AB285" s="341">
        <v>-69000</v>
      </c>
      <c r="AC285" s="341"/>
      <c r="AD285" s="343" t="s">
        <v>286</v>
      </c>
      <c r="AE285" s="343" t="s">
        <v>286</v>
      </c>
      <c r="AF285" s="341"/>
      <c r="AG285" s="341"/>
      <c r="AH285" s="175"/>
      <c r="AI285" s="175"/>
      <c r="AJ285" s="175"/>
      <c r="AK285" s="175"/>
      <c r="AL285" s="175"/>
    </row>
    <row r="286" spans="2:38" s="2" customFormat="1" ht="14.5" customHeight="1">
      <c r="B286" s="155" t="s">
        <v>269</v>
      </c>
      <c r="C286"/>
      <c r="D286" s="341">
        <v>145895</v>
      </c>
      <c r="E286" s="341">
        <v>176254</v>
      </c>
      <c r="F286" s="341"/>
      <c r="G286" s="341"/>
      <c r="H286" s="341"/>
      <c r="I286" s="341"/>
      <c r="J286" s="341">
        <v>176254</v>
      </c>
      <c r="K286" s="341">
        <v>-267009</v>
      </c>
      <c r="L286" s="341">
        <v>-16944</v>
      </c>
      <c r="M286" s="341">
        <v>19147</v>
      </c>
      <c r="N286" s="341">
        <v>-215072</v>
      </c>
      <c r="O286" s="341"/>
      <c r="P286" s="341">
        <v>-267009</v>
      </c>
      <c r="Q286" s="341">
        <v>495816</v>
      </c>
      <c r="R286" s="341">
        <v>538332</v>
      </c>
      <c r="S286" s="341">
        <v>1075993</v>
      </c>
      <c r="T286" s="341">
        <v>484497</v>
      </c>
      <c r="U286" s="341"/>
      <c r="V286" s="341">
        <v>495816</v>
      </c>
      <c r="W286" s="341">
        <v>280000</v>
      </c>
      <c r="X286" s="341">
        <v>844019</v>
      </c>
      <c r="Y286" s="341">
        <v>1078321</v>
      </c>
      <c r="Z286" s="341">
        <v>318618</v>
      </c>
      <c r="AA286" s="341"/>
      <c r="AB286" s="341">
        <v>280000</v>
      </c>
      <c r="AC286" s="341"/>
      <c r="AD286" s="341">
        <v>989000</v>
      </c>
      <c r="AE286" s="341">
        <v>1163000</v>
      </c>
      <c r="AF286" s="341"/>
      <c r="AG286" s="341"/>
      <c r="AH286" s="175"/>
      <c r="AI286" s="175"/>
      <c r="AJ286" s="175"/>
      <c r="AK286" s="175"/>
      <c r="AL286" s="175"/>
    </row>
    <row r="287" spans="2:38" s="2" customFormat="1" ht="14.5" customHeight="1">
      <c r="B287" s="155" t="s">
        <v>303</v>
      </c>
      <c r="C287"/>
      <c r="D287" s="341">
        <v>595557</v>
      </c>
      <c r="E287" s="341">
        <v>222727</v>
      </c>
      <c r="F287" s="341"/>
      <c r="G287" s="341"/>
      <c r="H287" s="341"/>
      <c r="I287" s="341"/>
      <c r="J287" s="341">
        <v>222727</v>
      </c>
      <c r="K287" s="341">
        <v>-629732</v>
      </c>
      <c r="L287" s="341">
        <v>-569830</v>
      </c>
      <c r="M287" s="341">
        <v>-826292</v>
      </c>
      <c r="N287" s="341">
        <v>-490622</v>
      </c>
      <c r="O287" s="341"/>
      <c r="P287" s="341">
        <v>-629732</v>
      </c>
      <c r="Q287" s="341">
        <v>2189694</v>
      </c>
      <c r="R287" s="341">
        <v>494368</v>
      </c>
      <c r="S287" s="341">
        <v>1285667</v>
      </c>
      <c r="T287" s="341">
        <v>1808845</v>
      </c>
      <c r="U287" s="341"/>
      <c r="V287" s="341">
        <v>2189694</v>
      </c>
      <c r="W287" s="341">
        <v>3430000</v>
      </c>
      <c r="X287" s="341">
        <v>1201992</v>
      </c>
      <c r="Y287" s="341">
        <v>2001739</v>
      </c>
      <c r="Z287" s="341">
        <v>2967302</v>
      </c>
      <c r="AA287" s="341"/>
      <c r="AB287" s="341">
        <v>3430000</v>
      </c>
      <c r="AC287" s="341"/>
      <c r="AD287" s="341">
        <v>1587000</v>
      </c>
      <c r="AE287" s="341">
        <v>2496000</v>
      </c>
      <c r="AF287" s="341"/>
      <c r="AG287" s="341"/>
      <c r="AH287" s="175"/>
      <c r="AI287" s="175"/>
      <c r="AJ287" s="175"/>
      <c r="AK287" s="175"/>
      <c r="AL287" s="175"/>
    </row>
    <row r="288" spans="2:38" s="2" customFormat="1" ht="14.5" customHeight="1">
      <c r="B288" s="155" t="s">
        <v>304</v>
      </c>
      <c r="C288"/>
      <c r="D288" s="341">
        <v>-90624</v>
      </c>
      <c r="E288" s="341">
        <v>-125452</v>
      </c>
      <c r="F288" s="341"/>
      <c r="G288" s="341"/>
      <c r="H288" s="341"/>
      <c r="I288" s="341"/>
      <c r="J288" s="341">
        <v>-125452</v>
      </c>
      <c r="K288" s="341">
        <v>-37371</v>
      </c>
      <c r="L288" s="341">
        <v>-15667</v>
      </c>
      <c r="M288" s="341">
        <v>-21853</v>
      </c>
      <c r="N288" s="341">
        <v>-29489</v>
      </c>
      <c r="O288" s="341"/>
      <c r="P288" s="341">
        <v>-37371</v>
      </c>
      <c r="Q288" s="341">
        <v>-25322</v>
      </c>
      <c r="R288" s="341">
        <v>-7706</v>
      </c>
      <c r="S288" s="341">
        <v>-15358</v>
      </c>
      <c r="T288" s="341">
        <v>-20864</v>
      </c>
      <c r="U288" s="341"/>
      <c r="V288" s="341">
        <v>-25322</v>
      </c>
      <c r="W288" s="341">
        <v>-25000</v>
      </c>
      <c r="X288" s="341">
        <v>-5959</v>
      </c>
      <c r="Y288" s="341">
        <v>-11007</v>
      </c>
      <c r="Z288" s="341">
        <v>-16606</v>
      </c>
      <c r="AA288" s="341"/>
      <c r="AB288" s="341">
        <v>-25000</v>
      </c>
      <c r="AC288" s="341"/>
      <c r="AD288" s="341">
        <v>-6000</v>
      </c>
      <c r="AE288" s="341">
        <v>-15000</v>
      </c>
      <c r="AF288" s="341"/>
      <c r="AG288" s="341"/>
      <c r="AH288" s="175"/>
      <c r="AI288" s="175"/>
      <c r="AJ288" s="175"/>
      <c r="AK288" s="175"/>
      <c r="AL288" s="175"/>
    </row>
    <row r="289" spans="2:38" s="2" customFormat="1" ht="14.5" customHeight="1">
      <c r="B289" s="155" t="s">
        <v>305</v>
      </c>
      <c r="C289"/>
      <c r="D289" s="341">
        <v>-1270578</v>
      </c>
      <c r="E289" s="341">
        <v>-1016155</v>
      </c>
      <c r="F289" s="341"/>
      <c r="G289" s="341"/>
      <c r="H289" s="341"/>
      <c r="I289" s="341"/>
      <c r="J289" s="341">
        <v>-1016155</v>
      </c>
      <c r="K289" s="341">
        <v>-3032664</v>
      </c>
      <c r="L289" s="341">
        <v>-277324</v>
      </c>
      <c r="M289" s="341">
        <v>-1196273</v>
      </c>
      <c r="N289" s="341">
        <v>-1999663</v>
      </c>
      <c r="O289" s="341"/>
      <c r="P289" s="341">
        <v>-3032664</v>
      </c>
      <c r="Q289" s="341">
        <v>-4938188</v>
      </c>
      <c r="R289" s="341">
        <v>-1581425</v>
      </c>
      <c r="S289" s="341">
        <v>-2807829</v>
      </c>
      <c r="T289" s="341">
        <v>-3628566</v>
      </c>
      <c r="U289" s="341"/>
      <c r="V289" s="341">
        <v>-4938188</v>
      </c>
      <c r="W289" s="341">
        <v>-4072000</v>
      </c>
      <c r="X289" s="341">
        <v>-927974</v>
      </c>
      <c r="Y289" s="341">
        <v>-2078797</v>
      </c>
      <c r="Z289" s="341">
        <v>-3015006</v>
      </c>
      <c r="AA289" s="341"/>
      <c r="AB289" s="341">
        <v>-4072000</v>
      </c>
      <c r="AC289" s="341"/>
      <c r="AD289" s="343" t="s">
        <v>286</v>
      </c>
      <c r="AE289" s="343" t="s">
        <v>286</v>
      </c>
      <c r="AF289" s="341"/>
      <c r="AG289" s="341"/>
      <c r="AH289" s="175"/>
      <c r="AI289" s="175"/>
      <c r="AJ289" s="175"/>
      <c r="AK289" s="175"/>
      <c r="AL289" s="175"/>
    </row>
    <row r="290" spans="2:38" s="2" customFormat="1" ht="14.5" customHeight="1">
      <c r="B290" s="155" t="s">
        <v>306</v>
      </c>
      <c r="C290"/>
      <c r="D290" s="341">
        <v>555161</v>
      </c>
      <c r="E290" s="341">
        <v>609438</v>
      </c>
      <c r="F290" s="341"/>
      <c r="G290" s="341"/>
      <c r="H290" s="341"/>
      <c r="I290" s="341"/>
      <c r="J290" s="341">
        <v>609438</v>
      </c>
      <c r="K290" s="341">
        <v>1348173</v>
      </c>
      <c r="L290" s="341">
        <v>69295</v>
      </c>
      <c r="M290" s="341">
        <v>110068</v>
      </c>
      <c r="N290" s="341">
        <v>206667</v>
      </c>
      <c r="O290" s="341"/>
      <c r="P290" s="341">
        <v>1348173</v>
      </c>
      <c r="Q290" s="341">
        <v>1584188</v>
      </c>
      <c r="R290" s="341">
        <v>248185</v>
      </c>
      <c r="S290" s="341">
        <v>1172953</v>
      </c>
      <c r="T290" s="341">
        <v>1233696</v>
      </c>
      <c r="U290" s="341"/>
      <c r="V290" s="341">
        <v>1584188</v>
      </c>
      <c r="W290" s="341">
        <v>909000</v>
      </c>
      <c r="X290" s="341">
        <v>146038</v>
      </c>
      <c r="Y290" s="341">
        <v>581436</v>
      </c>
      <c r="Z290" s="341">
        <v>709463</v>
      </c>
      <c r="AA290" s="341"/>
      <c r="AB290" s="341">
        <v>909000</v>
      </c>
      <c r="AC290" s="341"/>
      <c r="AD290" s="343" t="s">
        <v>286</v>
      </c>
      <c r="AE290" s="343" t="s">
        <v>286</v>
      </c>
      <c r="AF290" s="341"/>
      <c r="AG290" s="341"/>
      <c r="AH290" s="175"/>
      <c r="AI290" s="175"/>
      <c r="AJ290" s="175"/>
      <c r="AK290" s="175"/>
      <c r="AL290" s="175"/>
    </row>
    <row r="291" spans="2:38" s="2" customFormat="1" ht="14.5" customHeight="1">
      <c r="B291" s="155" t="s">
        <v>307</v>
      </c>
      <c r="C291"/>
      <c r="D291" s="341">
        <v>201310</v>
      </c>
      <c r="E291" s="341">
        <v>551647</v>
      </c>
      <c r="F291" s="341"/>
      <c r="G291" s="341"/>
      <c r="H291" s="341"/>
      <c r="I291" s="341"/>
      <c r="J291" s="341">
        <v>551647</v>
      </c>
      <c r="K291" s="341">
        <v>1810052</v>
      </c>
      <c r="L291" s="341">
        <v>225455</v>
      </c>
      <c r="M291" s="341">
        <v>528747</v>
      </c>
      <c r="N291" s="341">
        <v>1005881</v>
      </c>
      <c r="O291" s="341"/>
      <c r="P291" s="341">
        <v>1810052</v>
      </c>
      <c r="Q291" s="341">
        <v>2026867</v>
      </c>
      <c r="R291" s="341">
        <v>168660</v>
      </c>
      <c r="S291" s="341">
        <v>803464</v>
      </c>
      <c r="T291" s="341">
        <v>1393215</v>
      </c>
      <c r="U291" s="341"/>
      <c r="V291" s="341">
        <v>2026867</v>
      </c>
      <c r="W291" s="341">
        <v>3162000</v>
      </c>
      <c r="X291" s="341">
        <v>593772</v>
      </c>
      <c r="Y291" s="341">
        <v>1682246</v>
      </c>
      <c r="Z291" s="341">
        <v>2439647</v>
      </c>
      <c r="AA291" s="341"/>
      <c r="AB291" s="341">
        <v>3162000</v>
      </c>
      <c r="AC291" s="341"/>
      <c r="AD291" s="343" t="s">
        <v>286</v>
      </c>
      <c r="AE291" s="343" t="s">
        <v>286</v>
      </c>
      <c r="AF291" s="341"/>
      <c r="AG291" s="341"/>
      <c r="AH291" s="175"/>
      <c r="AI291" s="175"/>
      <c r="AJ291" s="175"/>
      <c r="AK291" s="175"/>
      <c r="AL291" s="175"/>
    </row>
    <row r="292" spans="2:38" s="2" customFormat="1" ht="14.5" customHeight="1">
      <c r="B292" s="346" t="s">
        <v>137</v>
      </c>
      <c r="C292"/>
      <c r="D292" s="341"/>
      <c r="E292" s="341"/>
      <c r="F292" s="341"/>
      <c r="G292" s="341"/>
      <c r="H292" s="341"/>
      <c r="I292" s="341"/>
      <c r="J292" s="341"/>
      <c r="K292" s="341"/>
      <c r="L292" s="343" t="s">
        <v>286</v>
      </c>
      <c r="M292" s="343" t="s">
        <v>286</v>
      </c>
      <c r="N292" s="343" t="s">
        <v>286</v>
      </c>
      <c r="O292" s="341"/>
      <c r="P292" s="341"/>
      <c r="Q292" s="341"/>
      <c r="R292" s="343" t="s">
        <v>286</v>
      </c>
      <c r="S292" s="343" t="s">
        <v>286</v>
      </c>
      <c r="T292" s="343" t="s">
        <v>286</v>
      </c>
      <c r="U292" s="341"/>
      <c r="V292" s="341"/>
      <c r="W292" s="341"/>
      <c r="X292" s="343" t="s">
        <v>286</v>
      </c>
      <c r="Y292" s="343" t="s">
        <v>286</v>
      </c>
      <c r="Z292" s="343" t="s">
        <v>286</v>
      </c>
      <c r="AA292" s="341"/>
      <c r="AB292" s="341"/>
      <c r="AC292" s="341"/>
      <c r="AD292" s="341">
        <v>-1094000</v>
      </c>
      <c r="AE292" s="341">
        <v>-1691000</v>
      </c>
      <c r="AF292" s="343"/>
      <c r="AG292" s="341"/>
      <c r="AH292" s="175"/>
      <c r="AI292" s="175"/>
      <c r="AJ292" s="175"/>
      <c r="AK292" s="175"/>
      <c r="AL292" s="175"/>
    </row>
    <row r="293" spans="2:38" s="2" customFormat="1" ht="14.5" customHeight="1">
      <c r="B293" s="155" t="s">
        <v>334</v>
      </c>
      <c r="C293"/>
      <c r="D293" s="341"/>
      <c r="E293" s="341"/>
      <c r="F293" s="341"/>
      <c r="G293" s="341"/>
      <c r="H293" s="341"/>
      <c r="I293" s="341"/>
      <c r="J293" s="341"/>
      <c r="K293" s="341"/>
      <c r="L293" s="343" t="s">
        <v>286</v>
      </c>
      <c r="M293" s="343" t="s">
        <v>286</v>
      </c>
      <c r="N293" s="343" t="s">
        <v>286</v>
      </c>
      <c r="O293" s="341"/>
      <c r="P293" s="341"/>
      <c r="Q293" s="341"/>
      <c r="R293" s="343" t="s">
        <v>286</v>
      </c>
      <c r="S293" s="343" t="s">
        <v>286</v>
      </c>
      <c r="T293" s="343" t="s">
        <v>286</v>
      </c>
      <c r="U293" s="341"/>
      <c r="V293" s="341"/>
      <c r="W293" s="341"/>
      <c r="X293" s="343" t="s">
        <v>286</v>
      </c>
      <c r="Y293" s="343" t="s">
        <v>286</v>
      </c>
      <c r="Z293" s="343" t="s">
        <v>286</v>
      </c>
      <c r="AA293" s="341"/>
      <c r="AB293" s="341"/>
      <c r="AC293" s="341"/>
      <c r="AD293" s="341">
        <v>917000</v>
      </c>
      <c r="AE293" s="341">
        <v>1503000</v>
      </c>
      <c r="AF293" s="343"/>
      <c r="AG293" s="341"/>
      <c r="AH293" s="175"/>
      <c r="AI293" s="175"/>
      <c r="AJ293" s="175"/>
      <c r="AK293" s="175"/>
      <c r="AL293" s="175"/>
    </row>
    <row r="294" spans="2:38" s="2" customFormat="1" ht="14.5" customHeight="1">
      <c r="B294" s="155" t="s">
        <v>308</v>
      </c>
      <c r="C294"/>
      <c r="D294" s="341">
        <v>-28850</v>
      </c>
      <c r="E294" s="341">
        <v>-208182</v>
      </c>
      <c r="F294" s="343"/>
      <c r="G294" s="343"/>
      <c r="H294" s="343"/>
      <c r="I294" s="341"/>
      <c r="J294" s="341">
        <v>-208182</v>
      </c>
      <c r="K294" s="343" t="s">
        <v>286</v>
      </c>
      <c r="L294" s="343" t="s">
        <v>286</v>
      </c>
      <c r="M294" s="343" t="s">
        <v>286</v>
      </c>
      <c r="N294" s="343" t="s">
        <v>286</v>
      </c>
      <c r="O294" s="341"/>
      <c r="P294" s="343" t="s">
        <v>286</v>
      </c>
      <c r="Q294" s="343" t="s">
        <v>286</v>
      </c>
      <c r="R294" s="343" t="s">
        <v>286</v>
      </c>
      <c r="S294" s="343" t="s">
        <v>286</v>
      </c>
      <c r="T294" s="343" t="s">
        <v>286</v>
      </c>
      <c r="U294" s="343"/>
      <c r="V294" s="343" t="s">
        <v>286</v>
      </c>
      <c r="W294" s="343" t="s">
        <v>286</v>
      </c>
      <c r="X294" s="343" t="s">
        <v>286</v>
      </c>
      <c r="Y294" s="343" t="s">
        <v>286</v>
      </c>
      <c r="Z294" s="343" t="s">
        <v>286</v>
      </c>
      <c r="AA294" s="343"/>
      <c r="AB294" s="343" t="s">
        <v>286</v>
      </c>
      <c r="AC294" s="343"/>
      <c r="AD294" s="343" t="s">
        <v>286</v>
      </c>
      <c r="AE294" s="343" t="s">
        <v>286</v>
      </c>
      <c r="AF294" s="343"/>
      <c r="AG294" s="343"/>
      <c r="AH294" s="175"/>
      <c r="AI294" s="175"/>
      <c r="AJ294" s="175"/>
      <c r="AK294" s="175"/>
      <c r="AL294" s="175"/>
    </row>
    <row r="295" spans="2:38" s="2" customFormat="1" ht="14.5" customHeight="1">
      <c r="B295" s="155" t="s">
        <v>309</v>
      </c>
      <c r="C295"/>
      <c r="D295" s="341">
        <v>-31300</v>
      </c>
      <c r="E295" s="341">
        <v>-192116</v>
      </c>
      <c r="F295" s="343"/>
      <c r="G295" s="343"/>
      <c r="H295" s="343"/>
      <c r="I295" s="341"/>
      <c r="J295" s="341">
        <v>-192116</v>
      </c>
      <c r="K295" s="343" t="s">
        <v>286</v>
      </c>
      <c r="L295" s="343" t="s">
        <v>286</v>
      </c>
      <c r="M295" s="343" t="s">
        <v>286</v>
      </c>
      <c r="N295" s="343" t="s">
        <v>286</v>
      </c>
      <c r="O295" s="341"/>
      <c r="P295" s="343" t="s">
        <v>286</v>
      </c>
      <c r="Q295" s="343" t="s">
        <v>286</v>
      </c>
      <c r="R295" s="343" t="s">
        <v>286</v>
      </c>
      <c r="S295" s="343" t="s">
        <v>286</v>
      </c>
      <c r="T295" s="343" t="s">
        <v>286</v>
      </c>
      <c r="U295" s="343"/>
      <c r="V295" s="343" t="s">
        <v>286</v>
      </c>
      <c r="W295" s="343" t="s">
        <v>286</v>
      </c>
      <c r="X295" s="343" t="s">
        <v>286</v>
      </c>
      <c r="Y295" s="343" t="s">
        <v>286</v>
      </c>
      <c r="Z295" s="343" t="s">
        <v>286</v>
      </c>
      <c r="AA295" s="343"/>
      <c r="AB295" s="343" t="s">
        <v>286</v>
      </c>
      <c r="AC295" s="343"/>
      <c r="AD295" s="343" t="s">
        <v>286</v>
      </c>
      <c r="AE295" s="343" t="s">
        <v>286</v>
      </c>
      <c r="AF295" s="343"/>
      <c r="AG295" s="343"/>
      <c r="AH295" s="175"/>
      <c r="AI295" s="175"/>
      <c r="AJ295" s="175"/>
      <c r="AK295" s="175"/>
      <c r="AL295" s="175"/>
    </row>
    <row r="296" spans="2:38" s="2" customFormat="1" ht="14.5" customHeight="1">
      <c r="B296" s="155" t="s">
        <v>310</v>
      </c>
      <c r="C296"/>
      <c r="D296" s="341">
        <v>-3290</v>
      </c>
      <c r="E296" s="341">
        <v>33665</v>
      </c>
      <c r="F296" s="341"/>
      <c r="G296" s="341"/>
      <c r="H296" s="341"/>
      <c r="I296" s="341"/>
      <c r="J296" s="341">
        <v>33665</v>
      </c>
      <c r="K296" s="341">
        <v>-8600</v>
      </c>
      <c r="L296" s="341">
        <v>500</v>
      </c>
      <c r="M296" s="341">
        <v>500</v>
      </c>
      <c r="N296" s="341">
        <v>500</v>
      </c>
      <c r="O296" s="341"/>
      <c r="P296" s="341">
        <v>-8600</v>
      </c>
      <c r="Q296" s="341">
        <v>500</v>
      </c>
      <c r="R296" s="343" t="s">
        <v>286</v>
      </c>
      <c r="S296" s="343" t="s">
        <v>286</v>
      </c>
      <c r="T296" s="343" t="s">
        <v>286</v>
      </c>
      <c r="U296" s="341"/>
      <c r="V296" s="341">
        <v>500</v>
      </c>
      <c r="W296" s="341">
        <v>-2000</v>
      </c>
      <c r="X296" s="341">
        <v>-2847</v>
      </c>
      <c r="Y296" s="341">
        <v>-2847</v>
      </c>
      <c r="Z296" s="341">
        <v>-2227</v>
      </c>
      <c r="AA296" s="341"/>
      <c r="AB296" s="341">
        <v>-2000</v>
      </c>
      <c r="AC296" s="341"/>
      <c r="AD296" s="343" t="s">
        <v>286</v>
      </c>
      <c r="AE296" s="343" t="s">
        <v>286</v>
      </c>
      <c r="AF296" s="341"/>
      <c r="AG296" s="341"/>
      <c r="AH296" s="175"/>
      <c r="AI296" s="175"/>
      <c r="AJ296" s="175"/>
      <c r="AK296" s="175"/>
      <c r="AL296" s="175"/>
    </row>
    <row r="297" spans="2:38" s="2" customFormat="1" ht="14.5" customHeight="1">
      <c r="B297" s="155" t="s">
        <v>311</v>
      </c>
      <c r="C297"/>
      <c r="D297" s="341">
        <v>-668171</v>
      </c>
      <c r="E297" s="341">
        <v>-347155</v>
      </c>
      <c r="F297" s="341"/>
      <c r="G297" s="341"/>
      <c r="H297" s="341"/>
      <c r="I297" s="341"/>
      <c r="J297" s="341">
        <v>-347155</v>
      </c>
      <c r="K297" s="341">
        <v>79590</v>
      </c>
      <c r="L297" s="341">
        <v>2259</v>
      </c>
      <c r="M297" s="341">
        <v>-578811</v>
      </c>
      <c r="N297" s="341">
        <v>-816104</v>
      </c>
      <c r="O297" s="341"/>
      <c r="P297" s="341">
        <v>79590</v>
      </c>
      <c r="Q297" s="341">
        <v>-1351955</v>
      </c>
      <c r="R297" s="341">
        <v>-1172286</v>
      </c>
      <c r="S297" s="341">
        <v>-846770</v>
      </c>
      <c r="T297" s="341">
        <v>-1022519</v>
      </c>
      <c r="U297" s="341"/>
      <c r="V297" s="341">
        <v>-1351955</v>
      </c>
      <c r="W297" s="341">
        <v>-28000</v>
      </c>
      <c r="X297" s="341">
        <v>-196970</v>
      </c>
      <c r="Y297" s="341">
        <v>171031</v>
      </c>
      <c r="Z297" s="341">
        <v>115271</v>
      </c>
      <c r="AA297" s="341"/>
      <c r="AB297" s="341">
        <v>-28000</v>
      </c>
      <c r="AC297" s="341"/>
      <c r="AD297" s="341">
        <v>-183000</v>
      </c>
      <c r="AE297" s="341">
        <v>-203000</v>
      </c>
      <c r="AF297" s="341"/>
      <c r="AG297" s="341"/>
      <c r="AH297" s="175"/>
      <c r="AI297" s="175"/>
      <c r="AJ297" s="175"/>
      <c r="AK297" s="175"/>
      <c r="AL297" s="175"/>
    </row>
    <row r="298" spans="2:38" s="2" customFormat="1" ht="14.5" customHeight="1">
      <c r="B298" s="155" t="s">
        <v>312</v>
      </c>
      <c r="C298"/>
      <c r="D298" s="343" t="s">
        <v>286</v>
      </c>
      <c r="E298" s="343" t="s">
        <v>286</v>
      </c>
      <c r="F298" s="341"/>
      <c r="G298" s="343"/>
      <c r="H298" s="343"/>
      <c r="I298" s="343"/>
      <c r="J298" s="343" t="s">
        <v>286</v>
      </c>
      <c r="K298" s="341">
        <v>3650870</v>
      </c>
      <c r="L298" s="341"/>
      <c r="M298" s="341"/>
      <c r="N298" s="341"/>
      <c r="O298" s="343"/>
      <c r="P298" s="341">
        <v>3650870</v>
      </c>
      <c r="Q298" s="343" t="s">
        <v>286</v>
      </c>
      <c r="R298" s="341"/>
      <c r="S298" s="341"/>
      <c r="T298" s="341"/>
      <c r="U298" s="341"/>
      <c r="V298" s="343" t="s">
        <v>286</v>
      </c>
      <c r="W298" s="343" t="s">
        <v>286</v>
      </c>
      <c r="X298" s="341"/>
      <c r="Y298" s="341"/>
      <c r="Z298" s="341"/>
      <c r="AA298" s="343"/>
      <c r="AB298" s="343" t="s">
        <v>286</v>
      </c>
      <c r="AC298" s="343"/>
      <c r="AD298" s="341"/>
      <c r="AE298" s="341"/>
      <c r="AF298" s="341"/>
      <c r="AG298" s="343"/>
      <c r="AH298" s="175"/>
      <c r="AI298" s="175"/>
      <c r="AJ298" s="175"/>
      <c r="AK298" s="175"/>
      <c r="AL298" s="175"/>
    </row>
    <row r="299" spans="2:38" s="2" customFormat="1" ht="14.5" customHeight="1">
      <c r="B299" s="155" t="s">
        <v>139</v>
      </c>
      <c r="D299" s="343" t="s">
        <v>286</v>
      </c>
      <c r="E299" s="343" t="s">
        <v>286</v>
      </c>
      <c r="F299" s="341"/>
      <c r="G299" s="341"/>
      <c r="H299" s="341"/>
      <c r="I299" s="343"/>
      <c r="J299" s="343" t="s">
        <v>286</v>
      </c>
      <c r="K299" s="341">
        <v>-1650454</v>
      </c>
      <c r="L299" s="343" t="s">
        <v>286</v>
      </c>
      <c r="M299" s="343" t="s">
        <v>286</v>
      </c>
      <c r="N299" s="343" t="s">
        <v>286</v>
      </c>
      <c r="O299" s="343"/>
      <c r="P299" s="341">
        <v>-1650454</v>
      </c>
      <c r="Q299" s="341">
        <v>-53955</v>
      </c>
      <c r="R299" s="341">
        <v>-15054</v>
      </c>
      <c r="S299" s="343" t="s">
        <v>286</v>
      </c>
      <c r="T299" s="343" t="s">
        <v>286</v>
      </c>
      <c r="U299" s="341"/>
      <c r="V299" s="341">
        <v>-53955</v>
      </c>
      <c r="W299" s="341">
        <v>-607000</v>
      </c>
      <c r="X299" s="341">
        <v>-204768</v>
      </c>
      <c r="Y299" s="341">
        <v>-344559</v>
      </c>
      <c r="Z299" s="341">
        <v>-491366</v>
      </c>
      <c r="AA299" s="341"/>
      <c r="AB299" s="341">
        <v>-607000</v>
      </c>
      <c r="AC299" s="341"/>
      <c r="AD299" s="341">
        <v>-151000</v>
      </c>
      <c r="AE299" s="341">
        <v>-872000</v>
      </c>
      <c r="AF299" s="341"/>
      <c r="AG299" s="341"/>
      <c r="AH299" s="173"/>
      <c r="AI299" s="173"/>
      <c r="AJ299" s="173"/>
      <c r="AK299" s="173"/>
      <c r="AL299" s="173"/>
    </row>
    <row r="300" spans="2:38" s="2" customFormat="1" ht="14.5" customHeight="1">
      <c r="B300" s="155" t="s">
        <v>313</v>
      </c>
      <c r="C300"/>
      <c r="D300" s="341">
        <v>16043</v>
      </c>
      <c r="E300" s="341">
        <v>5873</v>
      </c>
      <c r="F300" s="341"/>
      <c r="G300" s="341"/>
      <c r="H300" s="341"/>
      <c r="I300" s="341"/>
      <c r="J300" s="341">
        <v>5873</v>
      </c>
      <c r="K300" s="341">
        <v>15074</v>
      </c>
      <c r="L300" s="341">
        <v>241</v>
      </c>
      <c r="M300" s="341">
        <v>2668</v>
      </c>
      <c r="N300" s="341">
        <v>5411</v>
      </c>
      <c r="O300" s="341"/>
      <c r="P300" s="341">
        <v>15074</v>
      </c>
      <c r="Q300" s="341">
        <v>137572</v>
      </c>
      <c r="R300" s="341">
        <v>47793</v>
      </c>
      <c r="S300" s="341">
        <v>83855</v>
      </c>
      <c r="T300" s="341">
        <v>104588</v>
      </c>
      <c r="U300" s="341"/>
      <c r="V300" s="341">
        <v>137572</v>
      </c>
      <c r="W300" s="341">
        <v>40000</v>
      </c>
      <c r="X300" s="341">
        <v>11652</v>
      </c>
      <c r="Y300" s="341">
        <v>16473</v>
      </c>
      <c r="Z300" s="341">
        <v>19122</v>
      </c>
      <c r="AA300" s="341"/>
      <c r="AB300" s="341">
        <v>40000</v>
      </c>
      <c r="AC300" s="341"/>
      <c r="AD300" s="341">
        <v>17000</v>
      </c>
      <c r="AE300" s="341">
        <v>23000</v>
      </c>
      <c r="AF300" s="341"/>
      <c r="AG300" s="341"/>
      <c r="AH300" s="175"/>
      <c r="AI300" s="175"/>
      <c r="AJ300" s="175"/>
      <c r="AK300" s="175"/>
      <c r="AL300" s="175"/>
    </row>
    <row r="301" spans="2:38" s="2" customFormat="1" ht="14.5" customHeight="1">
      <c r="B301" s="155" t="s">
        <v>314</v>
      </c>
      <c r="C301"/>
      <c r="D301" s="343" t="s">
        <v>286</v>
      </c>
      <c r="E301" s="343" t="s">
        <v>286</v>
      </c>
      <c r="F301" s="343"/>
      <c r="G301" s="341"/>
      <c r="H301" s="341"/>
      <c r="I301" s="343"/>
      <c r="J301" s="343" t="s">
        <v>286</v>
      </c>
      <c r="K301" s="343" t="s">
        <v>286</v>
      </c>
      <c r="L301" s="343" t="s">
        <v>286</v>
      </c>
      <c r="M301" s="343" t="s">
        <v>286</v>
      </c>
      <c r="N301" s="343" t="s">
        <v>286</v>
      </c>
      <c r="O301" s="343"/>
      <c r="P301" s="343" t="s">
        <v>286</v>
      </c>
      <c r="Q301" s="341">
        <v>50621</v>
      </c>
      <c r="R301" s="343" t="s">
        <v>286</v>
      </c>
      <c r="S301" s="341">
        <v>25464</v>
      </c>
      <c r="T301" s="341">
        <v>25464</v>
      </c>
      <c r="U301" s="343"/>
      <c r="V301" s="341">
        <v>50621</v>
      </c>
      <c r="W301" s="341">
        <v>48000</v>
      </c>
      <c r="X301" s="343" t="s">
        <v>286</v>
      </c>
      <c r="Y301" s="341">
        <v>20330</v>
      </c>
      <c r="Z301" s="341">
        <v>20330</v>
      </c>
      <c r="AA301" s="341"/>
      <c r="AB301" s="341">
        <v>48000</v>
      </c>
      <c r="AC301" s="341"/>
      <c r="AD301" s="343" t="s">
        <v>286</v>
      </c>
      <c r="AE301" s="341">
        <v>31000</v>
      </c>
      <c r="AF301" s="341"/>
      <c r="AG301" s="341"/>
      <c r="AH301" s="175"/>
      <c r="AI301" s="175"/>
      <c r="AJ301" s="175"/>
      <c r="AK301" s="175"/>
      <c r="AL301" s="175"/>
    </row>
    <row r="302" spans="2:38" s="2" customFormat="1" ht="14.5" customHeight="1">
      <c r="B302" s="155" t="s">
        <v>138</v>
      </c>
      <c r="C302"/>
      <c r="D302" s="343" t="s">
        <v>286</v>
      </c>
      <c r="E302" s="343" t="s">
        <v>286</v>
      </c>
      <c r="F302" s="343"/>
      <c r="G302" s="343"/>
      <c r="H302" s="341"/>
      <c r="I302" s="343"/>
      <c r="J302" s="343" t="s">
        <v>286</v>
      </c>
      <c r="K302" s="343" t="s">
        <v>286</v>
      </c>
      <c r="L302" s="343" t="s">
        <v>286</v>
      </c>
      <c r="M302" s="343" t="s">
        <v>286</v>
      </c>
      <c r="N302" s="343" t="s">
        <v>286</v>
      </c>
      <c r="O302" s="343"/>
      <c r="P302" s="343" t="s">
        <v>286</v>
      </c>
      <c r="Q302" s="343" t="s">
        <v>286</v>
      </c>
      <c r="R302" s="343" t="s">
        <v>286</v>
      </c>
      <c r="S302" s="343" t="s">
        <v>286</v>
      </c>
      <c r="T302" s="343" t="s">
        <v>286</v>
      </c>
      <c r="U302" s="343"/>
      <c r="V302" s="343" t="s">
        <v>286</v>
      </c>
      <c r="W302" s="341">
        <v>-1500000</v>
      </c>
      <c r="X302" s="343" t="s">
        <v>286</v>
      </c>
      <c r="Y302" s="343" t="s">
        <v>286</v>
      </c>
      <c r="Z302" s="341">
        <v>-1000000</v>
      </c>
      <c r="AA302" s="343"/>
      <c r="AB302" s="341">
        <v>-1500000</v>
      </c>
      <c r="AC302" s="341"/>
      <c r="AD302" s="341">
        <v>-493000</v>
      </c>
      <c r="AE302" s="341">
        <v>-1000000</v>
      </c>
      <c r="AF302" s="341"/>
      <c r="AG302" s="343"/>
      <c r="AH302" s="175"/>
      <c r="AI302" s="175"/>
      <c r="AJ302" s="175"/>
      <c r="AK302" s="175"/>
      <c r="AL302" s="175"/>
    </row>
    <row r="303" spans="2:38" s="2" customFormat="1" ht="14.5" customHeight="1">
      <c r="B303" s="155" t="s">
        <v>315</v>
      </c>
      <c r="C303"/>
      <c r="D303" s="343" t="s">
        <v>286</v>
      </c>
      <c r="E303" s="343" t="s">
        <v>286</v>
      </c>
      <c r="F303" s="341"/>
      <c r="G303" s="341"/>
      <c r="H303" s="343"/>
      <c r="I303" s="343"/>
      <c r="J303" s="343" t="s">
        <v>286</v>
      </c>
      <c r="K303" s="341">
        <v>-5000</v>
      </c>
      <c r="L303" s="343" t="s">
        <v>286</v>
      </c>
      <c r="M303" s="343" t="s">
        <v>286</v>
      </c>
      <c r="N303" s="341">
        <v>-2500</v>
      </c>
      <c r="O303" s="343"/>
      <c r="P303" s="341">
        <v>-5000</v>
      </c>
      <c r="Q303" s="341">
        <v>-1995000</v>
      </c>
      <c r="R303" s="341">
        <v>-1995000</v>
      </c>
      <c r="S303" s="341">
        <v>-1995000</v>
      </c>
      <c r="T303" s="341">
        <v>-1995000</v>
      </c>
      <c r="U303" s="341"/>
      <c r="V303" s="341">
        <v>-1995000</v>
      </c>
      <c r="W303" s="343" t="s">
        <v>286</v>
      </c>
      <c r="X303" s="343" t="s">
        <v>286</v>
      </c>
      <c r="Y303" s="343" t="s">
        <v>286</v>
      </c>
      <c r="Z303" s="343" t="s">
        <v>286</v>
      </c>
      <c r="AA303" s="341"/>
      <c r="AB303" s="343" t="s">
        <v>286</v>
      </c>
      <c r="AC303" s="343"/>
      <c r="AD303" s="343" t="s">
        <v>286</v>
      </c>
      <c r="AE303" s="343" t="s">
        <v>286</v>
      </c>
      <c r="AF303" s="343"/>
      <c r="AG303" s="341"/>
      <c r="AH303" s="175"/>
      <c r="AI303" s="175"/>
      <c r="AJ303" s="175"/>
      <c r="AK303" s="175"/>
      <c r="AL303" s="175"/>
    </row>
    <row r="304" spans="2:38" s="2" customFormat="1" ht="14.5" customHeight="1">
      <c r="B304" s="155" t="s">
        <v>316</v>
      </c>
      <c r="C304"/>
      <c r="D304" s="343" t="s">
        <v>286</v>
      </c>
      <c r="E304" s="343" t="s">
        <v>286</v>
      </c>
      <c r="F304" s="343"/>
      <c r="G304" s="341"/>
      <c r="H304" s="343"/>
      <c r="I304" s="343"/>
      <c r="J304" s="343" t="s">
        <v>286</v>
      </c>
      <c r="K304" s="343" t="s">
        <v>286</v>
      </c>
      <c r="L304" s="343" t="s">
        <v>286</v>
      </c>
      <c r="M304" s="343" t="s">
        <v>286</v>
      </c>
      <c r="N304" s="343" t="s">
        <v>286</v>
      </c>
      <c r="O304" s="343"/>
      <c r="P304" s="343" t="s">
        <v>286</v>
      </c>
      <c r="Q304" s="341">
        <v>-212883</v>
      </c>
      <c r="R304" s="341">
        <v>-212883</v>
      </c>
      <c r="S304" s="341">
        <v>-212883</v>
      </c>
      <c r="T304" s="341">
        <v>-212883</v>
      </c>
      <c r="U304" s="343"/>
      <c r="V304" s="341">
        <v>-212883</v>
      </c>
      <c r="W304" s="343" t="s">
        <v>286</v>
      </c>
      <c r="X304" s="343" t="s">
        <v>286</v>
      </c>
      <c r="Y304" s="343" t="s">
        <v>286</v>
      </c>
      <c r="Z304" s="343" t="s">
        <v>286</v>
      </c>
      <c r="AA304" s="341"/>
      <c r="AB304" s="343" t="s">
        <v>286</v>
      </c>
      <c r="AC304" s="343"/>
      <c r="AD304" s="343" t="s">
        <v>286</v>
      </c>
      <c r="AE304" s="343" t="s">
        <v>286</v>
      </c>
      <c r="AF304" s="343"/>
      <c r="AG304" s="341"/>
      <c r="AH304" s="175"/>
      <c r="AI304" s="175"/>
      <c r="AJ304" s="175"/>
      <c r="AK304" s="175"/>
      <c r="AL304" s="175"/>
    </row>
    <row r="305" spans="2:38" s="2" customFormat="1" ht="14.5" customHeight="1">
      <c r="B305" s="155" t="s">
        <v>317</v>
      </c>
      <c r="C305"/>
      <c r="D305" s="343" t="s">
        <v>286</v>
      </c>
      <c r="E305" s="343" t="s">
        <v>286</v>
      </c>
      <c r="F305" s="341"/>
      <c r="G305" s="343"/>
      <c r="H305" s="343"/>
      <c r="I305" s="343"/>
      <c r="J305" s="343" t="s">
        <v>286</v>
      </c>
      <c r="K305" s="341">
        <v>1928880</v>
      </c>
      <c r="L305" s="343" t="s">
        <v>286</v>
      </c>
      <c r="M305" s="341">
        <v>1928880</v>
      </c>
      <c r="N305" s="341">
        <v>1928880</v>
      </c>
      <c r="O305" s="343"/>
      <c r="P305" s="341">
        <v>1928880</v>
      </c>
      <c r="Q305" s="343" t="s">
        <v>286</v>
      </c>
      <c r="R305" s="343" t="s">
        <v>286</v>
      </c>
      <c r="S305" s="343" t="s">
        <v>286</v>
      </c>
      <c r="T305" s="343" t="s">
        <v>286</v>
      </c>
      <c r="U305" s="341"/>
      <c r="V305" s="343" t="s">
        <v>286</v>
      </c>
      <c r="W305" s="343" t="s">
        <v>286</v>
      </c>
      <c r="X305" s="343" t="s">
        <v>286</v>
      </c>
      <c r="Y305" s="343" t="s">
        <v>286</v>
      </c>
      <c r="Z305" s="343" t="s">
        <v>286</v>
      </c>
      <c r="AA305" s="343"/>
      <c r="AB305" s="343" t="s">
        <v>286</v>
      </c>
      <c r="AC305" s="343"/>
      <c r="AD305" s="343" t="s">
        <v>286</v>
      </c>
      <c r="AE305" s="343" t="s">
        <v>286</v>
      </c>
      <c r="AF305" s="343"/>
      <c r="AG305" s="343"/>
      <c r="AH305" s="175"/>
      <c r="AI305" s="175"/>
      <c r="AJ305" s="175"/>
      <c r="AK305" s="175"/>
      <c r="AL305" s="175"/>
    </row>
    <row r="306" spans="2:38" s="2" customFormat="1" ht="14.5" customHeight="1">
      <c r="B306" s="155" t="s">
        <v>318</v>
      </c>
      <c r="C306"/>
      <c r="D306" s="343" t="s">
        <v>286</v>
      </c>
      <c r="E306" s="343" t="s">
        <v>286</v>
      </c>
      <c r="F306" s="343"/>
      <c r="G306" s="341"/>
      <c r="H306" s="343"/>
      <c r="I306" s="343"/>
      <c r="J306" s="343" t="s">
        <v>286</v>
      </c>
      <c r="K306" s="343" t="s">
        <v>286</v>
      </c>
      <c r="L306" s="343" t="s">
        <v>286</v>
      </c>
      <c r="M306" s="343" t="s">
        <v>286</v>
      </c>
      <c r="N306" s="343" t="s">
        <v>286</v>
      </c>
      <c r="O306" s="343"/>
      <c r="P306" s="343" t="s">
        <v>286</v>
      </c>
      <c r="Q306" s="341">
        <v>1979166</v>
      </c>
      <c r="R306" s="341">
        <v>1979166</v>
      </c>
      <c r="S306" s="341">
        <v>1979166</v>
      </c>
      <c r="T306" s="341">
        <v>1979166</v>
      </c>
      <c r="U306" s="343"/>
      <c r="V306" s="341">
        <v>1979166</v>
      </c>
      <c r="W306" s="343" t="s">
        <v>286</v>
      </c>
      <c r="X306" s="343" t="s">
        <v>286</v>
      </c>
      <c r="Y306" s="343" t="s">
        <v>286</v>
      </c>
      <c r="Z306" s="343" t="s">
        <v>286</v>
      </c>
      <c r="AA306" s="341"/>
      <c r="AB306" s="343" t="s">
        <v>286</v>
      </c>
      <c r="AC306" s="343"/>
      <c r="AD306" s="343" t="s">
        <v>286</v>
      </c>
      <c r="AE306" s="343" t="s">
        <v>286</v>
      </c>
      <c r="AF306" s="343"/>
      <c r="AG306" s="341"/>
      <c r="AH306" s="175"/>
      <c r="AI306" s="175"/>
      <c r="AJ306" s="175"/>
      <c r="AK306" s="175"/>
      <c r="AL306" s="175"/>
    </row>
    <row r="307" spans="2:38" s="2" customFormat="1" ht="14.5" customHeight="1">
      <c r="B307" s="155" t="s">
        <v>319</v>
      </c>
      <c r="C307"/>
      <c r="D307" s="343" t="s">
        <v>286</v>
      </c>
      <c r="E307" s="343" t="s">
        <v>286</v>
      </c>
      <c r="F307" s="343"/>
      <c r="G307" s="341"/>
      <c r="H307" s="343"/>
      <c r="I307" s="343"/>
      <c r="J307" s="343" t="s">
        <v>286</v>
      </c>
      <c r="K307" s="343" t="s">
        <v>286</v>
      </c>
      <c r="L307" s="343" t="s">
        <v>286</v>
      </c>
      <c r="M307" s="343" t="s">
        <v>286</v>
      </c>
      <c r="N307" s="343" t="s">
        <v>286</v>
      </c>
      <c r="O307" s="343"/>
      <c r="P307" s="343" t="s">
        <v>286</v>
      </c>
      <c r="Q307" s="341">
        <v>-100200</v>
      </c>
      <c r="R307" s="341">
        <v>-100200</v>
      </c>
      <c r="S307" s="341">
        <v>-100200</v>
      </c>
      <c r="T307" s="341">
        <v>-100200</v>
      </c>
      <c r="U307" s="343"/>
      <c r="V307" s="341">
        <v>-100200</v>
      </c>
      <c r="W307" s="343" t="s">
        <v>286</v>
      </c>
      <c r="X307" s="343" t="s">
        <v>286</v>
      </c>
      <c r="Y307" s="343" t="s">
        <v>286</v>
      </c>
      <c r="Z307" s="343" t="s">
        <v>286</v>
      </c>
      <c r="AA307" s="341"/>
      <c r="AB307" s="343" t="s">
        <v>286</v>
      </c>
      <c r="AC307" s="343"/>
      <c r="AD307" s="343" t="s">
        <v>286</v>
      </c>
      <c r="AE307" s="343" t="s">
        <v>286</v>
      </c>
      <c r="AF307" s="343"/>
      <c r="AG307" s="341"/>
      <c r="AH307" s="175"/>
      <c r="AI307" s="175"/>
      <c r="AJ307" s="175"/>
      <c r="AK307" s="175"/>
      <c r="AL307" s="175"/>
    </row>
    <row r="308" spans="2:38" s="2" customFormat="1" ht="14.5" customHeight="1">
      <c r="B308" s="155" t="s">
        <v>320</v>
      </c>
      <c r="C308"/>
      <c r="D308" s="341">
        <v>117587</v>
      </c>
      <c r="E308" s="341">
        <v>848706</v>
      </c>
      <c r="F308" s="341"/>
      <c r="G308" s="341"/>
      <c r="H308" s="341"/>
      <c r="I308" s="341"/>
      <c r="J308" s="341">
        <v>848706</v>
      </c>
      <c r="K308" s="341">
        <v>-1012081</v>
      </c>
      <c r="L308" s="341">
        <v>-339427</v>
      </c>
      <c r="M308" s="341">
        <v>275747</v>
      </c>
      <c r="N308" s="341">
        <v>-769029</v>
      </c>
      <c r="O308" s="341"/>
      <c r="P308" s="341">
        <v>-1012081</v>
      </c>
      <c r="Q308" s="341">
        <v>1625838</v>
      </c>
      <c r="R308" s="341">
        <v>1863712</v>
      </c>
      <c r="S308" s="341">
        <v>4143462</v>
      </c>
      <c r="T308" s="341">
        <v>1809225</v>
      </c>
      <c r="U308" s="341"/>
      <c r="V308" s="341">
        <v>1625838</v>
      </c>
      <c r="W308" s="341">
        <v>1330000</v>
      </c>
      <c r="X308" s="341">
        <v>2396635</v>
      </c>
      <c r="Y308" s="341">
        <v>3957242</v>
      </c>
      <c r="Z308" s="341">
        <v>1527344</v>
      </c>
      <c r="AA308" s="341"/>
      <c r="AB308" s="341">
        <v>1330000</v>
      </c>
      <c r="AC308" s="341"/>
      <c r="AD308" s="341">
        <v>2913000</v>
      </c>
      <c r="AE308" s="341">
        <v>4271000</v>
      </c>
      <c r="AF308" s="341"/>
      <c r="AG308" s="341"/>
      <c r="AH308" s="175"/>
      <c r="AI308" s="175"/>
      <c r="AJ308" s="175"/>
      <c r="AK308" s="175"/>
      <c r="AL308" s="175"/>
    </row>
    <row r="309" spans="2:38" s="2" customFormat="1" ht="14.5" customHeight="1">
      <c r="B309" s="155" t="s">
        <v>321</v>
      </c>
      <c r="D309" s="343" t="s">
        <v>286</v>
      </c>
      <c r="E309" s="343" t="s">
        <v>286</v>
      </c>
      <c r="F309" s="343"/>
      <c r="G309" s="343"/>
      <c r="H309" s="343"/>
      <c r="I309" s="343"/>
      <c r="J309" s="343" t="s">
        <v>286</v>
      </c>
      <c r="K309" s="343" t="s">
        <v>286</v>
      </c>
      <c r="L309" s="341"/>
      <c r="M309" s="341"/>
      <c r="N309" s="341"/>
      <c r="O309" s="343"/>
      <c r="P309" s="343" t="s">
        <v>286</v>
      </c>
      <c r="Q309" s="343" t="s">
        <v>286</v>
      </c>
      <c r="R309" s="341"/>
      <c r="S309" s="341"/>
      <c r="T309" s="341"/>
      <c r="U309" s="343"/>
      <c r="V309" s="343" t="s">
        <v>286</v>
      </c>
      <c r="W309" s="343" t="s">
        <v>286</v>
      </c>
      <c r="X309" s="341"/>
      <c r="Y309" s="341"/>
      <c r="Z309" s="341"/>
      <c r="AA309" s="343"/>
      <c r="AB309" s="343" t="s">
        <v>286</v>
      </c>
      <c r="AC309" s="343"/>
      <c r="AD309" s="341"/>
      <c r="AE309" s="341"/>
      <c r="AF309" s="341"/>
      <c r="AG309" s="343"/>
      <c r="AH309" s="173"/>
      <c r="AI309" s="173"/>
      <c r="AJ309" s="173"/>
      <c r="AK309" s="173"/>
      <c r="AL309" s="173"/>
    </row>
    <row r="310" spans="2:38" s="2" customFormat="1" ht="14.5" customHeight="1">
      <c r="B310" s="155" t="s">
        <v>322</v>
      </c>
      <c r="C310"/>
      <c r="D310" s="341">
        <v>6886</v>
      </c>
      <c r="E310" s="343" t="s">
        <v>286</v>
      </c>
      <c r="F310" s="343"/>
      <c r="G310" s="343"/>
      <c r="H310" s="343"/>
      <c r="I310" s="341"/>
      <c r="J310" s="343" t="s">
        <v>286</v>
      </c>
      <c r="K310" s="343" t="s">
        <v>286</v>
      </c>
      <c r="L310" s="341"/>
      <c r="M310" s="341"/>
      <c r="N310" s="341"/>
      <c r="O310" s="343"/>
      <c r="P310" s="343" t="s">
        <v>286</v>
      </c>
      <c r="Q310" s="343" t="s">
        <v>286</v>
      </c>
      <c r="R310" s="341"/>
      <c r="S310" s="341"/>
      <c r="T310" s="341"/>
      <c r="U310" s="343"/>
      <c r="V310" s="343" t="s">
        <v>286</v>
      </c>
      <c r="W310" s="343" t="s">
        <v>286</v>
      </c>
      <c r="X310" s="341"/>
      <c r="Y310" s="341"/>
      <c r="Z310" s="341"/>
      <c r="AA310" s="343"/>
      <c r="AB310" s="343" t="s">
        <v>286</v>
      </c>
      <c r="AC310" s="343"/>
      <c r="AD310" s="341"/>
      <c r="AE310" s="341"/>
      <c r="AF310" s="341"/>
      <c r="AG310" s="343"/>
      <c r="AH310" s="175"/>
      <c r="AI310" s="175"/>
      <c r="AJ310" s="175"/>
      <c r="AK310" s="175"/>
      <c r="AL310" s="175"/>
    </row>
    <row r="311" spans="2:38" s="2" customFormat="1" ht="14.5" customHeight="1">
      <c r="B311" s="155" t="s">
        <v>323</v>
      </c>
      <c r="C311"/>
      <c r="D311" s="343" t="s">
        <v>286</v>
      </c>
      <c r="E311" s="343" t="s">
        <v>286</v>
      </c>
      <c r="F311" s="341"/>
      <c r="G311" s="343"/>
      <c r="H311" s="343"/>
      <c r="I311" s="343"/>
      <c r="J311" s="343" t="s">
        <v>286</v>
      </c>
      <c r="K311" s="341">
        <v>13525</v>
      </c>
      <c r="L311" s="343" t="s">
        <v>286</v>
      </c>
      <c r="M311" s="341">
        <v>-3107</v>
      </c>
      <c r="N311" s="343" t="s">
        <v>286</v>
      </c>
      <c r="O311" s="343"/>
      <c r="P311" s="341">
        <v>13525</v>
      </c>
      <c r="Q311" s="343" t="s">
        <v>286</v>
      </c>
      <c r="R311" s="343" t="s">
        <v>286</v>
      </c>
      <c r="S311" s="341">
        <v>-22792</v>
      </c>
      <c r="T311" s="341">
        <v>-32714</v>
      </c>
      <c r="U311" s="341"/>
      <c r="V311" s="343" t="s">
        <v>286</v>
      </c>
      <c r="W311" s="343" t="s">
        <v>286</v>
      </c>
      <c r="X311" s="343" t="s">
        <v>286</v>
      </c>
      <c r="Y311" s="343" t="s">
        <v>286</v>
      </c>
      <c r="Z311" s="343" t="s">
        <v>286</v>
      </c>
      <c r="AA311" s="343"/>
      <c r="AB311" s="343" t="s">
        <v>286</v>
      </c>
      <c r="AC311" s="343"/>
      <c r="AD311" s="343" t="s">
        <v>286</v>
      </c>
      <c r="AE311" s="343" t="s">
        <v>286</v>
      </c>
      <c r="AF311" s="343"/>
      <c r="AG311" s="343"/>
      <c r="AH311" s="175"/>
      <c r="AI311" s="175"/>
      <c r="AJ311" s="175"/>
      <c r="AK311" s="175"/>
      <c r="AL311" s="175"/>
    </row>
    <row r="312" spans="2:38" s="2" customFormat="1" ht="14.5" customHeight="1">
      <c r="B312" s="155" t="s">
        <v>324</v>
      </c>
      <c r="C312"/>
      <c r="D312" s="341">
        <v>140516</v>
      </c>
      <c r="E312" s="341">
        <v>854579</v>
      </c>
      <c r="F312" s="341"/>
      <c r="G312" s="341"/>
      <c r="H312" s="341"/>
      <c r="I312" s="341"/>
      <c r="J312" s="341">
        <v>854579</v>
      </c>
      <c r="K312" s="341">
        <v>2940814</v>
      </c>
      <c r="L312" s="341">
        <v>-339202</v>
      </c>
      <c r="M312" s="341">
        <v>2204188</v>
      </c>
      <c r="N312" s="341">
        <v>1174207</v>
      </c>
      <c r="O312" s="341"/>
      <c r="P312" s="341">
        <v>2940814</v>
      </c>
      <c r="Q312" s="341">
        <v>1431159</v>
      </c>
      <c r="R312" s="341">
        <v>1567534</v>
      </c>
      <c r="S312" s="341">
        <v>3901072</v>
      </c>
      <c r="T312" s="341">
        <v>1577646</v>
      </c>
      <c r="U312" s="341"/>
      <c r="V312" s="341">
        <v>1431159</v>
      </c>
      <c r="W312" s="341">
        <v>-689000</v>
      </c>
      <c r="X312" s="341">
        <v>2203519</v>
      </c>
      <c r="Y312" s="341">
        <v>3649486</v>
      </c>
      <c r="Z312" s="341">
        <v>75430</v>
      </c>
      <c r="AA312" s="341"/>
      <c r="AB312" s="341">
        <v>-689000</v>
      </c>
      <c r="AC312" s="341"/>
      <c r="AD312" s="341">
        <v>2286000</v>
      </c>
      <c r="AE312" s="341">
        <v>2453000</v>
      </c>
      <c r="AF312" s="341"/>
      <c r="AG312" s="341"/>
      <c r="AH312" s="175"/>
      <c r="AI312" s="175"/>
      <c r="AJ312" s="175"/>
      <c r="AK312" s="175"/>
      <c r="AL312" s="175"/>
    </row>
    <row r="313" spans="2:38" s="2" customFormat="1" ht="14.5" customHeight="1">
      <c r="B313" s="155" t="s">
        <v>325</v>
      </c>
      <c r="C313"/>
      <c r="D313" s="341">
        <v>-158919</v>
      </c>
      <c r="E313" s="341">
        <v>-25284</v>
      </c>
      <c r="F313" s="341"/>
      <c r="G313" s="341"/>
      <c r="H313" s="341"/>
      <c r="I313" s="341"/>
      <c r="J313" s="341">
        <v>-25284</v>
      </c>
      <c r="K313" s="341">
        <v>134137</v>
      </c>
      <c r="L313" s="341">
        <v>-97117</v>
      </c>
      <c r="M313" s="341">
        <v>-69563</v>
      </c>
      <c r="N313" s="341">
        <v>35210</v>
      </c>
      <c r="O313" s="341"/>
      <c r="P313" s="341">
        <v>134137</v>
      </c>
      <c r="Q313" s="341">
        <v>-209861</v>
      </c>
      <c r="R313" s="341">
        <v>-72287</v>
      </c>
      <c r="S313" s="341">
        <v>-55754</v>
      </c>
      <c r="T313" s="341">
        <v>-159006</v>
      </c>
      <c r="U313" s="341"/>
      <c r="V313" s="341">
        <v>-209861</v>
      </c>
      <c r="W313" s="341">
        <v>-337000</v>
      </c>
      <c r="X313" s="341">
        <v>3398</v>
      </c>
      <c r="Y313" s="341">
        <v>-307885</v>
      </c>
      <c r="Z313" s="341">
        <v>-625910</v>
      </c>
      <c r="AA313" s="341"/>
      <c r="AB313" s="341">
        <v>-337000</v>
      </c>
      <c r="AC313" s="341"/>
      <c r="AD313" s="341">
        <v>79000</v>
      </c>
      <c r="AE313" s="341">
        <v>132000</v>
      </c>
      <c r="AF313" s="341"/>
      <c r="AG313" s="341"/>
      <c r="AH313" s="175"/>
      <c r="AI313" s="175"/>
      <c r="AJ313" s="175"/>
      <c r="AK313" s="175"/>
      <c r="AL313" s="175"/>
    </row>
    <row r="314" spans="2:38" s="2" customFormat="1" ht="14.5" customHeight="1">
      <c r="B314" s="155" t="s">
        <v>326</v>
      </c>
      <c r="D314" s="341">
        <v>-91017</v>
      </c>
      <c r="E314" s="341">
        <v>704867</v>
      </c>
      <c r="F314" s="341"/>
      <c r="G314" s="341"/>
      <c r="H314" s="341"/>
      <c r="I314" s="341"/>
      <c r="J314" s="341">
        <v>704867</v>
      </c>
      <c r="K314" s="341">
        <v>2524809</v>
      </c>
      <c r="L314" s="341">
        <v>-1003890</v>
      </c>
      <c r="M314" s="341">
        <v>729522</v>
      </c>
      <c r="N314" s="341">
        <v>-97309</v>
      </c>
      <c r="O314" s="341"/>
      <c r="P314" s="341">
        <v>2524809</v>
      </c>
      <c r="Q314" s="341">
        <v>2059037</v>
      </c>
      <c r="R314" s="341">
        <v>817329</v>
      </c>
      <c r="S314" s="341">
        <v>4284215</v>
      </c>
      <c r="T314" s="341">
        <v>2204966</v>
      </c>
      <c r="U314" s="341"/>
      <c r="V314" s="341">
        <v>2059037</v>
      </c>
      <c r="W314" s="341">
        <v>2376000</v>
      </c>
      <c r="X314" s="341">
        <v>3211939</v>
      </c>
      <c r="Y314" s="341">
        <v>5514371</v>
      </c>
      <c r="Z314" s="341">
        <v>2532093</v>
      </c>
      <c r="AA314" s="341"/>
      <c r="AB314" s="341">
        <v>2376000</v>
      </c>
      <c r="AC314" s="341"/>
      <c r="AD314" s="341">
        <v>3769000</v>
      </c>
      <c r="AE314" s="341">
        <v>4878000</v>
      </c>
      <c r="AF314" s="341"/>
      <c r="AG314" s="341"/>
      <c r="AH314" s="173"/>
      <c r="AI314" s="173"/>
      <c r="AJ314" s="173"/>
      <c r="AK314" s="173"/>
      <c r="AL314" s="173"/>
    </row>
    <row r="315" spans="2:38" s="2" customFormat="1" ht="14.5" customHeight="1">
      <c r="B315" s="155" t="s">
        <v>327</v>
      </c>
      <c r="C315"/>
      <c r="D315" s="341">
        <v>4529593</v>
      </c>
      <c r="E315" s="341">
        <v>4438576</v>
      </c>
      <c r="F315" s="341"/>
      <c r="G315" s="341"/>
      <c r="H315" s="341"/>
      <c r="I315" s="341"/>
      <c r="J315" s="341">
        <v>4438576</v>
      </c>
      <c r="K315" s="341">
        <v>5143443</v>
      </c>
      <c r="L315" s="341">
        <v>5143443</v>
      </c>
      <c r="M315" s="341">
        <v>5143443</v>
      </c>
      <c r="N315" s="341">
        <v>5143443</v>
      </c>
      <c r="O315" s="341"/>
      <c r="P315" s="341">
        <v>5143443</v>
      </c>
      <c r="Q315" s="341">
        <v>7668252</v>
      </c>
      <c r="R315" s="341">
        <v>7668252</v>
      </c>
      <c r="S315" s="341">
        <v>7668252</v>
      </c>
      <c r="T315" s="341">
        <v>7668252</v>
      </c>
      <c r="U315" s="341"/>
      <c r="V315" s="341">
        <v>7668252</v>
      </c>
      <c r="W315" s="341">
        <v>9727000</v>
      </c>
      <c r="X315" s="341">
        <v>9727289</v>
      </c>
      <c r="Y315" s="341">
        <v>9727289</v>
      </c>
      <c r="Z315" s="341">
        <v>9727289</v>
      </c>
      <c r="AA315" s="341"/>
      <c r="AB315" s="341">
        <v>9727000</v>
      </c>
      <c r="AC315" s="341"/>
      <c r="AD315" s="341">
        <v>12103000</v>
      </c>
      <c r="AE315" s="341">
        <v>12103000</v>
      </c>
      <c r="AF315" s="341"/>
      <c r="AG315" s="341"/>
      <c r="AH315" s="175"/>
      <c r="AI315" s="175"/>
      <c r="AJ315" s="175"/>
      <c r="AK315" s="175"/>
      <c r="AL315" s="175"/>
    </row>
    <row r="316" spans="2:38" s="2" customFormat="1" ht="14.5" customHeight="1">
      <c r="B316" s="155" t="s">
        <v>328</v>
      </c>
      <c r="C316"/>
      <c r="D316" s="341">
        <v>4438576</v>
      </c>
      <c r="E316" s="341">
        <v>5143443</v>
      </c>
      <c r="F316" s="341"/>
      <c r="G316" s="341"/>
      <c r="H316" s="341"/>
      <c r="I316" s="341"/>
      <c r="J316" s="341">
        <v>5143443</v>
      </c>
      <c r="K316" s="341">
        <v>7668252</v>
      </c>
      <c r="L316" s="341">
        <v>4139553</v>
      </c>
      <c r="M316" s="341">
        <v>5872965</v>
      </c>
      <c r="N316" s="341">
        <v>5046134</v>
      </c>
      <c r="O316" s="341"/>
      <c r="P316" s="341">
        <v>7668252</v>
      </c>
      <c r="Q316" s="341">
        <v>9727289</v>
      </c>
      <c r="R316" s="341">
        <v>8485581</v>
      </c>
      <c r="S316" s="341">
        <v>11952467</v>
      </c>
      <c r="T316" s="341">
        <v>9873218</v>
      </c>
      <c r="U316" s="341"/>
      <c r="V316" s="341">
        <v>9727289</v>
      </c>
      <c r="W316" s="341">
        <v>12103000</v>
      </c>
      <c r="X316" s="341">
        <v>12939228</v>
      </c>
      <c r="Y316" s="341">
        <v>15241660</v>
      </c>
      <c r="Z316" s="341">
        <v>12259382</v>
      </c>
      <c r="AA316" s="341"/>
      <c r="AB316" s="341">
        <v>12103000</v>
      </c>
      <c r="AC316" s="341"/>
      <c r="AD316" s="341">
        <v>15872000</v>
      </c>
      <c r="AE316" s="341">
        <v>16981000</v>
      </c>
      <c r="AF316" s="341"/>
      <c r="AG316" s="341"/>
      <c r="AH316" s="175"/>
      <c r="AI316" s="175"/>
      <c r="AJ316" s="175"/>
      <c r="AK316" s="175"/>
      <c r="AL316" s="175"/>
    </row>
    <row r="317" spans="2:38" s="2" customFormat="1" ht="14.5" customHeight="1">
      <c r="B317" s="155" t="s">
        <v>329</v>
      </c>
      <c r="D317" s="341">
        <v>44620</v>
      </c>
      <c r="E317" s="341">
        <v>28192</v>
      </c>
      <c r="F317" s="341"/>
      <c r="G317" s="341"/>
      <c r="H317" s="341"/>
      <c r="I317" s="341"/>
      <c r="J317" s="341">
        <v>28192</v>
      </c>
      <c r="K317" s="341">
        <v>15103</v>
      </c>
      <c r="L317" s="341">
        <v>2921</v>
      </c>
      <c r="M317" s="341">
        <v>5345</v>
      </c>
      <c r="N317" s="341">
        <v>10453</v>
      </c>
      <c r="O317" s="341"/>
      <c r="P317" s="341">
        <v>15103</v>
      </c>
      <c r="Q317" s="341">
        <v>17291</v>
      </c>
      <c r="R317" s="341">
        <v>6307</v>
      </c>
      <c r="S317" s="341">
        <v>11744</v>
      </c>
      <c r="T317" s="341">
        <v>14299</v>
      </c>
      <c r="U317" s="341"/>
      <c r="V317" s="341">
        <v>17291</v>
      </c>
      <c r="W317" s="341">
        <v>68000</v>
      </c>
      <c r="X317" s="341">
        <v>14706</v>
      </c>
      <c r="Y317" s="341">
        <v>27523</v>
      </c>
      <c r="Z317" s="341">
        <v>51795</v>
      </c>
      <c r="AA317" s="341"/>
      <c r="AB317" s="341">
        <v>68000</v>
      </c>
      <c r="AC317" s="341"/>
      <c r="AD317" s="341">
        <v>11000</v>
      </c>
      <c r="AE317" s="341">
        <v>50000</v>
      </c>
      <c r="AF317" s="341"/>
      <c r="AG317" s="341"/>
      <c r="AH317" s="173"/>
      <c r="AI317" s="173"/>
      <c r="AJ317" s="173"/>
      <c r="AK317" s="173"/>
      <c r="AL317" s="173"/>
    </row>
    <row r="318" spans="2:38" s="2" customFormat="1" ht="14.5" customHeight="1">
      <c r="B318" s="155" t="s">
        <v>330</v>
      </c>
      <c r="D318" s="341">
        <v>21151</v>
      </c>
      <c r="E318" s="341">
        <v>5178</v>
      </c>
      <c r="F318" s="341"/>
      <c r="G318" s="341"/>
      <c r="H318" s="341"/>
      <c r="I318" s="341"/>
      <c r="J318" s="341">
        <v>5178</v>
      </c>
      <c r="K318" s="341">
        <v>129798</v>
      </c>
      <c r="L318" s="341">
        <v>2268</v>
      </c>
      <c r="M318" s="341">
        <v>26502</v>
      </c>
      <c r="N318" s="341">
        <v>77576</v>
      </c>
      <c r="O318" s="341"/>
      <c r="P318" s="341">
        <v>129798</v>
      </c>
      <c r="Q318" s="341">
        <v>49892</v>
      </c>
      <c r="R318" s="341">
        <v>42950</v>
      </c>
      <c r="S318" s="341">
        <v>45047</v>
      </c>
      <c r="T318" s="341">
        <v>47717</v>
      </c>
      <c r="U318" s="341"/>
      <c r="V318" s="341">
        <v>49892</v>
      </c>
      <c r="W318" s="341">
        <v>8000</v>
      </c>
      <c r="X318" s="341">
        <v>2600</v>
      </c>
      <c r="Y318" s="341">
        <v>6179</v>
      </c>
      <c r="Z318" s="341">
        <v>7624</v>
      </c>
      <c r="AA318" s="341"/>
      <c r="AB318" s="341">
        <v>8000</v>
      </c>
      <c r="AC318" s="341"/>
      <c r="AD318" s="341">
        <v>1000</v>
      </c>
      <c r="AE318" s="341">
        <v>1000</v>
      </c>
      <c r="AF318" s="341"/>
      <c r="AG318" s="341"/>
      <c r="AH318" s="173"/>
      <c r="AI318" s="173"/>
      <c r="AJ318" s="173"/>
      <c r="AK318" s="173"/>
      <c r="AL318" s="173"/>
    </row>
    <row r="319" spans="2:38" s="2" customFormat="1" ht="14.5" customHeight="1">
      <c r="D319" s="355"/>
      <c r="E319" s="227"/>
      <c r="F319" s="219"/>
      <c r="G319" s="219"/>
      <c r="H319" s="219"/>
      <c r="I319" s="219"/>
      <c r="J319" s="355"/>
      <c r="K319" s="227"/>
      <c r="L319" s="219"/>
      <c r="M319" s="219"/>
      <c r="N319" s="219"/>
      <c r="O319" s="219"/>
      <c r="P319" s="355"/>
      <c r="Q319" s="227"/>
      <c r="R319" s="219"/>
      <c r="S319" s="219"/>
      <c r="T319" s="219"/>
      <c r="U319" s="219"/>
      <c r="V319" s="355"/>
      <c r="W319" s="227"/>
      <c r="X319" s="219"/>
      <c r="Y319" s="219"/>
      <c r="Z319" s="172"/>
      <c r="AA319" s="172"/>
      <c r="AB319" s="172"/>
      <c r="AC319" s="173"/>
      <c r="AD319" s="219"/>
      <c r="AE319" s="219"/>
      <c r="AF319" s="172"/>
      <c r="AG319" s="172"/>
      <c r="AH319" s="173"/>
      <c r="AI319" s="173"/>
      <c r="AJ319" s="173"/>
      <c r="AK319" s="173"/>
      <c r="AL319" s="173"/>
    </row>
    <row r="320" spans="2:38" s="2" customFormat="1" ht="14.5" customHeight="1">
      <c r="B320" s="29"/>
      <c r="C320"/>
      <c r="D320" s="27"/>
      <c r="E320"/>
      <c r="F320" s="27"/>
      <c r="G320" s="27"/>
      <c r="H320" s="27"/>
      <c r="I320" s="134"/>
      <c r="J320" s="27"/>
      <c r="K320"/>
      <c r="L320" s="27"/>
      <c r="M320" s="27"/>
      <c r="N320" s="27"/>
      <c r="O320" s="134"/>
      <c r="P320" s="27"/>
      <c r="Q320"/>
      <c r="R320" s="27"/>
      <c r="S320" s="27"/>
      <c r="T320" s="27"/>
      <c r="U320" s="134"/>
      <c r="V320" s="27"/>
      <c r="W320"/>
      <c r="X320" s="27"/>
      <c r="Y320" s="27"/>
      <c r="Z320"/>
      <c r="AA320"/>
      <c r="AB320"/>
      <c r="AC320" s="144"/>
      <c r="AD320" s="27"/>
      <c r="AE320" s="27"/>
      <c r="AF320"/>
      <c r="AG320"/>
      <c r="AH320" s="144"/>
      <c r="AI320" s="144"/>
      <c r="AJ320" s="144"/>
      <c r="AK320" s="144"/>
      <c r="AL320" s="144"/>
    </row>
    <row r="321" spans="1:38" s="2" customFormat="1" ht="14.5" customHeight="1">
      <c r="A321" s="12"/>
      <c r="B321" s="31" t="s">
        <v>140</v>
      </c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</row>
    <row r="322" spans="1:38" s="2" customFormat="1" ht="14.5" customHeight="1">
      <c r="B322" s="29"/>
      <c r="C322"/>
      <c r="D322" s="25"/>
      <c r="E322"/>
      <c r="F322" s="27"/>
      <c r="G322" s="27"/>
      <c r="H322" s="27"/>
      <c r="I322" s="134"/>
      <c r="J322" s="25"/>
      <c r="K322"/>
      <c r="L322" s="27"/>
      <c r="M322" s="27"/>
      <c r="N322" s="27"/>
      <c r="O322" s="134"/>
      <c r="P322" s="25"/>
      <c r="Q322"/>
      <c r="R322" s="27"/>
      <c r="S322" s="27"/>
      <c r="T322" s="27"/>
      <c r="U322" s="134"/>
      <c r="V322" s="25"/>
      <c r="W322"/>
      <c r="X322" s="27"/>
      <c r="Y322" s="27"/>
      <c r="Z322"/>
      <c r="AA322"/>
      <c r="AB322" s="144"/>
      <c r="AC322" s="144"/>
      <c r="AD322" s="27"/>
      <c r="AE322" s="27"/>
      <c r="AF322"/>
      <c r="AG322"/>
      <c r="AH322" s="144"/>
      <c r="AI322" s="144"/>
      <c r="AJ322" s="144"/>
      <c r="AK322" s="144"/>
      <c r="AL322" s="144"/>
    </row>
    <row r="323" spans="1:38" s="2" customFormat="1" ht="14.5" customHeight="1">
      <c r="B323" s="164" t="s">
        <v>141</v>
      </c>
      <c r="C323" s="28"/>
      <c r="D323" s="185" t="str">
        <f>+D282</f>
        <v>-</v>
      </c>
      <c r="E323" s="28"/>
      <c r="F323" s="186">
        <f>+F282</f>
        <v>0</v>
      </c>
      <c r="G323" s="186">
        <f>+G282</f>
        <v>0</v>
      </c>
      <c r="H323" s="186">
        <f>+H282</f>
        <v>0</v>
      </c>
      <c r="I323" s="186">
        <f>+I282</f>
        <v>0</v>
      </c>
      <c r="J323" s="185">
        <f>+J282</f>
        <v>49126</v>
      </c>
      <c r="K323" s="28"/>
      <c r="L323" s="186">
        <f>+L282</f>
        <v>5355</v>
      </c>
      <c r="M323" s="186">
        <f>+M282</f>
        <v>-10618</v>
      </c>
      <c r="N323" s="186">
        <f>+N282</f>
        <v>5665</v>
      </c>
      <c r="O323" s="186">
        <f>+O282</f>
        <v>0</v>
      </c>
      <c r="P323" s="185">
        <f>+P282</f>
        <v>-33280</v>
      </c>
      <c r="Q323" s="28"/>
      <c r="R323" s="186">
        <f>+R282</f>
        <v>7462</v>
      </c>
      <c r="S323" s="186">
        <f>+S282</f>
        <v>19708</v>
      </c>
      <c r="T323" s="186">
        <f>+T282</f>
        <v>28502</v>
      </c>
      <c r="U323" s="186">
        <f>+U282</f>
        <v>0</v>
      </c>
      <c r="V323" s="185">
        <f>+V282</f>
        <v>25156</v>
      </c>
      <c r="W323" s="28"/>
      <c r="X323" s="186">
        <f>+X282</f>
        <v>9079</v>
      </c>
      <c r="Y323" s="186">
        <f>+Y282</f>
        <v>18054</v>
      </c>
      <c r="Z323" s="181">
        <f t="shared" ref="Z323:AA323" si="111">+Z328+Z326</f>
        <v>21114.5</v>
      </c>
      <c r="AA323" s="181">
        <f t="shared" si="111"/>
        <v>21114.5</v>
      </c>
      <c r="AB323" s="180">
        <f>+SUM(X323:AA323)</f>
        <v>69362</v>
      </c>
      <c r="AC323" s="180"/>
      <c r="AD323" s="186">
        <f>+AD282</f>
        <v>-1000</v>
      </c>
      <c r="AE323" s="186">
        <f>+AE282</f>
        <v>7000</v>
      </c>
      <c r="AF323" s="181">
        <f t="shared" ref="AF323:AG323" si="112">+AF328+AF326</f>
        <v>30500</v>
      </c>
      <c r="AG323" s="181">
        <f t="shared" si="112"/>
        <v>30500</v>
      </c>
      <c r="AH323" s="180">
        <f t="shared" ref="AH323:AJ323" si="113">+AH328+AH326</f>
        <v>794826.14</v>
      </c>
      <c r="AI323" s="180">
        <f t="shared" si="113"/>
        <v>1101820.189148</v>
      </c>
      <c r="AJ323" s="180">
        <f t="shared" si="113"/>
        <v>1477950.7254050646</v>
      </c>
      <c r="AK323" s="180">
        <f t="shared" ref="AK323:AL323" si="114">+AK328+AK326</f>
        <v>2016772.3751292909</v>
      </c>
      <c r="AL323" s="180">
        <f t="shared" si="114"/>
        <v>2804386.5199165223</v>
      </c>
    </row>
    <row r="324" spans="1:38" s="2" customFormat="1" ht="14.5" customHeight="1">
      <c r="B324" s="161" t="s">
        <v>15</v>
      </c>
      <c r="C324" s="202"/>
      <c r="D324" s="160" t="e">
        <f>+D323/D$80</f>
        <v>#VALUE!</v>
      </c>
      <c r="E324" s="202"/>
      <c r="F324" s="158" t="e">
        <f>+F323/F$80</f>
        <v>#DIV/0!</v>
      </c>
      <c r="G324" s="158" t="e">
        <f>+G323/G$80</f>
        <v>#DIV/0!</v>
      </c>
      <c r="H324" s="158" t="e">
        <f>+H323/H$80</f>
        <v>#DIV/0!</v>
      </c>
      <c r="I324" s="158" t="e">
        <f>+I323/I$80</f>
        <v>#DIV/0!</v>
      </c>
      <c r="J324" s="160">
        <f>+J323/J$80</f>
        <v>1.02234248910408E-2</v>
      </c>
      <c r="K324" s="202"/>
      <c r="L324" s="158" t="e">
        <f>+L323/L$80</f>
        <v>#DIV/0!</v>
      </c>
      <c r="M324" s="158" t="e">
        <f>+M323/M$80</f>
        <v>#DIV/0!</v>
      </c>
      <c r="N324" s="158" t="e">
        <f>+N323/N$80</f>
        <v>#DIV/0!</v>
      </c>
      <c r="O324" s="158" t="e">
        <f>+O323/O$80</f>
        <v>#DIV/0!</v>
      </c>
      <c r="P324" s="160">
        <f>+P323/P$80</f>
        <v>-9.8514001539281269E-3</v>
      </c>
      <c r="Q324" s="202"/>
      <c r="R324" s="158" t="e">
        <f>+R323/R$80</f>
        <v>#DIV/0!</v>
      </c>
      <c r="S324" s="158" t="e">
        <f>+S323/S$80</f>
        <v>#DIV/0!</v>
      </c>
      <c r="T324" s="158" t="e">
        <f>+T323/T$80</f>
        <v>#DIV/0!</v>
      </c>
      <c r="U324" s="158" t="e">
        <f>+U323/U$80</f>
        <v>#DIV/0!</v>
      </c>
      <c r="V324" s="160">
        <f>+V323/V$80</f>
        <v>4.1984745564697832E-3</v>
      </c>
      <c r="W324" s="202"/>
      <c r="X324" s="158" t="e">
        <f>+X323/X$80</f>
        <v>#DIV/0!</v>
      </c>
      <c r="Y324" s="158" t="e">
        <f>+Y323/Y$80</f>
        <v>#DIV/0!</v>
      </c>
      <c r="Z324" s="202" t="e">
        <f>+Z323/Z$80</f>
        <v>#DIV/0!</v>
      </c>
      <c r="AA324" s="202" t="e">
        <f>+AA323/AA$80</f>
        <v>#DIV/0!</v>
      </c>
      <c r="AB324" s="167">
        <f>+AB323/AB$80</f>
        <v>8.2583640909632099E-3</v>
      </c>
      <c r="AC324" s="167"/>
      <c r="AD324" s="158" t="e">
        <f>+AD323/AD$80</f>
        <v>#DIV/0!</v>
      </c>
      <c r="AE324" s="158" t="e">
        <f>+AE323/AE$80</f>
        <v>#DIV/0!</v>
      </c>
      <c r="AF324" s="202" t="e">
        <f>+AF323/AF$80</f>
        <v>#DIV/0!</v>
      </c>
      <c r="AG324" s="202" t="e">
        <f>+AG323/AG$80</f>
        <v>#DIV/0!</v>
      </c>
      <c r="AH324" s="167">
        <f t="shared" ref="AH324:AJ324" si="115">+AH323/AH$80</f>
        <v>6.7133596954390445E-2</v>
      </c>
      <c r="AI324" s="167">
        <f t="shared" si="115"/>
        <v>6.4980998954014407E-2</v>
      </c>
      <c r="AJ324" s="167">
        <f t="shared" si="115"/>
        <v>6.363653136296564E-2</v>
      </c>
      <c r="AK324" s="167">
        <f t="shared" ref="AK324:AL324" si="116">+AK323/AK$80</f>
        <v>6.2622492522553905E-2</v>
      </c>
      <c r="AL324" s="167">
        <f t="shared" si="116"/>
        <v>6.1863093078694406E-2</v>
      </c>
    </row>
    <row r="325" spans="1:38" s="2" customFormat="1" ht="14.5" customHeight="1">
      <c r="B325"/>
      <c r="C325"/>
      <c r="D325" s="25"/>
      <c r="E325"/>
      <c r="F325" s="27"/>
      <c r="G325" s="27"/>
      <c r="H325" s="27"/>
      <c r="I325" s="134"/>
      <c r="J325" s="25"/>
      <c r="K325"/>
      <c r="L325" s="27"/>
      <c r="M325" s="27"/>
      <c r="N325" s="27"/>
      <c r="O325" s="134"/>
      <c r="P325" s="25"/>
      <c r="Q325"/>
      <c r="R325" s="27"/>
      <c r="S325" s="27"/>
      <c r="T325" s="27"/>
      <c r="U325" s="134"/>
      <c r="V325" s="25"/>
      <c r="W325"/>
      <c r="X325" s="27"/>
      <c r="Y325" s="27"/>
      <c r="Z325"/>
      <c r="AA325"/>
      <c r="AB325" s="143"/>
      <c r="AC325" s="143"/>
      <c r="AD325" s="27"/>
      <c r="AE325" s="27"/>
      <c r="AF325"/>
      <c r="AG325"/>
      <c r="AH325" s="143"/>
      <c r="AI325" s="143"/>
      <c r="AJ325" s="143"/>
      <c r="AK325" s="143"/>
      <c r="AL325" s="143"/>
    </row>
    <row r="326" spans="1:38" s="2" customFormat="1" ht="14.5" customHeight="1">
      <c r="B326" s="203" t="s">
        <v>142</v>
      </c>
      <c r="C326" s="156"/>
      <c r="D326" s="182">
        <f t="shared" ref="D326:Y326" si="117">+D317</f>
        <v>44620</v>
      </c>
      <c r="E326" s="156"/>
      <c r="F326" s="183">
        <f t="shared" si="117"/>
        <v>0</v>
      </c>
      <c r="G326" s="183">
        <f t="shared" si="117"/>
        <v>0</v>
      </c>
      <c r="H326" s="183">
        <f t="shared" si="117"/>
        <v>0</v>
      </c>
      <c r="I326" s="183">
        <f t="shared" si="117"/>
        <v>0</v>
      </c>
      <c r="J326" s="182">
        <f t="shared" si="117"/>
        <v>28192</v>
      </c>
      <c r="K326" s="156"/>
      <c r="L326" s="183">
        <f t="shared" si="117"/>
        <v>2921</v>
      </c>
      <c r="M326" s="183">
        <f t="shared" si="117"/>
        <v>5345</v>
      </c>
      <c r="N326" s="183">
        <f t="shared" si="117"/>
        <v>10453</v>
      </c>
      <c r="O326" s="183">
        <f t="shared" si="117"/>
        <v>0</v>
      </c>
      <c r="P326" s="182">
        <f t="shared" si="117"/>
        <v>15103</v>
      </c>
      <c r="Q326" s="156"/>
      <c r="R326" s="183">
        <f t="shared" si="117"/>
        <v>6307</v>
      </c>
      <c r="S326" s="183">
        <f t="shared" si="117"/>
        <v>11744</v>
      </c>
      <c r="T326" s="183">
        <f t="shared" si="117"/>
        <v>14299</v>
      </c>
      <c r="U326" s="183">
        <f t="shared" si="117"/>
        <v>0</v>
      </c>
      <c r="V326" s="182">
        <f t="shared" si="117"/>
        <v>17291</v>
      </c>
      <c r="W326" s="156"/>
      <c r="X326" s="183">
        <f t="shared" si="117"/>
        <v>14706</v>
      </c>
      <c r="Y326" s="183">
        <f t="shared" si="117"/>
        <v>27523</v>
      </c>
      <c r="Z326" s="187">
        <f>+AVERAGE(X326:Y326)</f>
        <v>21114.5</v>
      </c>
      <c r="AA326" s="187">
        <f>+AVERAGE(X326:Y326)</f>
        <v>21114.5</v>
      </c>
      <c r="AB326" s="177">
        <f>+SUM(X326:AA326)</f>
        <v>84458</v>
      </c>
      <c r="AC326" s="177"/>
      <c r="AD326" s="183">
        <f t="shared" ref="AD326:AE326" si="118">+AD317</f>
        <v>11000</v>
      </c>
      <c r="AE326" s="183">
        <f t="shared" si="118"/>
        <v>50000</v>
      </c>
      <c r="AF326" s="187">
        <f>+AVERAGE(AD326:AE326)</f>
        <v>30500</v>
      </c>
      <c r="AG326" s="187">
        <f>+AVERAGE(AD326:AE326)</f>
        <v>30500</v>
      </c>
      <c r="AH326" s="187">
        <f>+AB326</f>
        <v>84458</v>
      </c>
      <c r="AI326" s="187">
        <f t="shared" ref="AI326:AL326" si="119">+AH326</f>
        <v>84458</v>
      </c>
      <c r="AJ326" s="187">
        <f t="shared" si="119"/>
        <v>84458</v>
      </c>
      <c r="AK326" s="187">
        <f t="shared" si="119"/>
        <v>84458</v>
      </c>
      <c r="AL326" s="187">
        <f t="shared" si="119"/>
        <v>84458</v>
      </c>
    </row>
    <row r="327" spans="1:38" s="2" customFormat="1" ht="14.5" customHeight="1">
      <c r="B327"/>
      <c r="C327"/>
      <c r="D327" s="25"/>
      <c r="E327"/>
      <c r="F327" s="27"/>
      <c r="G327" s="27"/>
      <c r="H327" s="27"/>
      <c r="I327" s="134"/>
      <c r="J327" s="25"/>
      <c r="K327"/>
      <c r="L327" s="27"/>
      <c r="M327" s="27"/>
      <c r="N327" s="27"/>
      <c r="O327" s="134"/>
      <c r="P327" s="25"/>
      <c r="Q327"/>
      <c r="R327" s="27"/>
      <c r="S327" s="27"/>
      <c r="T327" s="27"/>
      <c r="U327" s="134"/>
      <c r="V327" s="25"/>
      <c r="W327"/>
      <c r="X327" s="27"/>
      <c r="Y327" s="27"/>
      <c r="Z327"/>
      <c r="AA327"/>
      <c r="AB327" s="143"/>
      <c r="AC327" s="143"/>
      <c r="AD327" s="27"/>
      <c r="AE327" s="27"/>
      <c r="AF327"/>
      <c r="AG327"/>
      <c r="AH327" s="143"/>
      <c r="AI327" s="143"/>
      <c r="AJ327" s="143"/>
      <c r="AK327" s="143"/>
      <c r="AL327" s="143"/>
    </row>
    <row r="328" spans="1:38" s="2" customFormat="1" ht="14.5" customHeight="1">
      <c r="B328" s="28" t="s">
        <v>143</v>
      </c>
      <c r="C328" s="28"/>
      <c r="D328" s="180" t="e">
        <f t="shared" ref="D328:Y328" si="120">+D323-D326</f>
        <v>#VALUE!</v>
      </c>
      <c r="E328" s="28"/>
      <c r="F328" s="181">
        <f t="shared" si="120"/>
        <v>0</v>
      </c>
      <c r="G328" s="181">
        <f t="shared" si="120"/>
        <v>0</v>
      </c>
      <c r="H328" s="181">
        <f t="shared" si="120"/>
        <v>0</v>
      </c>
      <c r="I328" s="181">
        <f t="shared" si="120"/>
        <v>0</v>
      </c>
      <c r="J328" s="180">
        <f t="shared" si="120"/>
        <v>20934</v>
      </c>
      <c r="K328" s="28"/>
      <c r="L328" s="181">
        <f t="shared" si="120"/>
        <v>2434</v>
      </c>
      <c r="M328" s="181">
        <f t="shared" si="120"/>
        <v>-15963</v>
      </c>
      <c r="N328" s="181">
        <f t="shared" si="120"/>
        <v>-4788</v>
      </c>
      <c r="O328" s="181">
        <f t="shared" si="120"/>
        <v>0</v>
      </c>
      <c r="P328" s="180">
        <f t="shared" si="120"/>
        <v>-48383</v>
      </c>
      <c r="Q328" s="28"/>
      <c r="R328" s="181">
        <f t="shared" si="120"/>
        <v>1155</v>
      </c>
      <c r="S328" s="181">
        <f t="shared" si="120"/>
        <v>7964</v>
      </c>
      <c r="T328" s="181">
        <f t="shared" si="120"/>
        <v>14203</v>
      </c>
      <c r="U328" s="181">
        <f t="shared" si="120"/>
        <v>0</v>
      </c>
      <c r="V328" s="180">
        <f t="shared" si="120"/>
        <v>7865</v>
      </c>
      <c r="W328" s="28"/>
      <c r="X328" s="181">
        <f t="shared" si="120"/>
        <v>-5627</v>
      </c>
      <c r="Y328" s="181">
        <f t="shared" si="120"/>
        <v>-9469</v>
      </c>
      <c r="Z328" s="171">
        <f>+Z329*Z80</f>
        <v>0</v>
      </c>
      <c r="AA328" s="171">
        <f>+AA329*AA80</f>
        <v>0</v>
      </c>
      <c r="AB328" s="180">
        <f>+SUM(X328:AA328)</f>
        <v>-15096</v>
      </c>
      <c r="AC328" s="180"/>
      <c r="AD328" s="181">
        <f t="shared" ref="AD328:AE328" si="121">+AD323-AD326</f>
        <v>-12000</v>
      </c>
      <c r="AE328" s="181">
        <f t="shared" si="121"/>
        <v>-43000</v>
      </c>
      <c r="AF328" s="171">
        <f t="shared" ref="AF328:AL328" si="122">+AF329*AF80</f>
        <v>0</v>
      </c>
      <c r="AG328" s="171">
        <f t="shared" si="122"/>
        <v>0</v>
      </c>
      <c r="AH328" s="180">
        <f t="shared" si="122"/>
        <v>710368.14</v>
      </c>
      <c r="AI328" s="180">
        <f t="shared" si="122"/>
        <v>1017362.1891480001</v>
      </c>
      <c r="AJ328" s="180">
        <f t="shared" si="122"/>
        <v>1393492.7254050646</v>
      </c>
      <c r="AK328" s="180">
        <f t="shared" si="122"/>
        <v>1932314.3751292909</v>
      </c>
      <c r="AL328" s="180">
        <f t="shared" si="122"/>
        <v>2719928.5199165223</v>
      </c>
    </row>
    <row r="329" spans="1:38" s="2" customFormat="1" ht="14.5" customHeight="1">
      <c r="B329" s="161" t="s">
        <v>15</v>
      </c>
      <c r="C329" s="21"/>
      <c r="D329" s="160" t="e">
        <f>+D328/D$80</f>
        <v>#VALUE!</v>
      </c>
      <c r="E329" s="21"/>
      <c r="F329" s="158" t="e">
        <f>+F328/F$80</f>
        <v>#DIV/0!</v>
      </c>
      <c r="G329" s="158" t="e">
        <f>+G328/G$80</f>
        <v>#DIV/0!</v>
      </c>
      <c r="H329" s="158" t="e">
        <f>+H328/H$80</f>
        <v>#DIV/0!</v>
      </c>
      <c r="I329" s="158" t="e">
        <f>+I328/I$80</f>
        <v>#DIV/0!</v>
      </c>
      <c r="J329" s="160">
        <f>+J328/J$80</f>
        <v>4.3564950671548287E-3</v>
      </c>
      <c r="K329" s="21"/>
      <c r="L329" s="158" t="e">
        <f>+L328/L$80</f>
        <v>#DIV/0!</v>
      </c>
      <c r="M329" s="158" t="e">
        <f>+M328/M$80</f>
        <v>#DIV/0!</v>
      </c>
      <c r="N329" s="158" t="e">
        <f>+N328/N$80</f>
        <v>#DIV/0!</v>
      </c>
      <c r="O329" s="158" t="e">
        <f>+O328/O$80</f>
        <v>#DIV/0!</v>
      </c>
      <c r="P329" s="160">
        <f>+P328/P$80</f>
        <v>-1.4322124208158191E-2</v>
      </c>
      <c r="Q329" s="21"/>
      <c r="R329" s="158" t="e">
        <f>+R328/R$80</f>
        <v>#DIV/0!</v>
      </c>
      <c r="S329" s="158" t="e">
        <f>+S328/S$80</f>
        <v>#DIV/0!</v>
      </c>
      <c r="T329" s="158" t="e">
        <f>+T328/T$80</f>
        <v>#DIV/0!</v>
      </c>
      <c r="U329" s="158" t="e">
        <f>+U328/U$80</f>
        <v>#DIV/0!</v>
      </c>
      <c r="V329" s="160">
        <f>+V328/V$80</f>
        <v>1.3126491646778043E-3</v>
      </c>
      <c r="W329" s="21"/>
      <c r="X329" s="158" t="e">
        <f>+X328/X$80</f>
        <v>#DIV/0!</v>
      </c>
      <c r="Y329" s="158" t="e">
        <f>+Y328/Y$80</f>
        <v>#DIV/0!</v>
      </c>
      <c r="Z329" s="166">
        <v>0.05</v>
      </c>
      <c r="AA329" s="166">
        <v>0.05</v>
      </c>
      <c r="AB329" s="167">
        <f t="shared" ref="AB329" si="123">+AB328/AB$80</f>
        <v>-1.7973568281938327E-3</v>
      </c>
      <c r="AC329" s="167"/>
      <c r="AD329" s="158" t="e">
        <f>+AD328/AD$80</f>
        <v>#DIV/0!</v>
      </c>
      <c r="AE329" s="158" t="e">
        <f>+AE328/AE$80</f>
        <v>#DIV/0!</v>
      </c>
      <c r="AF329" s="166">
        <v>0.05</v>
      </c>
      <c r="AG329" s="166">
        <v>0.05</v>
      </c>
      <c r="AH329" s="166">
        <v>0.06</v>
      </c>
      <c r="AI329" s="166">
        <v>0.06</v>
      </c>
      <c r="AJ329" s="166">
        <v>0.06</v>
      </c>
      <c r="AK329" s="166">
        <v>0.06</v>
      </c>
      <c r="AL329" s="166">
        <v>0.06</v>
      </c>
    </row>
    <row r="330" spans="1:38" s="2" customFormat="1" ht="14.5" customHeight="1">
      <c r="B330"/>
      <c r="C330"/>
      <c r="D330" s="25"/>
      <c r="E330"/>
      <c r="F330" s="27"/>
      <c r="G330" s="27"/>
      <c r="H330" s="27"/>
      <c r="I330" s="134"/>
      <c r="J330" s="25"/>
      <c r="K330"/>
      <c r="L330" s="27"/>
      <c r="M330" s="27"/>
      <c r="N330" s="27"/>
      <c r="O330" s="134"/>
      <c r="P330" s="25"/>
      <c r="Q330"/>
      <c r="R330" s="27"/>
      <c r="S330" s="27"/>
      <c r="T330" s="27"/>
      <c r="U330" s="134"/>
      <c r="V330" s="25"/>
      <c r="W330"/>
      <c r="X330" s="27"/>
      <c r="Y330" s="27"/>
      <c r="Z330"/>
      <c r="AA330"/>
      <c r="AB330" s="143"/>
      <c r="AC330" s="143"/>
      <c r="AD330" s="27"/>
      <c r="AE330" s="27"/>
      <c r="AF330"/>
      <c r="AG330"/>
      <c r="AH330" s="204"/>
      <c r="AI330" s="204"/>
      <c r="AJ330" s="204"/>
      <c r="AK330" s="204"/>
      <c r="AL330" s="204"/>
    </row>
    <row r="331" spans="1:38" s="2" customFormat="1" ht="14.5" customHeight="1">
      <c r="B331" s="164" t="s">
        <v>144</v>
      </c>
      <c r="C331" s="28"/>
      <c r="D331" s="185">
        <f t="shared" ref="D331:Y331" si="124">+D291</f>
        <v>201310</v>
      </c>
      <c r="E331" s="28"/>
      <c r="F331" s="186">
        <f t="shared" si="124"/>
        <v>0</v>
      </c>
      <c r="G331" s="186">
        <f t="shared" si="124"/>
        <v>0</v>
      </c>
      <c r="H331" s="186">
        <f t="shared" si="124"/>
        <v>0</v>
      </c>
      <c r="I331" s="186">
        <f t="shared" si="124"/>
        <v>0</v>
      </c>
      <c r="J331" s="185">
        <f t="shared" si="124"/>
        <v>551647</v>
      </c>
      <c r="K331" s="28"/>
      <c r="L331" s="186">
        <f t="shared" si="124"/>
        <v>225455</v>
      </c>
      <c r="M331" s="186">
        <f t="shared" si="124"/>
        <v>528747</v>
      </c>
      <c r="N331" s="186">
        <f t="shared" si="124"/>
        <v>1005881</v>
      </c>
      <c r="O331" s="186">
        <f t="shared" si="124"/>
        <v>0</v>
      </c>
      <c r="P331" s="185">
        <f t="shared" si="124"/>
        <v>1810052</v>
      </c>
      <c r="Q331" s="28"/>
      <c r="R331" s="186">
        <f t="shared" si="124"/>
        <v>168660</v>
      </c>
      <c r="S331" s="186">
        <f t="shared" si="124"/>
        <v>803464</v>
      </c>
      <c r="T331" s="186">
        <f t="shared" si="124"/>
        <v>1393215</v>
      </c>
      <c r="U331" s="186">
        <f t="shared" si="124"/>
        <v>0</v>
      </c>
      <c r="V331" s="185">
        <f t="shared" si="124"/>
        <v>2026867</v>
      </c>
      <c r="W331" s="28"/>
      <c r="X331" s="186">
        <f t="shared" si="124"/>
        <v>593772</v>
      </c>
      <c r="Y331" s="186">
        <f t="shared" si="124"/>
        <v>1682246</v>
      </c>
      <c r="Z331" s="171">
        <f>+Z332*Z80</f>
        <v>0</v>
      </c>
      <c r="AA331" s="171">
        <f>+AA332*AA80</f>
        <v>0</v>
      </c>
      <c r="AB331" s="180">
        <f>+SUM(X331:AA331)</f>
        <v>2276018</v>
      </c>
      <c r="AC331" s="180"/>
      <c r="AD331" s="186" t="str">
        <f t="shared" ref="AD331:AE331" si="125">+AD291</f>
        <v>-</v>
      </c>
      <c r="AE331" s="186" t="str">
        <f t="shared" si="125"/>
        <v>-</v>
      </c>
      <c r="AF331" s="171">
        <f t="shared" ref="AF331:AL331" si="126">+AF332*AF80</f>
        <v>0</v>
      </c>
      <c r="AG331" s="171">
        <f t="shared" si="126"/>
        <v>0</v>
      </c>
      <c r="AH331" s="188">
        <f t="shared" si="126"/>
        <v>118394.69</v>
      </c>
      <c r="AI331" s="188">
        <f t="shared" si="126"/>
        <v>169560.36485800002</v>
      </c>
      <c r="AJ331" s="188">
        <f t="shared" si="126"/>
        <v>232248.78756751079</v>
      </c>
      <c r="AK331" s="188">
        <f t="shared" si="126"/>
        <v>322052.39585488185</v>
      </c>
      <c r="AL331" s="188">
        <f t="shared" si="126"/>
        <v>453321.41998608707</v>
      </c>
    </row>
    <row r="332" spans="1:38" s="2" customFormat="1" ht="14.5" customHeight="1">
      <c r="B332" s="161" t="s">
        <v>15</v>
      </c>
      <c r="C332" s="21"/>
      <c r="D332" s="160">
        <f>+-D331/D$80</f>
        <v>-5.5123446563991908E-2</v>
      </c>
      <c r="E332" s="21"/>
      <c r="F332" s="158" t="e">
        <f>+-F331/F$80</f>
        <v>#DIV/0!</v>
      </c>
      <c r="G332" s="158" t="e">
        <f>+-G331/G$80</f>
        <v>#DIV/0!</v>
      </c>
      <c r="H332" s="158" t="e">
        <f>+-H331/H$80</f>
        <v>#DIV/0!</v>
      </c>
      <c r="I332" s="158" t="e">
        <f>+-I331/I$80</f>
        <v>#DIV/0!</v>
      </c>
      <c r="J332" s="160">
        <f>+-J331/J$80</f>
        <v>-0.1148011576531365</v>
      </c>
      <c r="K332" s="21"/>
      <c r="L332" s="158" t="e">
        <f>+-L331/L$80</f>
        <v>#DIV/0!</v>
      </c>
      <c r="M332" s="158" t="e">
        <f>+-M331/M$80</f>
        <v>#DIV/0!</v>
      </c>
      <c r="N332" s="158" t="e">
        <f>+-N331/N$80</f>
        <v>#DIV/0!</v>
      </c>
      <c r="O332" s="158" t="e">
        <f>+-O331/O$80</f>
        <v>#DIV/0!</v>
      </c>
      <c r="P332" s="160">
        <f>+-P331/P$80</f>
        <v>-0.53580368243443255</v>
      </c>
      <c r="Q332" s="21"/>
      <c r="R332" s="158" t="e">
        <f>+-R331/R$80</f>
        <v>#DIV/0!</v>
      </c>
      <c r="S332" s="158" t="e">
        <f>+-S331/S$80</f>
        <v>#DIV/0!</v>
      </c>
      <c r="T332" s="158" t="e">
        <f>+-T331/T$80</f>
        <v>#DIV/0!</v>
      </c>
      <c r="U332" s="158" t="e">
        <f>+-U331/U$80</f>
        <v>#DIV/0!</v>
      </c>
      <c r="V332" s="160">
        <f>+-V331/V$80</f>
        <v>-0.33827911944857053</v>
      </c>
      <c r="W332" s="21"/>
      <c r="X332" s="158" t="e">
        <f>+-X331/X$80</f>
        <v>#DIV/0!</v>
      </c>
      <c r="Y332" s="158" t="e">
        <f>+-Y331/Y$80</f>
        <v>#DIV/0!</v>
      </c>
      <c r="Z332" s="166">
        <v>0.01</v>
      </c>
      <c r="AA332" s="166">
        <v>0.01</v>
      </c>
      <c r="AB332" s="167">
        <f t="shared" ref="AB332" si="127">+-AB331/AB$80</f>
        <v>-0.27098678414096916</v>
      </c>
      <c r="AC332" s="167"/>
      <c r="AD332" s="158" t="e">
        <f>+-AD331/AD$80</f>
        <v>#VALUE!</v>
      </c>
      <c r="AE332" s="158" t="e">
        <f>+-AE331/AE$80</f>
        <v>#VALUE!</v>
      </c>
      <c r="AF332" s="166">
        <v>0.01</v>
      </c>
      <c r="AG332" s="166">
        <v>0.01</v>
      </c>
      <c r="AH332" s="166">
        <v>0.01</v>
      </c>
      <c r="AI332" s="166">
        <v>0.01</v>
      </c>
      <c r="AJ332" s="166">
        <v>0.01</v>
      </c>
      <c r="AK332" s="166">
        <v>0.01</v>
      </c>
      <c r="AL332" s="166">
        <v>0.01</v>
      </c>
    </row>
    <row r="333" spans="1:38" s="2" customFormat="1" ht="14.5" customHeight="1">
      <c r="B333" s="161"/>
      <c r="C333" s="21"/>
      <c r="D333" s="25"/>
      <c r="E333" s="21"/>
      <c r="F333" s="27"/>
      <c r="G333" s="27"/>
      <c r="H333" s="27"/>
      <c r="I333" s="134"/>
      <c r="J333" s="25"/>
      <c r="K333" s="21"/>
      <c r="L333" s="27"/>
      <c r="M333" s="27"/>
      <c r="N333" s="27"/>
      <c r="O333" s="134"/>
      <c r="P333" s="25"/>
      <c r="Q333" s="21"/>
      <c r="R333" s="27"/>
      <c r="S333" s="27"/>
      <c r="T333" s="27"/>
      <c r="U333" s="134"/>
      <c r="V333" s="25"/>
      <c r="W333" s="21"/>
      <c r="X333" s="27"/>
      <c r="Y333" s="27"/>
      <c r="Z333"/>
      <c r="AA333"/>
      <c r="AB333" s="143"/>
      <c r="AC333" s="143"/>
      <c r="AD333" s="27"/>
      <c r="AE333" s="27"/>
      <c r="AF333"/>
      <c r="AG333"/>
      <c r="AH333" s="204"/>
      <c r="AI333" s="204"/>
      <c r="AJ333" s="204"/>
      <c r="AK333" s="204"/>
      <c r="AL333" s="204"/>
    </row>
    <row r="334" spans="1:38" s="2" customFormat="1" ht="14.5" customHeight="1">
      <c r="B334" s="164" t="s">
        <v>136</v>
      </c>
      <c r="D334" s="185">
        <f t="shared" ref="D334:Y334" si="128">+D294</f>
        <v>-28850</v>
      </c>
      <c r="F334" s="186">
        <f t="shared" si="128"/>
        <v>0</v>
      </c>
      <c r="G334" s="186">
        <f t="shared" si="128"/>
        <v>0</v>
      </c>
      <c r="H334" s="186">
        <f t="shared" si="128"/>
        <v>0</v>
      </c>
      <c r="I334" s="186">
        <f t="shared" si="128"/>
        <v>0</v>
      </c>
      <c r="J334" s="185">
        <f t="shared" si="128"/>
        <v>-208182</v>
      </c>
      <c r="L334" s="186" t="str">
        <f t="shared" si="128"/>
        <v>-</v>
      </c>
      <c r="M334" s="186" t="str">
        <f t="shared" si="128"/>
        <v>-</v>
      </c>
      <c r="N334" s="186" t="str">
        <f t="shared" si="128"/>
        <v>-</v>
      </c>
      <c r="O334" s="186">
        <f t="shared" si="128"/>
        <v>0</v>
      </c>
      <c r="P334" s="185" t="str">
        <f t="shared" si="128"/>
        <v>-</v>
      </c>
      <c r="R334" s="186" t="str">
        <f t="shared" si="128"/>
        <v>-</v>
      </c>
      <c r="S334" s="186" t="str">
        <f t="shared" si="128"/>
        <v>-</v>
      </c>
      <c r="T334" s="186" t="str">
        <f t="shared" si="128"/>
        <v>-</v>
      </c>
      <c r="U334" s="186">
        <f t="shared" si="128"/>
        <v>0</v>
      </c>
      <c r="V334" s="185" t="str">
        <f t="shared" si="128"/>
        <v>-</v>
      </c>
      <c r="X334" s="186" t="str">
        <f t="shared" si="128"/>
        <v>-</v>
      </c>
      <c r="Y334" s="186" t="str">
        <f t="shared" si="128"/>
        <v>-</v>
      </c>
      <c r="Z334" s="171">
        <f>+Z335*Z80</f>
        <v>0</v>
      </c>
      <c r="AA334" s="171">
        <f>+AA335*AA80</f>
        <v>0</v>
      </c>
      <c r="AB334" s="180">
        <f>+SUM(X334:AA334)</f>
        <v>0</v>
      </c>
      <c r="AC334" s="180"/>
      <c r="AD334" s="186" t="str">
        <f t="shared" ref="AD334:AE334" si="129">+AD294</f>
        <v>-</v>
      </c>
      <c r="AE334" s="186" t="str">
        <f t="shared" si="129"/>
        <v>-</v>
      </c>
      <c r="AF334" s="171">
        <f t="shared" ref="AF334:AL334" si="130">+AF335*AF80</f>
        <v>0</v>
      </c>
      <c r="AG334" s="171">
        <f t="shared" si="130"/>
        <v>0</v>
      </c>
      <c r="AH334" s="188">
        <f t="shared" si="130"/>
        <v>0</v>
      </c>
      <c r="AI334" s="188">
        <f t="shared" si="130"/>
        <v>0</v>
      </c>
      <c r="AJ334" s="188">
        <f t="shared" si="130"/>
        <v>0</v>
      </c>
      <c r="AK334" s="188">
        <f t="shared" si="130"/>
        <v>0</v>
      </c>
      <c r="AL334" s="188">
        <f t="shared" si="130"/>
        <v>0</v>
      </c>
    </row>
    <row r="335" spans="1:38" s="2" customFormat="1" ht="14.5" customHeight="1">
      <c r="B335" s="161" t="s">
        <v>15</v>
      </c>
      <c r="C335"/>
      <c r="D335" s="160">
        <f>+-D334/D$80</f>
        <v>7.8998133891568564E-3</v>
      </c>
      <c r="E335"/>
      <c r="F335" s="158" t="e">
        <f>+-F334/F$80</f>
        <v>#DIV/0!</v>
      </c>
      <c r="G335" s="158" t="e">
        <f>+-G334/G$80</f>
        <v>#DIV/0!</v>
      </c>
      <c r="H335" s="158" t="e">
        <f>+-H334/H$80</f>
        <v>#DIV/0!</v>
      </c>
      <c r="I335" s="158" t="e">
        <f>+-I334/I$80</f>
        <v>#DIV/0!</v>
      </c>
      <c r="J335" s="160">
        <f>+-J334/J$80</f>
        <v>4.332396369878793E-2</v>
      </c>
      <c r="K335"/>
      <c r="L335" s="158" t="e">
        <f>+-L334/L$80</f>
        <v>#VALUE!</v>
      </c>
      <c r="M335" s="158" t="e">
        <f>+-M334/M$80</f>
        <v>#VALUE!</v>
      </c>
      <c r="N335" s="158" t="e">
        <f>+-N334/N$80</f>
        <v>#VALUE!</v>
      </c>
      <c r="O335" s="158" t="e">
        <f>+-O334/O$80</f>
        <v>#DIV/0!</v>
      </c>
      <c r="P335" s="160" t="e">
        <f>+-P334/P$80</f>
        <v>#VALUE!</v>
      </c>
      <c r="Q335"/>
      <c r="R335" s="158" t="e">
        <f>+-R334/R$80</f>
        <v>#VALUE!</v>
      </c>
      <c r="S335" s="158" t="e">
        <f>+-S334/S$80</f>
        <v>#VALUE!</v>
      </c>
      <c r="T335" s="158" t="e">
        <f>+-T334/T$80</f>
        <v>#VALUE!</v>
      </c>
      <c r="U335" s="158" t="e">
        <f>+-U334/U$80</f>
        <v>#DIV/0!</v>
      </c>
      <c r="V335" s="160" t="e">
        <f>+-V334/V$80</f>
        <v>#VALUE!</v>
      </c>
      <c r="W335"/>
      <c r="X335" s="158" t="e">
        <f>+-X334/X$80</f>
        <v>#VALUE!</v>
      </c>
      <c r="Y335" s="158" t="e">
        <f>+-Y334/Y$80</f>
        <v>#VALUE!</v>
      </c>
      <c r="Z335" s="166">
        <v>0</v>
      </c>
      <c r="AA335" s="166">
        <v>0</v>
      </c>
      <c r="AB335" s="167">
        <f t="shared" ref="AB335" si="131">+-AB334/AB$80</f>
        <v>0</v>
      </c>
      <c r="AC335" s="167"/>
      <c r="AD335" s="158" t="e">
        <f>+-AD334/AD$80</f>
        <v>#VALUE!</v>
      </c>
      <c r="AE335" s="158" t="e">
        <f>+-AE334/AE$80</f>
        <v>#VALUE!</v>
      </c>
      <c r="AF335" s="166">
        <v>0</v>
      </c>
      <c r="AG335" s="166">
        <v>0</v>
      </c>
      <c r="AH335" s="166">
        <v>0</v>
      </c>
      <c r="AI335" s="166">
        <v>0</v>
      </c>
      <c r="AJ335" s="166">
        <v>0</v>
      </c>
      <c r="AK335" s="166">
        <v>0</v>
      </c>
      <c r="AL335" s="166">
        <v>0</v>
      </c>
    </row>
    <row r="336" spans="1:38" s="2" customFormat="1" ht="14.5" customHeight="1">
      <c r="B336" s="162"/>
      <c r="C336"/>
      <c r="D336" s="25"/>
      <c r="E336"/>
      <c r="F336" s="27"/>
      <c r="G336" s="27"/>
      <c r="H336" s="27"/>
      <c r="I336" s="134"/>
      <c r="J336" s="25"/>
      <c r="K336"/>
      <c r="L336" s="27"/>
      <c r="M336" s="27"/>
      <c r="N336" s="27"/>
      <c r="O336" s="134"/>
      <c r="P336" s="25"/>
      <c r="Q336"/>
      <c r="R336" s="27"/>
      <c r="S336" s="27"/>
      <c r="T336" s="27"/>
      <c r="U336" s="134"/>
      <c r="V336" s="25"/>
      <c r="W336"/>
      <c r="X336" s="27"/>
      <c r="Y336" s="27"/>
      <c r="Z336" s="158"/>
      <c r="AA336" s="158"/>
      <c r="AB336" s="143"/>
      <c r="AC336" s="143"/>
      <c r="AD336" s="27"/>
      <c r="AE336" s="27"/>
      <c r="AF336" s="158"/>
      <c r="AG336" s="158"/>
      <c r="AH336" s="205"/>
      <c r="AI336" s="205"/>
      <c r="AJ336" s="205"/>
      <c r="AK336" s="205"/>
      <c r="AL336" s="205"/>
    </row>
    <row r="337" spans="2:38" s="2" customFormat="1" ht="14.5" customHeight="1">
      <c r="B337" s="97" t="s">
        <v>140</v>
      </c>
      <c r="C337" s="97"/>
      <c r="D337" s="189" t="e">
        <f t="shared" ref="D337:AJ337" si="132">+D323+D331+D334</f>
        <v>#VALUE!</v>
      </c>
      <c r="E337" s="97"/>
      <c r="F337" s="189">
        <f t="shared" si="132"/>
        <v>0</v>
      </c>
      <c r="G337" s="189">
        <f t="shared" si="132"/>
        <v>0</v>
      </c>
      <c r="H337" s="189">
        <f t="shared" si="132"/>
        <v>0</v>
      </c>
      <c r="I337" s="189">
        <f t="shared" si="132"/>
        <v>0</v>
      </c>
      <c r="J337" s="189">
        <f t="shared" si="132"/>
        <v>392591</v>
      </c>
      <c r="K337" s="97"/>
      <c r="L337" s="189" t="e">
        <f t="shared" si="132"/>
        <v>#VALUE!</v>
      </c>
      <c r="M337" s="189" t="e">
        <f t="shared" si="132"/>
        <v>#VALUE!</v>
      </c>
      <c r="N337" s="189" t="e">
        <f t="shared" si="132"/>
        <v>#VALUE!</v>
      </c>
      <c r="O337" s="189">
        <f t="shared" si="132"/>
        <v>0</v>
      </c>
      <c r="P337" s="189" t="e">
        <f t="shared" si="132"/>
        <v>#VALUE!</v>
      </c>
      <c r="Q337" s="97"/>
      <c r="R337" s="189" t="e">
        <f t="shared" si="132"/>
        <v>#VALUE!</v>
      </c>
      <c r="S337" s="189" t="e">
        <f t="shared" si="132"/>
        <v>#VALUE!</v>
      </c>
      <c r="T337" s="189" t="e">
        <f t="shared" si="132"/>
        <v>#VALUE!</v>
      </c>
      <c r="U337" s="189">
        <f t="shared" si="132"/>
        <v>0</v>
      </c>
      <c r="V337" s="189" t="e">
        <f t="shared" si="132"/>
        <v>#VALUE!</v>
      </c>
      <c r="W337" s="97"/>
      <c r="X337" s="189" t="e">
        <f t="shared" si="132"/>
        <v>#VALUE!</v>
      </c>
      <c r="Y337" s="189" t="e">
        <f t="shared" si="132"/>
        <v>#VALUE!</v>
      </c>
      <c r="Z337" s="189">
        <f t="shared" si="132"/>
        <v>21114.5</v>
      </c>
      <c r="AA337" s="189">
        <f t="shared" si="132"/>
        <v>21114.5</v>
      </c>
      <c r="AB337" s="190">
        <f t="shared" ref="AB337:AH337" si="133">+AB323+AB331+AB334</f>
        <v>2345380</v>
      </c>
      <c r="AC337" s="190"/>
      <c r="AD337" s="189" t="e">
        <f t="shared" ref="AD337:AG337" si="134">+AD323+AD331+AD334</f>
        <v>#VALUE!</v>
      </c>
      <c r="AE337" s="189" t="e">
        <f t="shared" si="134"/>
        <v>#VALUE!</v>
      </c>
      <c r="AF337" s="189">
        <f t="shared" si="134"/>
        <v>30500</v>
      </c>
      <c r="AG337" s="189">
        <f t="shared" si="134"/>
        <v>30500</v>
      </c>
      <c r="AH337" s="189">
        <f t="shared" si="133"/>
        <v>913220.83000000007</v>
      </c>
      <c r="AI337" s="189">
        <f t="shared" si="132"/>
        <v>1271380.554006</v>
      </c>
      <c r="AJ337" s="189">
        <f t="shared" si="132"/>
        <v>1710199.5129725754</v>
      </c>
      <c r="AK337" s="189">
        <f t="shared" ref="AK337:AL337" si="135">+AK323+AK331+AK334</f>
        <v>2338824.7709841728</v>
      </c>
      <c r="AL337" s="189">
        <f t="shared" si="135"/>
        <v>3257707.9399026092</v>
      </c>
    </row>
    <row r="338" spans="2:38" s="2" customFormat="1" ht="14.5" customHeight="1">
      <c r="B338" s="161" t="s">
        <v>15</v>
      </c>
      <c r="C338" s="21"/>
      <c r="D338" s="160" t="e">
        <f>+D337/D$80</f>
        <v>#VALUE!</v>
      </c>
      <c r="E338" s="21"/>
      <c r="F338" s="158" t="e">
        <f>+F337/F$80</f>
        <v>#DIV/0!</v>
      </c>
      <c r="G338" s="158" t="e">
        <f>+G337/G$80</f>
        <v>#DIV/0!</v>
      </c>
      <c r="H338" s="158" t="e">
        <f>+H337/H$80</f>
        <v>#DIV/0!</v>
      </c>
      <c r="I338" s="158" t="e">
        <f>+I337/I$80</f>
        <v>#DIV/0!</v>
      </c>
      <c r="J338" s="160">
        <f>+J337/J$80</f>
        <v>8.1700618845389372E-2</v>
      </c>
      <c r="K338" s="21"/>
      <c r="L338" s="158" t="e">
        <f>+L337/L$80</f>
        <v>#VALUE!</v>
      </c>
      <c r="M338" s="158" t="e">
        <f>+M337/M$80</f>
        <v>#VALUE!</v>
      </c>
      <c r="N338" s="158" t="e">
        <f>+N337/N$80</f>
        <v>#VALUE!</v>
      </c>
      <c r="O338" s="158" t="e">
        <f>+O337/O$80</f>
        <v>#DIV/0!</v>
      </c>
      <c r="P338" s="160" t="e">
        <f>+P337/P$80</f>
        <v>#VALUE!</v>
      </c>
      <c r="Q338" s="21"/>
      <c r="R338" s="158" t="e">
        <f>+R337/R$80</f>
        <v>#VALUE!</v>
      </c>
      <c r="S338" s="158" t="e">
        <f>+S337/S$80</f>
        <v>#VALUE!</v>
      </c>
      <c r="T338" s="158" t="e">
        <f>+T337/T$80</f>
        <v>#VALUE!</v>
      </c>
      <c r="U338" s="158" t="e">
        <f>+U337/U$80</f>
        <v>#DIV/0!</v>
      </c>
      <c r="V338" s="160" t="e">
        <f>+V337/V$80</f>
        <v>#VALUE!</v>
      </c>
      <c r="W338" s="21"/>
      <c r="X338" s="158" t="e">
        <f>+X337/X$80</f>
        <v>#VALUE!</v>
      </c>
      <c r="Y338" s="158" t="e">
        <f>+Y337/Y$80</f>
        <v>#VALUE!</v>
      </c>
      <c r="Z338" s="158" t="e">
        <f>+Z337/Z$80</f>
        <v>#DIV/0!</v>
      </c>
      <c r="AA338" s="158" t="e">
        <f>+AA337/AA$80</f>
        <v>#DIV/0!</v>
      </c>
      <c r="AB338" s="167">
        <f t="shared" ref="AB338" si="136">+AB337/AB$80</f>
        <v>0.27924514823193236</v>
      </c>
      <c r="AC338" s="167"/>
      <c r="AD338" s="158" t="e">
        <f>+AD337/AD$80</f>
        <v>#VALUE!</v>
      </c>
      <c r="AE338" s="158" t="e">
        <f>+AE337/AE$80</f>
        <v>#VALUE!</v>
      </c>
      <c r="AF338" s="158" t="e">
        <f>+AF337/AF$80</f>
        <v>#DIV/0!</v>
      </c>
      <c r="AG338" s="158" t="e">
        <f>+AG337/AG$80</f>
        <v>#DIV/0!</v>
      </c>
      <c r="AH338" s="167">
        <f t="shared" ref="AH338" si="137">+AH337/AH$80</f>
        <v>7.713359695439044E-2</v>
      </c>
      <c r="AI338" s="160">
        <f>+AI337/AI$80</f>
        <v>7.4980998954014402E-2</v>
      </c>
      <c r="AJ338" s="160">
        <f>+AJ337/AJ$80</f>
        <v>7.3636531362965649E-2</v>
      </c>
      <c r="AK338" s="160">
        <f t="shared" ref="AK338:AL338" si="138">+AK337/AK$80</f>
        <v>7.2622492522553914E-2</v>
      </c>
      <c r="AL338" s="160">
        <f t="shared" si="138"/>
        <v>7.1863093078694401E-2</v>
      </c>
    </row>
    <row r="339" spans="2:38" s="2" customFormat="1" ht="14.5" customHeight="1">
      <c r="B339" s="161" t="s">
        <v>156</v>
      </c>
      <c r="C339" s="21"/>
      <c r="D339" s="160" t="e">
        <f>D338</f>
        <v>#VALUE!</v>
      </c>
      <c r="E339" s="21"/>
      <c r="F339" s="158" t="e">
        <f>(#REF!+#REF!+#REF!+F337)/(F80+#REF!+#REF!+#REF!)</f>
        <v>#REF!</v>
      </c>
      <c r="G339" s="158" t="e">
        <f>(#REF!+#REF!+F337+G337)/(G80+F80+#REF!+#REF!)</f>
        <v>#REF!</v>
      </c>
      <c r="H339" s="158" t="e">
        <f>(F337+#REF!+G337+H337)/(H80+G80+#REF!+F80)</f>
        <v>#REF!</v>
      </c>
      <c r="I339" s="158" t="e">
        <f>(F337+G337+H337+I337)/(I80+H80+G80+F80)</f>
        <v>#DIV/0!</v>
      </c>
      <c r="J339" s="160">
        <f>J338</f>
        <v>8.1700618845389372E-2</v>
      </c>
      <c r="K339" s="21"/>
      <c r="L339" s="158" t="e">
        <f>(H337+I337+G337+L337)/(L80+G80+I80+H80)</f>
        <v>#VALUE!</v>
      </c>
      <c r="M339" s="158" t="e">
        <f>(I337+H337+L337+M337)/(M80+L80+H80+I80)</f>
        <v>#VALUE!</v>
      </c>
      <c r="N339" s="158" t="e">
        <f>(L337+I337+M337+N337)/(N80+M80+I80+L80)</f>
        <v>#VALUE!</v>
      </c>
      <c r="O339" s="158" t="e">
        <f>(L337+M337+N337+O337)/(O80+N80+M80+L80)</f>
        <v>#VALUE!</v>
      </c>
      <c r="P339" s="160" t="e">
        <f>P338</f>
        <v>#VALUE!</v>
      </c>
      <c r="Q339" s="21"/>
      <c r="R339" s="158" t="e">
        <f>(N337+O337+M337+R337)/(R80+M80+O80+N80)</f>
        <v>#VALUE!</v>
      </c>
      <c r="S339" s="158" t="e">
        <f>(O337+N337+R337+S337)/(S80+R80+N80+O80)</f>
        <v>#VALUE!</v>
      </c>
      <c r="T339" s="158" t="e">
        <f>(R337+O337+S337+T337)/(T80+S80+O80+R80)</f>
        <v>#VALUE!</v>
      </c>
      <c r="U339" s="158" t="e">
        <f>(R337+S337+T337+U337)/(U80+T80+S80+R80)</f>
        <v>#VALUE!</v>
      </c>
      <c r="V339" s="160" t="e">
        <f>V338</f>
        <v>#VALUE!</v>
      </c>
      <c r="W339" s="21"/>
      <c r="X339" s="158" t="e">
        <f>(T337+U337+S337+X337)/(X80+S80+U80+T80)</f>
        <v>#VALUE!</v>
      </c>
      <c r="Y339" s="158" t="e">
        <f>(U337+T337+X337+Y337)/(Y80+X80+T80+U80)</f>
        <v>#VALUE!</v>
      </c>
      <c r="Z339" s="158" t="e">
        <f>(X337+U337+Y337+Z337)/(Z80+Y80+U80+X80)</f>
        <v>#VALUE!</v>
      </c>
      <c r="AA339" s="158" t="e">
        <f>(X337+Y337+Z337+AA337)/(AA80+Z80+Y80+X80)</f>
        <v>#VALUE!</v>
      </c>
      <c r="AB339" s="160">
        <f>AB338</f>
        <v>0.27924514823193236</v>
      </c>
      <c r="AC339" s="160"/>
      <c r="AD339" s="158" t="e">
        <f>(Z337+AA337+Y337+AD337)/(AD80+Y80+AA80+Z80)</f>
        <v>#VALUE!</v>
      </c>
      <c r="AE339" s="158" t="e">
        <f>(AA337+Z337+AD337+AE337)/(AE80+AD80+Z80+AA80)</f>
        <v>#VALUE!</v>
      </c>
      <c r="AF339" s="158" t="e">
        <f>(AD337+AA337+AE337+AF337)/(AF80+AE80+AA80+AD80)</f>
        <v>#VALUE!</v>
      </c>
      <c r="AG339" s="158" t="e">
        <f>(AD337+AE337+AF337+AG337)/(AG80+AF80+AE80+AD80)</f>
        <v>#VALUE!</v>
      </c>
      <c r="AH339" s="160">
        <f>AH338</f>
        <v>7.713359695439044E-2</v>
      </c>
      <c r="AI339" s="160">
        <f>AI338</f>
        <v>7.4980998954014402E-2</v>
      </c>
      <c r="AJ339" s="160">
        <f>AJ338</f>
        <v>7.3636531362965649E-2</v>
      </c>
      <c r="AK339" s="160">
        <f>AK338</f>
        <v>7.2622492522553914E-2</v>
      </c>
      <c r="AL339" s="160">
        <f>AL338</f>
        <v>7.1863093078694401E-2</v>
      </c>
    </row>
    <row r="340" spans="2:38" s="2" customFormat="1" ht="14.5" customHeight="1">
      <c r="B340" s="161" t="s">
        <v>157</v>
      </c>
      <c r="C340" s="21"/>
      <c r="D340" s="160" t="e">
        <f>D337/SUM!$C$7</f>
        <v>#VALUE!</v>
      </c>
      <c r="E340" s="21"/>
      <c r="F340" s="158" t="e">
        <f>(#REF!+#REF!+#REF!+F337)/SUM!$C$7</f>
        <v>#REF!</v>
      </c>
      <c r="G340" s="158" t="e">
        <f>(#REF!+F337+#REF!+G337)/SUM!$C$7</f>
        <v>#REF!</v>
      </c>
      <c r="H340" s="158" t="e">
        <f>(F337+G337+#REF!+H337)/SUM!$C$7</f>
        <v>#REF!</v>
      </c>
      <c r="I340" s="158">
        <f>(G337+H337+F337+I337)/SUM!$C$7</f>
        <v>0</v>
      </c>
      <c r="J340" s="160">
        <f>J337/SUM!$C$7</f>
        <v>5.2876195617316797E-3</v>
      </c>
      <c r="K340" s="21"/>
      <c r="L340" s="158" t="e">
        <f>(H337+I337+G337+L337)/SUM!$C$7</f>
        <v>#VALUE!</v>
      </c>
      <c r="M340" s="158" t="e">
        <f>(I337+L337+H337+M337)/SUM!$C$7</f>
        <v>#VALUE!</v>
      </c>
      <c r="N340" s="158" t="e">
        <f>(L337+M337+I337+N337)/SUM!$C$7</f>
        <v>#VALUE!</v>
      </c>
      <c r="O340" s="158" t="e">
        <f>(M337+N337+L337+O337)/SUM!$C$7</f>
        <v>#VALUE!</v>
      </c>
      <c r="P340" s="160" t="e">
        <f>P337/SUM!$C$7</f>
        <v>#VALUE!</v>
      </c>
      <c r="Q340" s="21"/>
      <c r="R340" s="158" t="e">
        <f>(N337+O337+M337+R337)/SUM!$C$7</f>
        <v>#VALUE!</v>
      </c>
      <c r="S340" s="158" t="e">
        <f>(O337+R337+N337+S337)/SUM!$C$7</f>
        <v>#VALUE!</v>
      </c>
      <c r="T340" s="158" t="e">
        <f>(R337+S337+O337+T337)/SUM!$C$7</f>
        <v>#VALUE!</v>
      </c>
      <c r="U340" s="158" t="e">
        <f>(S337+T337+R337+U337)/SUM!$C$7</f>
        <v>#VALUE!</v>
      </c>
      <c r="V340" s="160" t="e">
        <f>V337/SUM!$C$7</f>
        <v>#VALUE!</v>
      </c>
      <c r="W340" s="21"/>
      <c r="X340" s="158" t="e">
        <f>(T337+U337+S337+X337)/SUM!$C$7</f>
        <v>#VALUE!</v>
      </c>
      <c r="Y340" s="158" t="e">
        <f>(U337+X337+T337+Y337)/SUM!$C$7</f>
        <v>#VALUE!</v>
      </c>
      <c r="Z340" s="158" t="e">
        <f>(X337+Y337+U337+Z337)/SUM!$C$7</f>
        <v>#VALUE!</v>
      </c>
      <c r="AA340" s="158" t="e">
        <f>(Y337+Z337+X337+AA337)/SUM!$C$7</f>
        <v>#VALUE!</v>
      </c>
      <c r="AB340" s="160">
        <f>AB337/SUM!$C$7</f>
        <v>3.1588796400565083E-2</v>
      </c>
      <c r="AC340" s="160"/>
      <c r="AD340" s="158" t="e">
        <f>(Z337+AA337+Y337+AD337)/SUM!$C$7</f>
        <v>#VALUE!</v>
      </c>
      <c r="AE340" s="158" t="e">
        <f>(AA337+AD337+Z337+AE337)/SUM!$C$7</f>
        <v>#VALUE!</v>
      </c>
      <c r="AF340" s="158" t="e">
        <f>(AD337+AE337+AA337+AF337)/SUM!$C$7</f>
        <v>#VALUE!</v>
      </c>
      <c r="AG340" s="158" t="e">
        <f>(AE337+AF337+AD337+AG337)/SUM!$C$7</f>
        <v>#VALUE!</v>
      </c>
      <c r="AH340" s="160">
        <f>AH337/SUM!$C$7</f>
        <v>1.229973260948122E-2</v>
      </c>
      <c r="AI340" s="160">
        <f>AI337/SUM!$C$7</f>
        <v>1.7123613857086349E-2</v>
      </c>
      <c r="AJ340" s="160">
        <f>AJ337/SUM!$C$7</f>
        <v>2.3033855588278338E-2</v>
      </c>
      <c r="AK340" s="160">
        <f>AK337/SUM!$C$7</f>
        <v>3.15005071703593E-2</v>
      </c>
      <c r="AL340" s="160">
        <f>AL337/SUM!$C$7</f>
        <v>4.3876503102306598E-2</v>
      </c>
    </row>
    <row r="341" spans="2:38" s="2" customFormat="1" ht="14.5" customHeight="1">
      <c r="B341" s="161" t="s">
        <v>158</v>
      </c>
      <c r="C341" s="21"/>
      <c r="D341" s="160" t="e">
        <f t="shared" ref="D341" si="139">D340</f>
        <v>#VALUE!</v>
      </c>
      <c r="E341" s="21"/>
      <c r="F341" s="158">
        <f>F337*4/SUM!$C$7</f>
        <v>0</v>
      </c>
      <c r="G341" s="158">
        <f>G337*4/SUM!$C$7</f>
        <v>0</v>
      </c>
      <c r="H341" s="158">
        <f>H337*4/SUM!$C$7</f>
        <v>0</v>
      </c>
      <c r="I341" s="158">
        <f>I337*4/SUM!$C$7</f>
        <v>0</v>
      </c>
      <c r="J341" s="160">
        <f t="shared" ref="J341" si="140">J340</f>
        <v>5.2876195617316797E-3</v>
      </c>
      <c r="K341" s="21"/>
      <c r="L341" s="158" t="e">
        <f>L337*4/SUM!$C$7</f>
        <v>#VALUE!</v>
      </c>
      <c r="M341" s="158" t="e">
        <f>M337*4/SUM!$C$7</f>
        <v>#VALUE!</v>
      </c>
      <c r="N341" s="158" t="e">
        <f>N337*4/SUM!$C$7</f>
        <v>#VALUE!</v>
      </c>
      <c r="O341" s="158">
        <f>O337*4/SUM!$C$7</f>
        <v>0</v>
      </c>
      <c r="P341" s="160" t="e">
        <f t="shared" ref="P341" si="141">P340</f>
        <v>#VALUE!</v>
      </c>
      <c r="Q341" s="21"/>
      <c r="R341" s="158" t="e">
        <f>R337*4/SUM!$C$7</f>
        <v>#VALUE!</v>
      </c>
      <c r="S341" s="158" t="e">
        <f>S337*4/SUM!$C$7</f>
        <v>#VALUE!</v>
      </c>
      <c r="T341" s="158" t="e">
        <f>T337*4/SUM!$C$7</f>
        <v>#VALUE!</v>
      </c>
      <c r="U341" s="158">
        <f>U337*4/SUM!$C$7</f>
        <v>0</v>
      </c>
      <c r="V341" s="160" t="e">
        <f t="shared" ref="V341" si="142">V340</f>
        <v>#VALUE!</v>
      </c>
      <c r="W341" s="21"/>
      <c r="X341" s="158" t="e">
        <f>X337*4/SUM!$C$7</f>
        <v>#VALUE!</v>
      </c>
      <c r="Y341" s="158" t="e">
        <f>Y337*4/SUM!$C$7</f>
        <v>#VALUE!</v>
      </c>
      <c r="Z341" s="158">
        <f>Z337*4/SUM!$C$7</f>
        <v>1.1375242248159898E-3</v>
      </c>
      <c r="AA341" s="158">
        <f>AA337*4/SUM!$C$7</f>
        <v>1.1375242248159898E-3</v>
      </c>
      <c r="AB341" s="160">
        <f t="shared" ref="AB341:AH341" si="143">AB340</f>
        <v>3.1588796400565083E-2</v>
      </c>
      <c r="AC341" s="160"/>
      <c r="AD341" s="158" t="e">
        <f>AD337*4/SUM!$C$7</f>
        <v>#VALUE!</v>
      </c>
      <c r="AE341" s="158" t="e">
        <f>AE337*4/SUM!$C$7</f>
        <v>#VALUE!</v>
      </c>
      <c r="AF341" s="158">
        <f>AF337*4/SUM!$C$7</f>
        <v>1.6431593860563919E-3</v>
      </c>
      <c r="AG341" s="158">
        <f>AG337*4/SUM!$C$7</f>
        <v>1.6431593860563919E-3</v>
      </c>
      <c r="AH341" s="160">
        <f t="shared" si="143"/>
        <v>1.229973260948122E-2</v>
      </c>
      <c r="AI341" s="160">
        <f t="shared" ref="AI341:AJ341" si="144">AI340</f>
        <v>1.7123613857086349E-2</v>
      </c>
      <c r="AJ341" s="160">
        <f t="shared" si="144"/>
        <v>2.3033855588278338E-2</v>
      </c>
      <c r="AK341" s="160">
        <f t="shared" ref="AK341:AL341" si="145">AK340</f>
        <v>3.15005071703593E-2</v>
      </c>
      <c r="AL341" s="160">
        <f t="shared" si="145"/>
        <v>4.3876503102306598E-2</v>
      </c>
    </row>
    <row r="342" spans="2:38" s="2" customFormat="1" ht="14.5" customHeight="1">
      <c r="B342" s="225" t="s">
        <v>159</v>
      </c>
      <c r="C342" s="21"/>
      <c r="D342" s="226" t="e">
        <f>D337/D$156</f>
        <v>#VALUE!</v>
      </c>
      <c r="E342" s="21"/>
      <c r="F342" s="38" t="e">
        <f>(#REF!+#REF!+#REF!+F337)/F$156</f>
        <v>#REF!</v>
      </c>
      <c r="G342" s="38" t="e">
        <f>(#REF!+#REF!+F337+G337)/G$156</f>
        <v>#REF!</v>
      </c>
      <c r="H342" s="38" t="e">
        <f>(#REF!+F337+G337+H337)/H$156</f>
        <v>#REF!</v>
      </c>
      <c r="I342" s="38" t="e">
        <f>(F337+G337+H337+I337)/I$156</f>
        <v>#DIV/0!</v>
      </c>
      <c r="J342" s="226">
        <f>J337/J$156</f>
        <v>1.5067432720797065</v>
      </c>
      <c r="K342" s="21"/>
      <c r="L342" s="38" t="e">
        <f>(H337+I337+G337+L337)/L$156</f>
        <v>#VALUE!</v>
      </c>
      <c r="M342" s="38" t="e">
        <f>(I337+H337+L337+M337)/M$156</f>
        <v>#VALUE!</v>
      </c>
      <c r="N342" s="38" t="e">
        <f>(I337+L337+M337+N337)/N$156</f>
        <v>#VALUE!</v>
      </c>
      <c r="O342" s="38" t="e">
        <f>(L337+M337+N337+O337)/O$156</f>
        <v>#VALUE!</v>
      </c>
      <c r="P342" s="226" t="e">
        <f>P337/P$156</f>
        <v>#VALUE!</v>
      </c>
      <c r="Q342" s="21"/>
      <c r="R342" s="38" t="e">
        <f>(N337+O337+M337+R337)/R$156</f>
        <v>#VALUE!</v>
      </c>
      <c r="S342" s="38" t="e">
        <f>(O337+N337+R337+S337)/S$156</f>
        <v>#VALUE!</v>
      </c>
      <c r="T342" s="38" t="e">
        <f>(O337+R337+S337+T337)/T$156</f>
        <v>#VALUE!</v>
      </c>
      <c r="U342" s="38" t="e">
        <f>(R337+S337+T337+U337)/U$156</f>
        <v>#VALUE!</v>
      </c>
      <c r="V342" s="226" t="e">
        <f>V337/V$156</f>
        <v>#VALUE!</v>
      </c>
      <c r="W342" s="21"/>
      <c r="X342" s="38" t="e">
        <f>(T337+U337+S337+X337)/X$156</f>
        <v>#VALUE!</v>
      </c>
      <c r="Y342" s="38" t="e">
        <f>(U337+T337+X337+Y337)/Y$156</f>
        <v>#VALUE!</v>
      </c>
      <c r="Z342" s="38" t="e">
        <f>(U337+X337+Y337+Z337)/Z$156</f>
        <v>#VALUE!</v>
      </c>
      <c r="AA342" s="38" t="e">
        <f>(X337+Y337+Z337+AA337)/AA$156</f>
        <v>#VALUE!</v>
      </c>
      <c r="AB342" s="226">
        <f>AB337/AB$156</f>
        <v>3.4490882352941177</v>
      </c>
      <c r="AC342" s="226"/>
      <c r="AD342" s="38" t="e">
        <f>(Z337+AA337+Y337+AD337)/AD$156</f>
        <v>#VALUE!</v>
      </c>
      <c r="AE342" s="38" t="e">
        <f>(AA337+Z337+AD337+AE337)/AE$156</f>
        <v>#VALUE!</v>
      </c>
      <c r="AF342" s="38" t="e">
        <f>(AA337+AD337+AE337+AF337)/AF$156</f>
        <v>#VALUE!</v>
      </c>
      <c r="AG342" s="38" t="e">
        <f>(AD337+AE337+AF337+AG337)/AG$156</f>
        <v>#VALUE!</v>
      </c>
      <c r="AH342" s="226">
        <f>AH337/AH$156</f>
        <v>1.3296750582411183</v>
      </c>
      <c r="AI342" s="226">
        <f>AI337/AI$156</f>
        <v>1.8328372564483297</v>
      </c>
      <c r="AJ342" s="226">
        <f>AJ337/AJ$156</f>
        <v>2.4410335268850547</v>
      </c>
      <c r="AK342" s="226">
        <f>AK337/AK$156</f>
        <v>3.305242108978403</v>
      </c>
      <c r="AL342" s="226">
        <f>AL337/AL$156</f>
        <v>4.5582313603844131</v>
      </c>
    </row>
    <row r="343" spans="2:38" s="2" customFormat="1" ht="14.5" customHeight="1">
      <c r="B343" s="225" t="s">
        <v>160</v>
      </c>
      <c r="C343" s="21"/>
      <c r="D343" s="226" t="e">
        <f>D342</f>
        <v>#VALUE!</v>
      </c>
      <c r="E343" s="21"/>
      <c r="F343" s="38" t="e">
        <f>F337*4/F$156</f>
        <v>#DIV/0!</v>
      </c>
      <c r="G343" s="38" t="e">
        <f>G337*4/G$156</f>
        <v>#DIV/0!</v>
      </c>
      <c r="H343" s="38" t="e">
        <f>H337*4/H$156</f>
        <v>#DIV/0!</v>
      </c>
      <c r="I343" s="38" t="e">
        <f>I337*4/I$156</f>
        <v>#DIV/0!</v>
      </c>
      <c r="J343" s="226">
        <f>J342</f>
        <v>1.5067432720797065</v>
      </c>
      <c r="K343" s="21"/>
      <c r="L343" s="38" t="e">
        <f>L337*4/L$156</f>
        <v>#VALUE!</v>
      </c>
      <c r="M343" s="38" t="e">
        <f>M337*4/M$156</f>
        <v>#VALUE!</v>
      </c>
      <c r="N343" s="38" t="e">
        <f>N337*4/N$156</f>
        <v>#VALUE!</v>
      </c>
      <c r="O343" s="38" t="e">
        <f>O337*4/O$156</f>
        <v>#DIV/0!</v>
      </c>
      <c r="P343" s="226" t="e">
        <f>P342</f>
        <v>#VALUE!</v>
      </c>
      <c r="Q343" s="21"/>
      <c r="R343" s="38" t="e">
        <f>R337*4/R$156</f>
        <v>#VALUE!</v>
      </c>
      <c r="S343" s="38" t="e">
        <f>S337*4/S$156</f>
        <v>#VALUE!</v>
      </c>
      <c r="T343" s="38" t="e">
        <f>T337*4/T$156</f>
        <v>#VALUE!</v>
      </c>
      <c r="U343" s="38" t="e">
        <f>U337*4/U$156</f>
        <v>#DIV/0!</v>
      </c>
      <c r="V343" s="226" t="e">
        <f>V342</f>
        <v>#VALUE!</v>
      </c>
      <c r="W343" s="21"/>
      <c r="X343" s="38" t="e">
        <f>X337*4/X$156</f>
        <v>#VALUE!</v>
      </c>
      <c r="Y343" s="38" t="e">
        <f>Y337*4/Y$156</f>
        <v>#VALUE!</v>
      </c>
      <c r="Z343" s="38" t="e">
        <f>Z337*4/Z$156</f>
        <v>#DIV/0!</v>
      </c>
      <c r="AA343" s="38" t="e">
        <f>AA337*4/AA$156</f>
        <v>#DIV/0!</v>
      </c>
      <c r="AB343" s="226">
        <f>AB342</f>
        <v>3.4490882352941177</v>
      </c>
      <c r="AC343" s="226"/>
      <c r="AD343" s="38" t="e">
        <f>AD337*4/AD$156</f>
        <v>#VALUE!</v>
      </c>
      <c r="AE343" s="38" t="e">
        <f>AE337*4/AE$156</f>
        <v>#VALUE!</v>
      </c>
      <c r="AF343" s="38" t="e">
        <f>AF337*4/AF$156</f>
        <v>#DIV/0!</v>
      </c>
      <c r="AG343" s="38" t="e">
        <f>AG337*4/AG$156</f>
        <v>#DIV/0!</v>
      </c>
      <c r="AH343" s="226">
        <f>AH342</f>
        <v>1.3296750582411183</v>
      </c>
      <c r="AI343" s="226">
        <f>AI342</f>
        <v>1.8328372564483297</v>
      </c>
      <c r="AJ343" s="226">
        <f>AJ342</f>
        <v>2.4410335268850547</v>
      </c>
      <c r="AK343" s="226">
        <f>AK342</f>
        <v>3.305242108978403</v>
      </c>
      <c r="AL343" s="226">
        <f>AL342</f>
        <v>4.5582313603844131</v>
      </c>
    </row>
    <row r="344" spans="2:38" s="2" customFormat="1" ht="14.5" customHeight="1">
      <c r="B344" s="161"/>
      <c r="C344" s="21"/>
      <c r="D344" s="25"/>
      <c r="E344" s="21"/>
      <c r="F344" s="27"/>
      <c r="G344" s="27"/>
      <c r="H344" s="27"/>
      <c r="I344" s="134"/>
      <c r="J344" s="25"/>
      <c r="K344" s="21"/>
      <c r="L344" s="27"/>
      <c r="M344" s="27"/>
      <c r="N344" s="27"/>
      <c r="O344" s="134"/>
      <c r="P344" s="25"/>
      <c r="Q344" s="21"/>
      <c r="R344" s="27"/>
      <c r="S344" s="27"/>
      <c r="T344" s="27"/>
      <c r="U344" s="134"/>
      <c r="V344" s="25"/>
      <c r="W344" s="21"/>
      <c r="X344" s="27"/>
      <c r="Y344" s="27"/>
      <c r="Z344"/>
      <c r="AA344"/>
      <c r="AB344" s="143"/>
      <c r="AC344" s="143"/>
      <c r="AD344" s="27"/>
      <c r="AE344" s="27"/>
      <c r="AF344"/>
      <c r="AG344"/>
      <c r="AH344" s="143"/>
      <c r="AI344" s="144"/>
      <c r="AJ344" s="144"/>
      <c r="AK344" s="144"/>
      <c r="AL344" s="144"/>
    </row>
    <row r="345" spans="2:38" s="2" customFormat="1" ht="14.5" customHeight="1">
      <c r="B345" s="97" t="s">
        <v>145</v>
      </c>
      <c r="C345" s="165"/>
      <c r="D345" s="191" t="e">
        <f>+D337/D156</f>
        <v>#VALUE!</v>
      </c>
      <c r="E345" s="165"/>
      <c r="F345" s="191" t="e">
        <f>+F337/F156</f>
        <v>#DIV/0!</v>
      </c>
      <c r="G345" s="191" t="e">
        <f>+G337/G156</f>
        <v>#DIV/0!</v>
      </c>
      <c r="H345" s="191" t="e">
        <f>+H337/H156</f>
        <v>#DIV/0!</v>
      </c>
      <c r="I345" s="191" t="e">
        <f>+I337/I156</f>
        <v>#DIV/0!</v>
      </c>
      <c r="J345" s="191">
        <f>+J337/J156</f>
        <v>1.5067432720797065</v>
      </c>
      <c r="K345" s="165"/>
      <c r="L345" s="191" t="e">
        <f>+L337/L156</f>
        <v>#VALUE!</v>
      </c>
      <c r="M345" s="191" t="e">
        <f>+M337/M156</f>
        <v>#VALUE!</v>
      </c>
      <c r="N345" s="191" t="e">
        <f>+N337/N156</f>
        <v>#VALUE!</v>
      </c>
      <c r="O345" s="191" t="e">
        <f>+O337/O156</f>
        <v>#DIV/0!</v>
      </c>
      <c r="P345" s="191" t="e">
        <f>+P337/P156</f>
        <v>#VALUE!</v>
      </c>
      <c r="Q345" s="165"/>
      <c r="R345" s="191" t="e">
        <f>+R337/R156</f>
        <v>#VALUE!</v>
      </c>
      <c r="S345" s="191" t="e">
        <f>+S337/S156</f>
        <v>#VALUE!</v>
      </c>
      <c r="T345" s="191" t="e">
        <f>+T337/T156</f>
        <v>#VALUE!</v>
      </c>
      <c r="U345" s="191" t="e">
        <f>+U337/U156</f>
        <v>#DIV/0!</v>
      </c>
      <c r="V345" s="191" t="e">
        <f>+V337/V156</f>
        <v>#VALUE!</v>
      </c>
      <c r="W345" s="165"/>
      <c r="X345" s="191" t="e">
        <f>+X337/X156</f>
        <v>#VALUE!</v>
      </c>
      <c r="Y345" s="191" t="e">
        <f>+Y337/Y156</f>
        <v>#VALUE!</v>
      </c>
      <c r="Z345" s="191" t="e">
        <f>+Z337/Z156</f>
        <v>#DIV/0!</v>
      </c>
      <c r="AA345" s="191" t="e">
        <f>+AA337/AA156</f>
        <v>#DIV/0!</v>
      </c>
      <c r="AB345" s="192">
        <f>+AB337/AB156</f>
        <v>3.4490882352941177</v>
      </c>
      <c r="AC345" s="192"/>
      <c r="AD345" s="191" t="e">
        <f t="shared" ref="AD345:AL345" si="146">+AD337/AD156</f>
        <v>#VALUE!</v>
      </c>
      <c r="AE345" s="191" t="e">
        <f t="shared" si="146"/>
        <v>#VALUE!</v>
      </c>
      <c r="AF345" s="191" t="e">
        <f t="shared" si="146"/>
        <v>#DIV/0!</v>
      </c>
      <c r="AG345" s="191" t="e">
        <f t="shared" si="146"/>
        <v>#DIV/0!</v>
      </c>
      <c r="AH345" s="191">
        <f t="shared" si="146"/>
        <v>1.3296750582411183</v>
      </c>
      <c r="AI345" s="191">
        <f t="shared" si="146"/>
        <v>1.8328372564483297</v>
      </c>
      <c r="AJ345" s="191">
        <f t="shared" si="146"/>
        <v>2.4410335268850547</v>
      </c>
      <c r="AK345" s="191">
        <f t="shared" si="146"/>
        <v>3.305242108978403</v>
      </c>
      <c r="AL345" s="191">
        <f t="shared" si="146"/>
        <v>4.5582313603844131</v>
      </c>
    </row>
    <row r="346" spans="2:38" s="2" customFormat="1" ht="14.5" customHeight="1">
      <c r="B346" s="10" t="s">
        <v>14</v>
      </c>
      <c r="C346"/>
      <c r="D346" s="148" t="e">
        <f>+D345/#REF!-1</f>
        <v>#VALUE!</v>
      </c>
      <c r="E346"/>
      <c r="F346" s="213" t="e">
        <f>+F345/#REF!-1</f>
        <v>#DIV/0!</v>
      </c>
      <c r="G346" s="214" t="e">
        <f>+G345/#REF!-1</f>
        <v>#DIV/0!</v>
      </c>
      <c r="H346" s="214" t="e">
        <f>+H345/#REF!-1</f>
        <v>#DIV/0!</v>
      </c>
      <c r="I346" s="214" t="e">
        <f>+I345/#REF!-1</f>
        <v>#DIV/0!</v>
      </c>
      <c r="J346" s="148" t="e">
        <f t="shared" ref="J346" si="147">+J345/D345-1</f>
        <v>#VALUE!</v>
      </c>
      <c r="K346"/>
      <c r="L346" s="213" t="e">
        <f t="shared" ref="L346" si="148">+L345/F345-1</f>
        <v>#VALUE!</v>
      </c>
      <c r="M346" s="214" t="e">
        <f t="shared" ref="M346" si="149">+M345/G345-1</f>
        <v>#VALUE!</v>
      </c>
      <c r="N346" s="214" t="e">
        <f>+N345/H345-1</f>
        <v>#VALUE!</v>
      </c>
      <c r="O346" s="214" t="e">
        <f t="shared" ref="O346" si="150">+O345/I345-1</f>
        <v>#DIV/0!</v>
      </c>
      <c r="P346" s="148" t="e">
        <f t="shared" ref="P346" si="151">+P345/J345-1</f>
        <v>#VALUE!</v>
      </c>
      <c r="Q346"/>
      <c r="R346" s="213" t="e">
        <f t="shared" ref="R346" si="152">+R345/L345-1</f>
        <v>#VALUE!</v>
      </c>
      <c r="S346" s="214" t="e">
        <f t="shared" ref="S346" si="153">+S345/M345-1</f>
        <v>#VALUE!</v>
      </c>
      <c r="T346" s="214" t="e">
        <f>+T345/N345-1</f>
        <v>#VALUE!</v>
      </c>
      <c r="U346" s="214" t="e">
        <f t="shared" ref="U346" si="154">+U345/O345-1</f>
        <v>#DIV/0!</v>
      </c>
      <c r="V346" s="148" t="e">
        <f t="shared" ref="V346" si="155">+V345/P345-1</f>
        <v>#VALUE!</v>
      </c>
      <c r="W346"/>
      <c r="X346" s="213" t="e">
        <f t="shared" ref="X346" si="156">+X345/R345-1</f>
        <v>#VALUE!</v>
      </c>
      <c r="Y346" s="214" t="e">
        <f t="shared" ref="Y346" si="157">+Y345/S345-1</f>
        <v>#VALUE!</v>
      </c>
      <c r="Z346" s="214" t="e">
        <f t="shared" ref="Z346" si="158">+Z345/T345-1</f>
        <v>#DIV/0!</v>
      </c>
      <c r="AA346" s="214" t="e">
        <f t="shared" ref="AA346" si="159">+AA345/U345-1</f>
        <v>#DIV/0!</v>
      </c>
      <c r="AB346" s="148" t="e">
        <f t="shared" ref="AB346" si="160">+AB345/V345-1</f>
        <v>#VALUE!</v>
      </c>
      <c r="AC346" s="148"/>
      <c r="AD346" s="213" t="e">
        <f t="shared" ref="AD346" si="161">+AD345/X345-1</f>
        <v>#VALUE!</v>
      </c>
      <c r="AE346" s="214" t="e">
        <f t="shared" ref="AE346" si="162">+AE345/Y345-1</f>
        <v>#VALUE!</v>
      </c>
      <c r="AF346" s="214" t="e">
        <f t="shared" ref="AF346" si="163">+AF345/Z345-1</f>
        <v>#DIV/0!</v>
      </c>
      <c r="AG346" s="214" t="e">
        <f t="shared" ref="AG346" si="164">+AG345/AA345-1</f>
        <v>#DIV/0!</v>
      </c>
      <c r="AH346" s="148">
        <f>+AH345/AB345-1</f>
        <v>-0.61448505589543678</v>
      </c>
      <c r="AI346" s="148">
        <f t="shared" ref="AI346" si="165">+AI345/AH345-1</f>
        <v>0.37840989427356009</v>
      </c>
      <c r="AJ346" s="148">
        <f t="shared" ref="AJ346:AL346" si="166">+AJ345/AI345-1</f>
        <v>0.33183321012105949</v>
      </c>
      <c r="AK346" s="148">
        <f t="shared" si="166"/>
        <v>0.35403388465382712</v>
      </c>
      <c r="AL346" s="148">
        <f t="shared" si="166"/>
        <v>0.37909151889429626</v>
      </c>
    </row>
  </sheetData>
  <phoneticPr fontId="19" type="noConversion"/>
  <pageMargins left="0.7" right="0.7" top="0.75" bottom="0.75" header="0.3" footer="0.3"/>
  <pageSetup scale="1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55EAD-1E6C-4418-8FD2-F3311D047562}">
  <sheetPr>
    <tabColor rgb="FFFFFF99"/>
  </sheetPr>
  <dimension ref="A1:AW164"/>
  <sheetViews>
    <sheetView zoomScaleNormal="7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O26" sqref="AO26"/>
    </sheetView>
  </sheetViews>
  <sheetFormatPr baseColWidth="10" defaultColWidth="8.83203125" defaultRowHeight="15" outlineLevelCol="1"/>
  <cols>
    <col min="1" max="1" width="1.6640625" customWidth="1"/>
    <col min="2" max="2" width="35.5" customWidth="1"/>
    <col min="3" max="3" width="15.83203125" bestFit="1" customWidth="1"/>
    <col min="4" max="4" width="18" bestFit="1" customWidth="1"/>
    <col min="5" max="5" width="20.1640625" bestFit="1" customWidth="1"/>
    <col min="6" max="6" width="16.33203125" bestFit="1" customWidth="1"/>
    <col min="7" max="7" width="19.33203125" bestFit="1" customWidth="1"/>
    <col min="8" max="8" width="18.83203125" bestFit="1" customWidth="1"/>
    <col min="9" max="9" width="18.5" bestFit="1" customWidth="1" outlineLevel="1"/>
    <col min="10" max="12" width="15.5" bestFit="1" customWidth="1" outlineLevel="1"/>
    <col min="13" max="15" width="15.83203125" bestFit="1" customWidth="1" outlineLevel="1"/>
    <col min="16" max="16" width="15.5" bestFit="1" customWidth="1" outlineLevel="1"/>
    <col min="17" max="22" width="15.83203125" bestFit="1" customWidth="1" outlineLevel="1"/>
    <col min="23" max="23" width="15.5" bestFit="1" customWidth="1" outlineLevel="1"/>
    <col min="24" max="24" width="15.83203125" bestFit="1" customWidth="1" outlineLevel="1"/>
    <col min="25" max="25" width="15.5" bestFit="1" customWidth="1" outlineLevel="1"/>
    <col min="26" max="26" width="15.83203125" bestFit="1" customWidth="1" outlineLevel="1"/>
    <col min="27" max="27" width="15.5" bestFit="1" customWidth="1" outlineLevel="1"/>
    <col min="28" max="29" width="15.83203125" bestFit="1" customWidth="1" outlineLevel="1"/>
    <col min="30" max="31" width="15.83203125" bestFit="1" customWidth="1"/>
    <col min="32" max="33" width="16.33203125" bestFit="1" customWidth="1"/>
    <col min="34" max="35" width="15.5" bestFit="1" customWidth="1"/>
    <col min="36" max="36" width="15.83203125" bestFit="1" customWidth="1"/>
    <col min="37" max="37" width="1.6640625" customWidth="1"/>
    <col min="38" max="38" width="17.83203125" bestFit="1" customWidth="1"/>
    <col min="39" max="39" width="1.6640625" customWidth="1"/>
    <col min="40" max="40" width="28.6640625" bestFit="1" customWidth="1"/>
    <col min="41" max="41" width="18" bestFit="1" customWidth="1"/>
    <col min="42" max="42" width="1.6640625" customWidth="1"/>
    <col min="43" max="43" width="5.6640625" hidden="1" customWidth="1" outlineLevel="1"/>
    <col min="44" max="44" width="23.5" hidden="1" customWidth="1" outlineLevel="1"/>
    <col min="45" max="47" width="20.6640625" hidden="1" customWidth="1" outlineLevel="1"/>
    <col min="48" max="48" width="9.1640625" hidden="1" customWidth="1" outlineLevel="1"/>
    <col min="49" max="49" width="5.6640625" customWidth="1" collapsed="1"/>
  </cols>
  <sheetData>
    <row r="1" spans="1:49">
      <c r="B1" s="330">
        <f>+AO30</f>
        <v>57753.369309265836</v>
      </c>
    </row>
    <row r="2" spans="1:49" ht="15" customHeight="1">
      <c r="B2" s="36" t="s">
        <v>162</v>
      </c>
      <c r="C2" s="111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N2" s="237" t="str">
        <f>+SUM!C2</f>
        <v>ABNB</v>
      </c>
      <c r="AO2" s="238">
        <f>+AO30</f>
        <v>57753.369309265836</v>
      </c>
    </row>
    <row r="3" spans="1:49" ht="15" customHeight="1">
      <c r="B3" s="36" t="s">
        <v>350</v>
      </c>
      <c r="C3" s="240">
        <v>2018</v>
      </c>
      <c r="D3" s="240">
        <v>2019</v>
      </c>
      <c r="E3" s="240">
        <v>2020</v>
      </c>
      <c r="F3" s="240">
        <v>2021</v>
      </c>
      <c r="G3" s="345" t="s">
        <v>331</v>
      </c>
      <c r="H3" s="291">
        <v>2023</v>
      </c>
      <c r="I3" s="291">
        <v>2024</v>
      </c>
      <c r="J3" s="291">
        <v>2025</v>
      </c>
      <c r="K3" s="291">
        <v>2026</v>
      </c>
      <c r="L3" s="291">
        <v>2027</v>
      </c>
      <c r="M3" s="291">
        <v>2028</v>
      </c>
      <c r="N3" s="291">
        <v>2029</v>
      </c>
      <c r="O3" s="291">
        <v>2030</v>
      </c>
      <c r="P3" s="291">
        <v>2031</v>
      </c>
      <c r="Q3" s="291">
        <v>2032</v>
      </c>
      <c r="R3" s="291">
        <v>2033</v>
      </c>
      <c r="S3" s="291">
        <v>2034</v>
      </c>
      <c r="T3" s="291">
        <v>2035</v>
      </c>
      <c r="U3" s="291">
        <v>2036</v>
      </c>
      <c r="V3" s="291">
        <v>2037</v>
      </c>
      <c r="W3" s="291">
        <v>2038</v>
      </c>
      <c r="X3" s="291">
        <v>2039</v>
      </c>
      <c r="Y3" s="291">
        <v>2040</v>
      </c>
      <c r="Z3" s="291">
        <v>2041</v>
      </c>
      <c r="AA3" s="291">
        <v>2042</v>
      </c>
      <c r="AB3" s="291">
        <v>2043</v>
      </c>
      <c r="AC3" s="291">
        <v>2044</v>
      </c>
      <c r="AD3" s="291">
        <v>2045</v>
      </c>
      <c r="AE3" s="291">
        <v>2046</v>
      </c>
      <c r="AF3" s="291">
        <v>2047</v>
      </c>
      <c r="AG3" s="291">
        <v>2048</v>
      </c>
      <c r="AH3" s="291">
        <v>2049</v>
      </c>
      <c r="AI3" s="291" t="s">
        <v>163</v>
      </c>
      <c r="AJ3" s="291" t="s">
        <v>164</v>
      </c>
      <c r="AK3" s="66"/>
      <c r="AL3" s="66"/>
      <c r="AN3" s="237" t="s">
        <v>348</v>
      </c>
      <c r="AO3" s="195"/>
      <c r="AR3" s="241"/>
    </row>
    <row r="4" spans="1:49" s="244" customFormat="1">
      <c r="A4" s="242"/>
      <c r="B4" s="242"/>
      <c r="C4" s="243"/>
      <c r="D4" s="243"/>
      <c r="E4" s="243"/>
      <c r="F4" s="243" t="s">
        <v>165</v>
      </c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M4" s="242"/>
      <c r="AN4" s="242"/>
      <c r="AO4" s="245"/>
      <c r="AP4" s="242"/>
      <c r="AQ4" s="242"/>
      <c r="AR4" s="242"/>
      <c r="AS4" s="242"/>
      <c r="AT4" s="242"/>
      <c r="AU4" s="242"/>
      <c r="AV4" s="242"/>
      <c r="AW4" s="242"/>
    </row>
    <row r="5" spans="1:49" s="244" customFormat="1">
      <c r="A5" s="242"/>
      <c r="B5" s="246" t="s">
        <v>349</v>
      </c>
      <c r="C5" s="310">
        <f>MOD!D9</f>
        <v>250.3</v>
      </c>
      <c r="D5" s="310">
        <f>MOD!J9</f>
        <v>326.89999999999998</v>
      </c>
      <c r="E5" s="310">
        <f>MOD!P9</f>
        <v>193.2</v>
      </c>
      <c r="F5" s="310">
        <f>MOD!V9</f>
        <v>300.59999999999997</v>
      </c>
      <c r="G5" s="310">
        <f>MOD!AB9</f>
        <v>394</v>
      </c>
      <c r="H5" s="310">
        <f>+G5*(1+H6)</f>
        <v>413.70000000000005</v>
      </c>
      <c r="I5" s="310">
        <f t="shared" ref="I5" si="0">+H5*(1+I6)</f>
        <v>434.38500000000005</v>
      </c>
      <c r="J5" s="310">
        <f t="shared" ref="J5" si="1">+I5*(1+J6)</f>
        <v>456.10425000000009</v>
      </c>
      <c r="K5" s="310">
        <f t="shared" ref="K5" si="2">+J5*(1+K6)</f>
        <v>478.90946250000013</v>
      </c>
      <c r="L5" s="310">
        <f t="shared" ref="L5" si="3">+K5*(1+L6)</f>
        <v>502.85493562500017</v>
      </c>
      <c r="M5" s="310">
        <f t="shared" ref="M5" si="4">+L5*(1+M6)</f>
        <v>517.94058369375023</v>
      </c>
      <c r="N5" s="310">
        <f t="shared" ref="N5" si="5">+M5*(1+N6)</f>
        <v>533.47880120456273</v>
      </c>
      <c r="O5" s="310">
        <f t="shared" ref="O5" si="6">+N5*(1+O6)</f>
        <v>549.48316524069958</v>
      </c>
      <c r="P5" s="310">
        <f t="shared" ref="P5" si="7">+O5*(1+P6)</f>
        <v>565.96766019792062</v>
      </c>
      <c r="Q5" s="310">
        <f t="shared" ref="Q5" si="8">+P5*(1+Q6)</f>
        <v>582.94669000385829</v>
      </c>
      <c r="R5" s="310">
        <f t="shared" ref="R5" si="9">+Q5*(1+R6)</f>
        <v>582.94669000385829</v>
      </c>
      <c r="S5" s="310">
        <f t="shared" ref="S5" si="10">+R5*(1+S6)</f>
        <v>582.94669000385829</v>
      </c>
      <c r="T5" s="310">
        <f t="shared" ref="T5" si="11">+S5*(1+T6)</f>
        <v>582.94669000385829</v>
      </c>
      <c r="U5" s="310">
        <f t="shared" ref="U5" si="12">+T5*(1+U6)</f>
        <v>582.94669000385829</v>
      </c>
      <c r="V5" s="310">
        <f t="shared" ref="V5" si="13">+U5*(1+V6)</f>
        <v>582.94669000385829</v>
      </c>
      <c r="W5" s="310">
        <f t="shared" ref="W5" si="14">+V5*(1+W6)</f>
        <v>582.94669000385829</v>
      </c>
      <c r="X5" s="310">
        <f t="shared" ref="X5" si="15">+W5*(1+X6)</f>
        <v>582.94669000385829</v>
      </c>
      <c r="Y5" s="310">
        <f t="shared" ref="Y5" si="16">+X5*(1+Y6)</f>
        <v>582.94669000385829</v>
      </c>
      <c r="Z5" s="310">
        <f t="shared" ref="Z5" si="17">+Y5*(1+Z6)</f>
        <v>582.94669000385829</v>
      </c>
      <c r="AA5" s="310">
        <f t="shared" ref="AA5" si="18">+Z5*(1+AA6)</f>
        <v>582.94669000385829</v>
      </c>
      <c r="AB5" s="310">
        <f t="shared" ref="AB5" si="19">+AA5*(1+AB6)</f>
        <v>582.94669000385829</v>
      </c>
      <c r="AC5" s="310">
        <f t="shared" ref="AC5" si="20">+AB5*(1+AC6)</f>
        <v>582.94669000385829</v>
      </c>
      <c r="AD5" s="310">
        <f t="shared" ref="AD5" si="21">+AC5*(1+AD6)</f>
        <v>582.94669000385829</v>
      </c>
      <c r="AE5" s="310">
        <f t="shared" ref="AE5" si="22">+AD5*(1+AE6)</f>
        <v>582.94669000385829</v>
      </c>
      <c r="AF5" s="310">
        <f t="shared" ref="AF5" si="23">+AE5*(1+AF6)</f>
        <v>582.94669000385829</v>
      </c>
      <c r="AG5" s="310">
        <f t="shared" ref="AG5" si="24">+AF5*(1+AG6)</f>
        <v>582.94669000385829</v>
      </c>
      <c r="AH5" s="310">
        <f t="shared" ref="AH5" si="25">+AG5*(1+AH6)</f>
        <v>582.94669000385829</v>
      </c>
      <c r="AI5" s="310">
        <f t="shared" ref="AI5" si="26">+AH5*(1+AI6)</f>
        <v>582.94669000385829</v>
      </c>
      <c r="AJ5" s="310">
        <f t="shared" ref="AJ5" si="27">+AI5*(1+AJ6)</f>
        <v>582.94669000385829</v>
      </c>
      <c r="AM5" s="242"/>
      <c r="AN5" s="242"/>
      <c r="AO5" s="245"/>
      <c r="AP5" s="242"/>
      <c r="AQ5" s="242"/>
      <c r="AR5" s="242"/>
      <c r="AS5" s="242"/>
      <c r="AT5" s="242"/>
      <c r="AU5" s="242"/>
      <c r="AV5" s="242"/>
      <c r="AW5" s="242"/>
    </row>
    <row r="6" spans="1:49" ht="15" customHeight="1">
      <c r="B6" s="249" t="s">
        <v>14</v>
      </c>
      <c r="C6" s="21" t="str">
        <f>+IFERROR(C5/#REF!-1,"n.a.")</f>
        <v>n.a.</v>
      </c>
      <c r="D6" s="21">
        <f t="shared" ref="D6" si="28">+IFERROR(D5/C5-1,"n.a.")</f>
        <v>0.30603276068717533</v>
      </c>
      <c r="E6" s="92">
        <f t="shared" ref="E6" si="29">+IFERROR(E5/D5-1,"n.a.")</f>
        <v>-0.4089935760171306</v>
      </c>
      <c r="F6" s="92">
        <f t="shared" ref="F6" si="30">+IFERROR(F5/E5-1,"n.a.")</f>
        <v>0.55590062111801242</v>
      </c>
      <c r="G6" s="231">
        <f t="shared" ref="G6" si="31">+IFERROR(G5/F5-1,"n.a.")</f>
        <v>0.31071190951430494</v>
      </c>
      <c r="H6" s="250">
        <v>0.05</v>
      </c>
      <c r="I6" s="250">
        <v>0.05</v>
      </c>
      <c r="J6" s="250">
        <v>0.05</v>
      </c>
      <c r="K6" s="250">
        <v>0.05</v>
      </c>
      <c r="L6" s="250">
        <v>0.05</v>
      </c>
      <c r="M6" s="250">
        <v>0.03</v>
      </c>
      <c r="N6" s="250">
        <v>0.03</v>
      </c>
      <c r="O6" s="250">
        <v>0.03</v>
      </c>
      <c r="P6" s="250">
        <v>0.03</v>
      </c>
      <c r="Q6" s="250">
        <v>0.03</v>
      </c>
      <c r="R6" s="250">
        <v>0</v>
      </c>
      <c r="S6" s="250">
        <v>0</v>
      </c>
      <c r="T6" s="250">
        <v>0</v>
      </c>
      <c r="U6" s="250">
        <v>0</v>
      </c>
      <c r="V6" s="250">
        <v>0</v>
      </c>
      <c r="W6" s="250">
        <v>0</v>
      </c>
      <c r="X6" s="250">
        <v>0</v>
      </c>
      <c r="Y6" s="250">
        <v>0</v>
      </c>
      <c r="Z6" s="250">
        <v>0</v>
      </c>
      <c r="AA6" s="250">
        <v>0</v>
      </c>
      <c r="AB6" s="250">
        <v>0</v>
      </c>
      <c r="AC6" s="250">
        <v>0</v>
      </c>
      <c r="AD6" s="250">
        <v>0</v>
      </c>
      <c r="AE6" s="250">
        <v>0</v>
      </c>
      <c r="AF6" s="250">
        <v>0</v>
      </c>
      <c r="AG6" s="250">
        <v>0</v>
      </c>
      <c r="AH6" s="250">
        <v>0</v>
      </c>
      <c r="AI6" s="250">
        <v>0</v>
      </c>
      <c r="AJ6" s="250">
        <v>0</v>
      </c>
    </row>
    <row r="7" spans="1:49" s="244" customFormat="1">
      <c r="A7" s="242"/>
      <c r="B7" s="246"/>
      <c r="C7" s="310"/>
      <c r="D7" s="310"/>
      <c r="E7" s="310"/>
      <c r="F7" s="310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243"/>
      <c r="AJ7" s="243"/>
      <c r="AM7" s="242"/>
      <c r="AN7" s="242"/>
      <c r="AO7" s="245"/>
      <c r="AP7" s="242"/>
      <c r="AQ7" s="242"/>
      <c r="AR7" s="242"/>
      <c r="AS7" s="242"/>
      <c r="AT7" s="242"/>
      <c r="AU7" s="242"/>
      <c r="AV7" s="242"/>
      <c r="AW7" s="242"/>
    </row>
    <row r="8" spans="1:49" s="244" customFormat="1">
      <c r="A8" s="242"/>
      <c r="B8" s="246" t="s">
        <v>341</v>
      </c>
      <c r="C8" s="311">
        <f>MOD!D18</f>
        <v>14590.431482221335</v>
      </c>
      <c r="D8" s="311">
        <f>MOD!J18</f>
        <v>14699.415723462833</v>
      </c>
      <c r="E8" s="311">
        <f>MOD!P18</f>
        <v>17485.507246376812</v>
      </c>
      <c r="F8" s="311">
        <f>MOD!V18</f>
        <v>19932.468396540255</v>
      </c>
      <c r="G8" s="311">
        <f>MOD!AB18</f>
        <v>21317.258883248731</v>
      </c>
      <c r="H8" s="312">
        <f>+G8*(1+H9)</f>
        <v>21743.604060913705</v>
      </c>
      <c r="I8" s="312">
        <f t="shared" ref="I8:AJ8" si="32">+H8*(1+I9)</f>
        <v>22178.476142131978</v>
      </c>
      <c r="J8" s="312">
        <f t="shared" si="32"/>
        <v>22622.045664974619</v>
      </c>
      <c r="K8" s="312">
        <f t="shared" si="32"/>
        <v>23074.486578274111</v>
      </c>
      <c r="L8" s="312">
        <f t="shared" si="32"/>
        <v>23535.976309839592</v>
      </c>
      <c r="M8" s="312">
        <f t="shared" si="32"/>
        <v>24006.695836036386</v>
      </c>
      <c r="N8" s="312">
        <f t="shared" si="32"/>
        <v>24486.829752757116</v>
      </c>
      <c r="O8" s="312">
        <f t="shared" si="32"/>
        <v>24976.566347812259</v>
      </c>
      <c r="P8" s="312">
        <f t="shared" si="32"/>
        <v>25476.097674768505</v>
      </c>
      <c r="Q8" s="312">
        <f t="shared" si="32"/>
        <v>25985.619628263878</v>
      </c>
      <c r="R8" s="312">
        <f t="shared" si="32"/>
        <v>26505.332020829155</v>
      </c>
      <c r="S8" s="312">
        <f t="shared" si="32"/>
        <v>27035.438661245738</v>
      </c>
      <c r="T8" s="312">
        <f t="shared" si="32"/>
        <v>27576.147434470655</v>
      </c>
      <c r="U8" s="312">
        <f t="shared" si="32"/>
        <v>28127.670383160068</v>
      </c>
      <c r="V8" s="312">
        <f t="shared" si="32"/>
        <v>28690.223790823271</v>
      </c>
      <c r="W8" s="312">
        <f t="shared" si="32"/>
        <v>29264.028266639736</v>
      </c>
      <c r="X8" s="312">
        <f t="shared" si="32"/>
        <v>29849.308831972532</v>
      </c>
      <c r="Y8" s="312">
        <f t="shared" si="32"/>
        <v>30446.295008611982</v>
      </c>
      <c r="Z8" s="312">
        <f t="shared" si="32"/>
        <v>31055.22090878422</v>
      </c>
      <c r="AA8" s="312">
        <f t="shared" si="32"/>
        <v>31676.325326959904</v>
      </c>
      <c r="AB8" s="312">
        <f t="shared" si="32"/>
        <v>32309.851833499102</v>
      </c>
      <c r="AC8" s="312">
        <f t="shared" si="32"/>
        <v>32956.048870169085</v>
      </c>
      <c r="AD8" s="312">
        <f t="shared" si="32"/>
        <v>33615.16984757247</v>
      </c>
      <c r="AE8" s="312">
        <f t="shared" si="32"/>
        <v>34287.473244523921</v>
      </c>
      <c r="AF8" s="312">
        <f t="shared" si="32"/>
        <v>34973.222709414396</v>
      </c>
      <c r="AG8" s="312">
        <f t="shared" si="32"/>
        <v>35672.687163602684</v>
      </c>
      <c r="AH8" s="312">
        <f t="shared" si="32"/>
        <v>36386.140906874738</v>
      </c>
      <c r="AI8" s="312">
        <f t="shared" si="32"/>
        <v>37113.863725012234</v>
      </c>
      <c r="AJ8" s="312">
        <f t="shared" si="32"/>
        <v>37856.140999512478</v>
      </c>
      <c r="AM8" s="242"/>
      <c r="AN8" s="242"/>
      <c r="AO8" s="245"/>
      <c r="AP8" s="242"/>
      <c r="AQ8" s="242"/>
      <c r="AR8" s="242"/>
      <c r="AS8" s="242"/>
      <c r="AT8" s="242"/>
      <c r="AU8" s="242"/>
      <c r="AV8" s="242"/>
      <c r="AW8" s="242"/>
    </row>
    <row r="9" spans="1:49" ht="15" customHeight="1">
      <c r="B9" s="249" t="s">
        <v>14</v>
      </c>
      <c r="C9" s="21" t="str">
        <f>+IFERROR(C8/#REF!-1,"n.a.")</f>
        <v>n.a.</v>
      </c>
      <c r="D9" s="21">
        <f t="shared" ref="D9" si="33">+IFERROR(D8/C8-1,"n.a.")</f>
        <v>7.4695694486004438E-3</v>
      </c>
      <c r="E9" s="92">
        <f t="shared" ref="E9" si="34">+IFERROR(E8/D8-1,"n.a.")</f>
        <v>0.18953756906588404</v>
      </c>
      <c r="F9" s="92">
        <f t="shared" ref="F9" si="35">+IFERROR(F8/E8-1,"n.a.")</f>
        <v>0.13994224563719637</v>
      </c>
      <c r="G9" s="231">
        <f t="shared" ref="G9" si="36">+IFERROR(G8/F8-1,"n.a.")</f>
        <v>6.9474109235203363E-2</v>
      </c>
      <c r="H9" s="250">
        <v>0.02</v>
      </c>
      <c r="I9" s="250">
        <v>0.02</v>
      </c>
      <c r="J9" s="250">
        <v>0.02</v>
      </c>
      <c r="K9" s="250">
        <v>0.02</v>
      </c>
      <c r="L9" s="250">
        <v>0.02</v>
      </c>
      <c r="M9" s="250">
        <v>0.02</v>
      </c>
      <c r="N9" s="250">
        <v>0.02</v>
      </c>
      <c r="O9" s="250">
        <v>0.02</v>
      </c>
      <c r="P9" s="250">
        <v>0.02</v>
      </c>
      <c r="Q9" s="250">
        <v>0.02</v>
      </c>
      <c r="R9" s="250">
        <v>0.02</v>
      </c>
      <c r="S9" s="250">
        <v>0.02</v>
      </c>
      <c r="T9" s="250">
        <v>0.02</v>
      </c>
      <c r="U9" s="250">
        <v>0.02</v>
      </c>
      <c r="V9" s="250">
        <v>0.02</v>
      </c>
      <c r="W9" s="250">
        <v>0.02</v>
      </c>
      <c r="X9" s="250">
        <v>0.02</v>
      </c>
      <c r="Y9" s="250">
        <v>0.02</v>
      </c>
      <c r="Z9" s="250">
        <v>0.02</v>
      </c>
      <c r="AA9" s="250">
        <v>0.02</v>
      </c>
      <c r="AB9" s="250">
        <v>0.02</v>
      </c>
      <c r="AC9" s="250">
        <v>0.02</v>
      </c>
      <c r="AD9" s="250">
        <v>0.02</v>
      </c>
      <c r="AE9" s="250">
        <v>0.02</v>
      </c>
      <c r="AF9" s="250">
        <v>0.02</v>
      </c>
      <c r="AG9" s="250">
        <v>0.02</v>
      </c>
      <c r="AH9" s="250">
        <v>0.02</v>
      </c>
      <c r="AI9" s="250">
        <v>0.02</v>
      </c>
      <c r="AJ9" s="250">
        <v>0.02</v>
      </c>
    </row>
    <row r="10" spans="1:49" s="244" customFormat="1" ht="16" thickBot="1">
      <c r="A10" s="242"/>
      <c r="B10" s="242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M10" s="242"/>
      <c r="AN10" s="242"/>
      <c r="AO10" s="245"/>
      <c r="AP10" s="242"/>
      <c r="AQ10" s="242"/>
      <c r="AR10" s="242"/>
      <c r="AS10" s="242"/>
      <c r="AT10" s="242"/>
      <c r="AU10" s="242"/>
      <c r="AV10" s="242"/>
      <c r="AW10" s="242"/>
    </row>
    <row r="11" spans="1:49" ht="15" customHeight="1">
      <c r="B11" s="246" t="s">
        <v>166</v>
      </c>
      <c r="C11" s="286">
        <f>+MOD!D80</f>
        <v>3651985</v>
      </c>
      <c r="D11" s="286">
        <f>+MOD!J80</f>
        <v>4805239</v>
      </c>
      <c r="E11" s="286">
        <f>+MOD!P80</f>
        <v>3378200</v>
      </c>
      <c r="F11" s="331">
        <f>+MOD!V80</f>
        <v>5991700</v>
      </c>
      <c r="G11" s="332">
        <f>+MOD!AB80</f>
        <v>8399000</v>
      </c>
      <c r="H11" s="333">
        <f t="shared" ref="H11:AJ11" si="37">+IFERROR(G11*(1+H12),"n.a.")</f>
        <v>8986930</v>
      </c>
      <c r="I11" s="333">
        <f t="shared" si="37"/>
        <v>9616015.1000000015</v>
      </c>
      <c r="J11" s="333">
        <f t="shared" si="37"/>
        <v>10289136.157000002</v>
      </c>
      <c r="K11" s="333">
        <f t="shared" si="37"/>
        <v>11009375.687990002</v>
      </c>
      <c r="L11" s="333">
        <f t="shared" si="37"/>
        <v>11780031.986149304</v>
      </c>
      <c r="M11" s="333">
        <f t="shared" si="37"/>
        <v>12369033.58545677</v>
      </c>
      <c r="N11" s="334">
        <f t="shared" si="37"/>
        <v>12987485.26472961</v>
      </c>
      <c r="O11" s="287">
        <f t="shared" si="37"/>
        <v>13636859.527966091</v>
      </c>
      <c r="P11" s="287">
        <f t="shared" si="37"/>
        <v>14318702.504364397</v>
      </c>
      <c r="Q11" s="287">
        <f t="shared" si="37"/>
        <v>15034637.629582617</v>
      </c>
      <c r="R11" s="287">
        <f t="shared" si="37"/>
        <v>15335330.38217427</v>
      </c>
      <c r="S11" s="287">
        <f t="shared" si="37"/>
        <v>15642036.989817755</v>
      </c>
      <c r="T11" s="287">
        <f t="shared" si="37"/>
        <v>15954877.729614111</v>
      </c>
      <c r="U11" s="287">
        <f t="shared" si="37"/>
        <v>16273975.284206392</v>
      </c>
      <c r="V11" s="287">
        <f t="shared" si="37"/>
        <v>16599454.78989052</v>
      </c>
      <c r="W11" s="287">
        <f t="shared" si="37"/>
        <v>16931443.885688331</v>
      </c>
      <c r="X11" s="287">
        <f t="shared" si="37"/>
        <v>17270072.763402097</v>
      </c>
      <c r="Y11" s="287">
        <f t="shared" si="37"/>
        <v>17615474.218670141</v>
      </c>
      <c r="Z11" s="287">
        <f t="shared" si="37"/>
        <v>17967783.703043543</v>
      </c>
      <c r="AA11" s="287">
        <f t="shared" si="37"/>
        <v>18327139.377104413</v>
      </c>
      <c r="AB11" s="287">
        <f t="shared" si="37"/>
        <v>18693682.164646503</v>
      </c>
      <c r="AC11" s="287">
        <f t="shared" si="37"/>
        <v>19067555.807939433</v>
      </c>
      <c r="AD11" s="287">
        <f t="shared" si="37"/>
        <v>19448906.92409822</v>
      </c>
      <c r="AE11" s="287">
        <f t="shared" si="37"/>
        <v>19837885.062580183</v>
      </c>
      <c r="AF11" s="287">
        <f t="shared" si="37"/>
        <v>20234642.763831787</v>
      </c>
      <c r="AG11" s="287">
        <f t="shared" si="37"/>
        <v>20639335.619108424</v>
      </c>
      <c r="AH11" s="287">
        <f t="shared" si="37"/>
        <v>21052122.331490591</v>
      </c>
      <c r="AI11" s="287">
        <f t="shared" si="37"/>
        <v>21473164.778120402</v>
      </c>
      <c r="AJ11" s="287">
        <f t="shared" si="37"/>
        <v>21902628.073682811</v>
      </c>
      <c r="AN11" s="63" t="s">
        <v>27</v>
      </c>
      <c r="AO11" s="63"/>
      <c r="AR11" s="63" t="s">
        <v>167</v>
      </c>
      <c r="AS11" s="247"/>
      <c r="AT11" s="247"/>
      <c r="AU11" s="247"/>
      <c r="AV11" s="248"/>
    </row>
    <row r="12" spans="1:49" ht="15" customHeight="1" thickBot="1">
      <c r="B12" s="249" t="s">
        <v>14</v>
      </c>
      <c r="C12" s="21" t="str">
        <f>+IFERROR(C11/#REF!-1,"n.a.")</f>
        <v>n.a.</v>
      </c>
      <c r="D12" s="21">
        <f t="shared" ref="D12:G12" si="38">+IFERROR(D11/C11-1,"n.a.")</f>
        <v>0.31578826309527552</v>
      </c>
      <c r="E12" s="92">
        <f t="shared" si="38"/>
        <v>-0.29697565511309632</v>
      </c>
      <c r="F12" s="335">
        <f t="shared" si="38"/>
        <v>0.77363684802557575</v>
      </c>
      <c r="G12" s="336">
        <f t="shared" si="38"/>
        <v>0.40177245189178357</v>
      </c>
      <c r="H12" s="337">
        <f>+H6+H9</f>
        <v>7.0000000000000007E-2</v>
      </c>
      <c r="I12" s="337">
        <f t="shared" ref="I12:AJ12" si="39">+I6+I9</f>
        <v>7.0000000000000007E-2</v>
      </c>
      <c r="J12" s="337">
        <f t="shared" si="39"/>
        <v>7.0000000000000007E-2</v>
      </c>
      <c r="K12" s="337">
        <f t="shared" si="39"/>
        <v>7.0000000000000007E-2</v>
      </c>
      <c r="L12" s="337">
        <f t="shared" si="39"/>
        <v>7.0000000000000007E-2</v>
      </c>
      <c r="M12" s="337">
        <f t="shared" si="39"/>
        <v>0.05</v>
      </c>
      <c r="N12" s="338">
        <f t="shared" si="39"/>
        <v>0.05</v>
      </c>
      <c r="O12" s="107">
        <f t="shared" si="39"/>
        <v>0.05</v>
      </c>
      <c r="P12" s="107">
        <f t="shared" si="39"/>
        <v>0.05</v>
      </c>
      <c r="Q12" s="107">
        <f t="shared" si="39"/>
        <v>0.05</v>
      </c>
      <c r="R12" s="107">
        <f t="shared" si="39"/>
        <v>0.02</v>
      </c>
      <c r="S12" s="107">
        <f t="shared" si="39"/>
        <v>0.02</v>
      </c>
      <c r="T12" s="107">
        <f t="shared" si="39"/>
        <v>0.02</v>
      </c>
      <c r="U12" s="107">
        <f t="shared" si="39"/>
        <v>0.02</v>
      </c>
      <c r="V12" s="107">
        <f t="shared" si="39"/>
        <v>0.02</v>
      </c>
      <c r="W12" s="107">
        <f t="shared" si="39"/>
        <v>0.02</v>
      </c>
      <c r="X12" s="107">
        <f t="shared" si="39"/>
        <v>0.02</v>
      </c>
      <c r="Y12" s="107">
        <f t="shared" si="39"/>
        <v>0.02</v>
      </c>
      <c r="Z12" s="107">
        <f t="shared" si="39"/>
        <v>0.02</v>
      </c>
      <c r="AA12" s="107">
        <f t="shared" si="39"/>
        <v>0.02</v>
      </c>
      <c r="AB12" s="107">
        <f t="shared" si="39"/>
        <v>0.02</v>
      </c>
      <c r="AC12" s="107">
        <f t="shared" si="39"/>
        <v>0.02</v>
      </c>
      <c r="AD12" s="107">
        <f t="shared" si="39"/>
        <v>0.02</v>
      </c>
      <c r="AE12" s="107">
        <f t="shared" si="39"/>
        <v>0.02</v>
      </c>
      <c r="AF12" s="107">
        <f t="shared" si="39"/>
        <v>0.02</v>
      </c>
      <c r="AG12" s="107">
        <f t="shared" si="39"/>
        <v>0.02</v>
      </c>
      <c r="AH12" s="107">
        <f t="shared" si="39"/>
        <v>0.02</v>
      </c>
      <c r="AI12" s="107">
        <f t="shared" si="39"/>
        <v>0.02</v>
      </c>
      <c r="AJ12" s="107">
        <f t="shared" si="39"/>
        <v>0.02</v>
      </c>
      <c r="AN12" s="2" t="s">
        <v>284</v>
      </c>
      <c r="AO12" s="38">
        <f>+SUM!C5</f>
        <v>115.47</v>
      </c>
    </row>
    <row r="13" spans="1:49" ht="15" customHeight="1" thickBot="1">
      <c r="B13" s="66"/>
      <c r="H13" s="66"/>
      <c r="AN13" t="s">
        <v>0</v>
      </c>
      <c r="AO13" s="304">
        <f>+SUM!C6</f>
        <v>643</v>
      </c>
      <c r="AR13" s="251" t="s">
        <v>168</v>
      </c>
      <c r="AS13" s="63" t="s">
        <v>169</v>
      </c>
      <c r="AT13" s="63"/>
      <c r="AU13" s="63"/>
    </row>
    <row r="14" spans="1:49" s="2" customFormat="1" ht="15" customHeight="1" thickBot="1">
      <c r="B14" s="255" t="s">
        <v>205</v>
      </c>
      <c r="C14" s="286">
        <f>+MOD!D91</f>
        <v>2787953</v>
      </c>
      <c r="D14" s="286">
        <f>+MOD!J91</f>
        <v>3608926</v>
      </c>
      <c r="E14" s="286">
        <f>+MOD!P91</f>
        <v>2502158</v>
      </c>
      <c r="F14" s="286">
        <f>+MOD!V91</f>
        <v>4835867</v>
      </c>
      <c r="G14" s="286">
        <f>+MOD!AB91</f>
        <v>6900000</v>
      </c>
      <c r="H14" s="286">
        <f>+MOD!AH91</f>
        <v>9708364.5800000001</v>
      </c>
      <c r="I14" s="286">
        <f>+MOD!AI91</f>
        <v>13903949.918356001</v>
      </c>
      <c r="J14" s="286">
        <f>+MOD!AJ91</f>
        <v>19044400.580535885</v>
      </c>
      <c r="K14" s="272"/>
      <c r="L14" s="272"/>
      <c r="M14" s="272"/>
      <c r="N14" s="272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2"/>
      <c r="AA14" s="272"/>
      <c r="AB14" s="272"/>
      <c r="AC14" s="272"/>
      <c r="AD14" s="272"/>
      <c r="AE14" s="272"/>
      <c r="AF14" s="272"/>
      <c r="AG14" s="272"/>
      <c r="AH14" s="272"/>
      <c r="AI14" s="272"/>
      <c r="AJ14" s="272"/>
      <c r="AN14" s="2" t="s">
        <v>2</v>
      </c>
      <c r="AO14" s="227">
        <f>+AO12*AO13</f>
        <v>74247.210000000006</v>
      </c>
      <c r="AR14" s="253">
        <v>2</v>
      </c>
      <c r="AS14" s="91" t="s">
        <v>170</v>
      </c>
      <c r="AT14" s="91" t="s">
        <v>171</v>
      </c>
      <c r="AU14" s="91" t="s">
        <v>172</v>
      </c>
    </row>
    <row r="15" spans="1:49" ht="15" customHeight="1">
      <c r="B15" s="249" t="s">
        <v>15</v>
      </c>
      <c r="C15" s="21">
        <f t="shared" ref="C15:F15" si="40">+IFERROR(C14/C$11,"n.a.")</f>
        <v>0.76340757149878768</v>
      </c>
      <c r="D15" s="21">
        <f t="shared" si="40"/>
        <v>0.75103985462533707</v>
      </c>
      <c r="E15" s="21">
        <f t="shared" si="40"/>
        <v>0.74067787579184186</v>
      </c>
      <c r="F15" s="21">
        <f t="shared" si="40"/>
        <v>0.80709431380075769</v>
      </c>
      <c r="G15" s="21">
        <f t="shared" ref="G15:J15" si="41">+IFERROR(G14/G$11,"n.a.")</f>
        <v>0.82152637218716518</v>
      </c>
      <c r="H15" s="21">
        <f t="shared" si="41"/>
        <v>1.0802759763345213</v>
      </c>
      <c r="I15" s="21">
        <f t="shared" si="41"/>
        <v>1.4459159822197034</v>
      </c>
      <c r="J15" s="21">
        <f t="shared" si="41"/>
        <v>1.8509231766341647</v>
      </c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N15" t="s">
        <v>3</v>
      </c>
      <c r="AO15" s="109">
        <f>+SUM!C8</f>
        <v>7465510</v>
      </c>
      <c r="AR15" s="255" t="s">
        <v>173</v>
      </c>
      <c r="AS15" s="256">
        <v>-40</v>
      </c>
      <c r="AT15" s="256">
        <v>-50</v>
      </c>
      <c r="AU15" s="256">
        <v>-30</v>
      </c>
      <c r="AV15" s="2" t="s">
        <v>174</v>
      </c>
    </row>
    <row r="16" spans="1:49" ht="15" customHeight="1">
      <c r="B16" s="249" t="s">
        <v>174</v>
      </c>
      <c r="C16" s="257" t="str">
        <f>+IFERROR((C15-#REF!)*10000,"n.a.")</f>
        <v>n.a.</v>
      </c>
      <c r="D16" s="257">
        <f t="shared" ref="D16:J16" si="42">+IFERROR((D15-C15)*10000,"n.a.")</f>
        <v>-123.67716873450618</v>
      </c>
      <c r="E16" s="257">
        <f t="shared" si="42"/>
        <v>-103.61978833495212</v>
      </c>
      <c r="F16" s="257">
        <f t="shared" si="42"/>
        <v>664.16438008915839</v>
      </c>
      <c r="G16" s="257">
        <f t="shared" si="42"/>
        <v>144.32058386407488</v>
      </c>
      <c r="H16" s="257">
        <f t="shared" si="42"/>
        <v>2587.4960414735615</v>
      </c>
      <c r="I16" s="257">
        <f t="shared" si="42"/>
        <v>3656.4000588518206</v>
      </c>
      <c r="J16" s="257">
        <f t="shared" si="42"/>
        <v>4050.0719441446131</v>
      </c>
      <c r="K16" s="258"/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N16" t="s">
        <v>4</v>
      </c>
      <c r="AO16" s="109">
        <f>+SUM!C9</f>
        <v>1980863</v>
      </c>
      <c r="AR16" s="255" t="s">
        <v>175</v>
      </c>
      <c r="AS16" s="256">
        <v>-70</v>
      </c>
      <c r="AT16" s="256">
        <v>-60</v>
      </c>
      <c r="AU16" s="256">
        <v>-80</v>
      </c>
      <c r="AV16" s="2" t="s">
        <v>174</v>
      </c>
    </row>
    <row r="17" spans="2:48" ht="15" customHeight="1">
      <c r="B17" s="249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N17" s="2" t="s">
        <v>5</v>
      </c>
      <c r="AO17" s="227">
        <f>+AO15-AO16</f>
        <v>5484647</v>
      </c>
      <c r="AR17" s="255" t="s">
        <v>176</v>
      </c>
      <c r="AS17" s="259">
        <v>-0.35</v>
      </c>
      <c r="AT17" s="259">
        <v>-0.35</v>
      </c>
      <c r="AU17" s="259">
        <v>-0.35</v>
      </c>
      <c r="AV17" s="2"/>
    </row>
    <row r="18" spans="2:48" ht="15" customHeight="1">
      <c r="B18" s="66" t="s">
        <v>181</v>
      </c>
      <c r="C18" s="286">
        <f>(+MOD!D130)*-1</f>
        <v>-82.400999999999996</v>
      </c>
      <c r="D18" s="286">
        <f>(+MOD!J130)*-1</f>
        <v>-114.16200000000001</v>
      </c>
      <c r="E18" s="286">
        <f>(+MOD!P130)*-1</f>
        <v>-125.876</v>
      </c>
      <c r="F18" s="286">
        <f>(+MOD!V130)*-1</f>
        <v>-138.31899999999999</v>
      </c>
      <c r="G18" s="286">
        <f>(+MOD!AB130)*-1</f>
        <v>-81</v>
      </c>
      <c r="H18" s="286">
        <f>(+MOD!AH130)*-1</f>
        <v>-277.48219442710138</v>
      </c>
      <c r="I18" s="286">
        <f>(+MOD!AI130)*-1</f>
        <v>-339.12072971600008</v>
      </c>
      <c r="J18" s="286">
        <f>(+MOD!AJ130)*-1</f>
        <v>-464.49757513502163</v>
      </c>
      <c r="K18" s="298">
        <f t="shared" ref="K18:AJ18" si="43">+K19*-K11</f>
        <v>-220.18751375980005</v>
      </c>
      <c r="L18" s="298">
        <f t="shared" si="43"/>
        <v>-235.6006397229861</v>
      </c>
      <c r="M18" s="298">
        <f t="shared" si="43"/>
        <v>-247.38067170913541</v>
      </c>
      <c r="N18" s="298">
        <f t="shared" si="43"/>
        <v>-259.74970529459222</v>
      </c>
      <c r="O18" s="298">
        <f t="shared" si="43"/>
        <v>-272.73719055932185</v>
      </c>
      <c r="P18" s="298">
        <f t="shared" si="43"/>
        <v>-286.37405008728797</v>
      </c>
      <c r="Q18" s="298">
        <f t="shared" si="43"/>
        <v>-300.69275259165238</v>
      </c>
      <c r="R18" s="298">
        <f t="shared" si="43"/>
        <v>-306.70660764348543</v>
      </c>
      <c r="S18" s="298">
        <f t="shared" si="43"/>
        <v>-312.84073979635514</v>
      </c>
      <c r="T18" s="298">
        <f t="shared" si="43"/>
        <v>-319.09755459228222</v>
      </c>
      <c r="U18" s="298">
        <f t="shared" si="43"/>
        <v>-325.47950568412784</v>
      </c>
      <c r="V18" s="298">
        <f t="shared" si="43"/>
        <v>-331.98909579781042</v>
      </c>
      <c r="W18" s="298">
        <f t="shared" si="43"/>
        <v>-338.62887771376666</v>
      </c>
      <c r="X18" s="298">
        <f t="shared" si="43"/>
        <v>-345.40145526804196</v>
      </c>
      <c r="Y18" s="298">
        <f t="shared" si="43"/>
        <v>-352.30948437340282</v>
      </c>
      <c r="Z18" s="298">
        <f t="shared" si="43"/>
        <v>-359.35567406087091</v>
      </c>
      <c r="AA18" s="298">
        <f t="shared" si="43"/>
        <v>-366.54278754208826</v>
      </c>
      <c r="AB18" s="298">
        <f t="shared" si="43"/>
        <v>-373.87364329293007</v>
      </c>
      <c r="AC18" s="298">
        <f t="shared" si="43"/>
        <v>-381.35111615878867</v>
      </c>
      <c r="AD18" s="298">
        <f t="shared" si="43"/>
        <v>-388.97813848196444</v>
      </c>
      <c r="AE18" s="298">
        <f t="shared" si="43"/>
        <v>-396.75770125160369</v>
      </c>
      <c r="AF18" s="298">
        <f t="shared" si="43"/>
        <v>-404.69285527663578</v>
      </c>
      <c r="AG18" s="298">
        <f t="shared" si="43"/>
        <v>-412.7867123821685</v>
      </c>
      <c r="AH18" s="298">
        <f t="shared" si="43"/>
        <v>-421.04244662981188</v>
      </c>
      <c r="AI18" s="298">
        <f t="shared" si="43"/>
        <v>-429.46329556240806</v>
      </c>
      <c r="AJ18" s="298">
        <f t="shared" si="43"/>
        <v>-438.05256147365628</v>
      </c>
      <c r="AN18" s="2" t="s">
        <v>6</v>
      </c>
      <c r="AO18" s="227">
        <f>+AO14+AO17</f>
        <v>5558894.21</v>
      </c>
      <c r="AR18" s="255" t="s">
        <v>177</v>
      </c>
      <c r="AS18" s="259">
        <v>-0.02</v>
      </c>
      <c r="AT18" s="259">
        <v>-0.02</v>
      </c>
      <c r="AU18" s="259">
        <v>-0.02</v>
      </c>
      <c r="AV18" s="2"/>
    </row>
    <row r="19" spans="2:48" ht="15" customHeight="1">
      <c r="B19" s="249" t="s">
        <v>183</v>
      </c>
      <c r="C19" s="263">
        <f t="shared" ref="C19:J19" si="44">+C18/-C11</f>
        <v>2.2563345687345374E-5</v>
      </c>
      <c r="D19" s="263">
        <f t="shared" si="44"/>
        <v>2.3757819330110325E-5</v>
      </c>
      <c r="E19" s="263">
        <f t="shared" si="44"/>
        <v>3.7261263394707244E-5</v>
      </c>
      <c r="F19" s="263">
        <f t="shared" si="44"/>
        <v>2.3085101056461437E-5</v>
      </c>
      <c r="G19" s="263">
        <f t="shared" si="44"/>
        <v>9.6440052387188956E-6</v>
      </c>
      <c r="H19" s="263">
        <f t="shared" si="44"/>
        <v>3.0876194031454722E-5</v>
      </c>
      <c r="I19" s="263">
        <f t="shared" si="44"/>
        <v>3.5266243468773257E-5</v>
      </c>
      <c r="J19" s="263">
        <f t="shared" si="44"/>
        <v>4.5144467722784514E-5</v>
      </c>
      <c r="K19" s="127">
        <v>2.0000000000000002E-5</v>
      </c>
      <c r="L19" s="127">
        <v>2.0000000000000002E-5</v>
      </c>
      <c r="M19" s="127">
        <v>2.0000000000000002E-5</v>
      </c>
      <c r="N19" s="127">
        <v>2.0000000000000002E-5</v>
      </c>
      <c r="O19" s="127">
        <v>2.0000000000000002E-5</v>
      </c>
      <c r="P19" s="127">
        <v>2.0000000000000002E-5</v>
      </c>
      <c r="Q19" s="127">
        <v>2.0000000000000002E-5</v>
      </c>
      <c r="R19" s="127">
        <v>2.0000000000000002E-5</v>
      </c>
      <c r="S19" s="127">
        <v>2.0000000000000002E-5</v>
      </c>
      <c r="T19" s="127">
        <v>2.0000000000000002E-5</v>
      </c>
      <c r="U19" s="127">
        <v>2.0000000000000002E-5</v>
      </c>
      <c r="V19" s="127">
        <v>2.0000000000000002E-5</v>
      </c>
      <c r="W19" s="127">
        <v>2.0000000000000002E-5</v>
      </c>
      <c r="X19" s="127">
        <v>2.0000000000000002E-5</v>
      </c>
      <c r="Y19" s="127">
        <v>2.0000000000000002E-5</v>
      </c>
      <c r="Z19" s="127">
        <v>2.0000000000000002E-5</v>
      </c>
      <c r="AA19" s="127">
        <v>2.0000000000000002E-5</v>
      </c>
      <c r="AB19" s="127">
        <v>2.0000000000000002E-5</v>
      </c>
      <c r="AC19" s="127">
        <v>2.0000000000000002E-5</v>
      </c>
      <c r="AD19" s="127">
        <v>2.0000000000000002E-5</v>
      </c>
      <c r="AE19" s="127">
        <v>2.0000000000000002E-5</v>
      </c>
      <c r="AF19" s="127">
        <v>2.0000000000000002E-5</v>
      </c>
      <c r="AG19" s="127">
        <v>2.0000000000000002E-5</v>
      </c>
      <c r="AH19" s="127">
        <v>2.0000000000000002E-5</v>
      </c>
      <c r="AI19" s="127">
        <v>2.0000000000000002E-5</v>
      </c>
      <c r="AJ19" s="127">
        <v>2.0000000000000002E-5</v>
      </c>
      <c r="AN19" s="2"/>
      <c r="AO19" s="186"/>
    </row>
    <row r="20" spans="2:48" ht="15" customHeight="1" thickBot="1">
      <c r="B20" s="249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N20" s="239" t="s">
        <v>178</v>
      </c>
      <c r="AO20" s="111"/>
      <c r="AR20" s="251" t="s">
        <v>168</v>
      </c>
      <c r="AS20" s="63" t="s">
        <v>179</v>
      </c>
      <c r="AT20" s="63"/>
      <c r="AU20" s="63"/>
    </row>
    <row r="21" spans="2:48" ht="15" customHeight="1" thickBot="1">
      <c r="B21" s="246" t="s">
        <v>207</v>
      </c>
      <c r="C21" s="286">
        <f>MOD!D123</f>
        <v>18744</v>
      </c>
      <c r="D21" s="286">
        <f>MOD!J123</f>
        <v>-501543</v>
      </c>
      <c r="E21" s="286">
        <f>MOD!P123</f>
        <v>-3438791</v>
      </c>
      <c r="F21" s="286">
        <f>MOD!V123</f>
        <v>542106</v>
      </c>
      <c r="G21" s="286">
        <f>MOD!AB123</f>
        <v>1891000</v>
      </c>
      <c r="H21" s="287">
        <f t="shared" ref="H21:AJ21" si="45">+(H11-G11)*H24+G21</f>
        <v>2037982.5</v>
      </c>
      <c r="I21" s="287">
        <f t="shared" si="45"/>
        <v>2195253.7750000004</v>
      </c>
      <c r="J21" s="287">
        <f t="shared" si="45"/>
        <v>2363534.0392500004</v>
      </c>
      <c r="K21" s="287">
        <f t="shared" si="45"/>
        <v>2543593.9219975006</v>
      </c>
      <c r="L21" s="287">
        <f t="shared" si="45"/>
        <v>2736257.9965373259</v>
      </c>
      <c r="M21" s="287">
        <f t="shared" si="45"/>
        <v>2883508.3963641925</v>
      </c>
      <c r="N21" s="287">
        <f t="shared" si="45"/>
        <v>3038121.3161824024</v>
      </c>
      <c r="O21" s="287">
        <f t="shared" si="45"/>
        <v>3200464.8819915229</v>
      </c>
      <c r="P21" s="287">
        <f t="shared" si="45"/>
        <v>3370925.6260910993</v>
      </c>
      <c r="Q21" s="287">
        <f t="shared" si="45"/>
        <v>3549909.4073956544</v>
      </c>
      <c r="R21" s="287">
        <f t="shared" si="45"/>
        <v>3625082.5955435676</v>
      </c>
      <c r="S21" s="287">
        <f t="shared" si="45"/>
        <v>3701759.2474544388</v>
      </c>
      <c r="T21" s="287">
        <f t="shared" si="45"/>
        <v>3779969.4324035277</v>
      </c>
      <c r="U21" s="287">
        <f t="shared" si="45"/>
        <v>3859743.8210515981</v>
      </c>
      <c r="V21" s="287">
        <f t="shared" si="45"/>
        <v>3941113.6974726301</v>
      </c>
      <c r="W21" s="287">
        <f t="shared" si="45"/>
        <v>4024110.9714220827</v>
      </c>
      <c r="X21" s="287">
        <f t="shared" si="45"/>
        <v>4108768.1908505242</v>
      </c>
      <c r="Y21" s="287">
        <f t="shared" si="45"/>
        <v>4195118.5546675352</v>
      </c>
      <c r="Z21" s="287">
        <f t="shared" si="45"/>
        <v>4283195.9257608857</v>
      </c>
      <c r="AA21" s="287">
        <f t="shared" si="45"/>
        <v>4373034.8442761032</v>
      </c>
      <c r="AB21" s="287">
        <f t="shared" si="45"/>
        <v>4464670.5411616256</v>
      </c>
      <c r="AC21" s="287">
        <f t="shared" si="45"/>
        <v>4558138.9519848581</v>
      </c>
      <c r="AD21" s="287">
        <f t="shared" si="45"/>
        <v>4653476.7310245549</v>
      </c>
      <c r="AE21" s="287">
        <f t="shared" si="45"/>
        <v>4750721.2656450458</v>
      </c>
      <c r="AF21" s="287">
        <f t="shared" si="45"/>
        <v>4849910.6909579467</v>
      </c>
      <c r="AG21" s="287">
        <f t="shared" si="45"/>
        <v>4951083.9047771059</v>
      </c>
      <c r="AH21" s="287">
        <f t="shared" si="45"/>
        <v>5054280.5828726478</v>
      </c>
      <c r="AI21" s="287">
        <f t="shared" si="45"/>
        <v>5159541.1945301006</v>
      </c>
      <c r="AJ21" s="287">
        <f t="shared" si="45"/>
        <v>5266907.0184207028</v>
      </c>
      <c r="AN21" t="s">
        <v>180</v>
      </c>
      <c r="AO21" s="261">
        <v>0.08</v>
      </c>
      <c r="AR21" s="253">
        <v>2</v>
      </c>
      <c r="AS21" s="91" t="s">
        <v>170</v>
      </c>
      <c r="AT21" s="91" t="s">
        <v>171</v>
      </c>
      <c r="AU21" s="91" t="s">
        <v>172</v>
      </c>
    </row>
    <row r="22" spans="2:48" ht="15" customHeight="1">
      <c r="B22" s="249" t="s">
        <v>15</v>
      </c>
      <c r="C22" s="202">
        <f t="shared" ref="C22:AJ22" si="46">+IFERROR(C21/C11,"n.a.")</f>
        <v>5.1325512016067972E-3</v>
      </c>
      <c r="D22" s="202">
        <f t="shared" si="46"/>
        <v>-0.1043742049042722</v>
      </c>
      <c r="E22" s="289">
        <f t="shared" si="46"/>
        <v>-1.0179358830146232</v>
      </c>
      <c r="F22" s="289">
        <f t="shared" si="46"/>
        <v>9.0476158686182556E-2</v>
      </c>
      <c r="G22" s="294">
        <f t="shared" si="46"/>
        <v>0.2251458506965115</v>
      </c>
      <c r="H22" s="202">
        <f t="shared" si="46"/>
        <v>0.22677182308085186</v>
      </c>
      <c r="I22" s="202">
        <f t="shared" si="46"/>
        <v>0.22829142344004846</v>
      </c>
      <c r="J22" s="202">
        <f t="shared" si="46"/>
        <v>0.22971161069163409</v>
      </c>
      <c r="K22" s="202">
        <f t="shared" si="46"/>
        <v>0.23103888849685428</v>
      </c>
      <c r="L22" s="202">
        <f t="shared" si="46"/>
        <v>0.23227933504378906</v>
      </c>
      <c r="M22" s="202">
        <f t="shared" si="46"/>
        <v>0.23312317623218004</v>
      </c>
      <c r="N22" s="202">
        <f t="shared" si="46"/>
        <v>0.23392683450683815</v>
      </c>
      <c r="O22" s="202">
        <f t="shared" si="46"/>
        <v>0.23469222333984585</v>
      </c>
      <c r="P22" s="202">
        <f t="shared" si="46"/>
        <v>0.23542116508556749</v>
      </c>
      <c r="Q22" s="202">
        <f t="shared" si="46"/>
        <v>0.23611539531958808</v>
      </c>
      <c r="R22" s="202">
        <f t="shared" si="46"/>
        <v>0.2363876424701844</v>
      </c>
      <c r="S22" s="202">
        <f t="shared" si="46"/>
        <v>0.23665455144135725</v>
      </c>
      <c r="T22" s="202">
        <f t="shared" si="46"/>
        <v>0.23691622690329142</v>
      </c>
      <c r="U22" s="202">
        <f t="shared" si="46"/>
        <v>0.2371727714738151</v>
      </c>
      <c r="V22" s="202">
        <f t="shared" si="46"/>
        <v>0.23742428575864227</v>
      </c>
      <c r="W22" s="202">
        <f t="shared" si="46"/>
        <v>0.23767086839082577</v>
      </c>
      <c r="X22" s="202">
        <f t="shared" si="46"/>
        <v>0.23791261606943701</v>
      </c>
      <c r="Y22" s="202">
        <f t="shared" si="46"/>
        <v>0.23814962359748726</v>
      </c>
      <c r="Z22" s="202">
        <f t="shared" si="46"/>
        <v>0.23838198391910517</v>
      </c>
      <c r="AA22" s="202">
        <f t="shared" si="46"/>
        <v>0.23860978815598546</v>
      </c>
      <c r="AB22" s="202">
        <f t="shared" si="46"/>
        <v>0.23883312564312301</v>
      </c>
      <c r="AC22" s="202">
        <f t="shared" si="46"/>
        <v>0.23905208396384608</v>
      </c>
      <c r="AD22" s="202">
        <f t="shared" si="46"/>
        <v>0.23926674898416281</v>
      </c>
      <c r="AE22" s="202">
        <f t="shared" si="46"/>
        <v>0.23947720488643415</v>
      </c>
      <c r="AF22" s="202">
        <f t="shared" si="46"/>
        <v>0.23968353420238642</v>
      </c>
      <c r="AG22" s="202">
        <f t="shared" si="46"/>
        <v>0.23988581784547688</v>
      </c>
      <c r="AH22" s="202">
        <f t="shared" si="46"/>
        <v>0.24008413514262439</v>
      </c>
      <c r="AI22" s="202">
        <f t="shared" si="46"/>
        <v>0.24027856386531801</v>
      </c>
      <c r="AJ22" s="202">
        <f t="shared" si="46"/>
        <v>0.24046918026011571</v>
      </c>
      <c r="AR22" s="255" t="s">
        <v>182</v>
      </c>
      <c r="AS22" s="262">
        <v>7.0000000000000007E-2</v>
      </c>
      <c r="AT22" s="262">
        <v>0.04</v>
      </c>
      <c r="AU22" s="262">
        <v>0.1</v>
      </c>
      <c r="AV22" s="2" t="s">
        <v>14</v>
      </c>
    </row>
    <row r="23" spans="2:48" ht="15" customHeight="1">
      <c r="B23" s="265" t="s">
        <v>174</v>
      </c>
      <c r="C23" s="139" t="str">
        <f>+IFERROR((C22-#REF!)*10000,"n.a.")</f>
        <v>n.a.</v>
      </c>
      <c r="D23" s="139">
        <f t="shared" ref="D23:E23" si="47">+IFERROR((D22-C22)*10000,"n.a.")</f>
        <v>-1095.06756105879</v>
      </c>
      <c r="E23" s="290">
        <f t="shared" si="47"/>
        <v>-9135.6167811035102</v>
      </c>
      <c r="F23" s="290">
        <f>+IFERROR((F22-E22)*10000,"n.a.")</f>
        <v>11084.120417008058</v>
      </c>
      <c r="G23" s="295">
        <f>+IFERROR((G22-F22)*10000,"n.a.")</f>
        <v>1346.6969201032894</v>
      </c>
      <c r="H23" s="139">
        <f t="shared" ref="H23" si="48">+IFERROR((H22-G22)*10000,"n.a.")</f>
        <v>16.259723843403684</v>
      </c>
      <c r="I23" s="139">
        <f t="shared" ref="I23" si="49">+IFERROR((I22-H22)*10000,"n.a.")</f>
        <v>15.19600359196599</v>
      </c>
      <c r="J23" s="139">
        <f t="shared" ref="J23" si="50">+IFERROR((J22-I22)*10000,"n.a.")</f>
        <v>14.201872515856307</v>
      </c>
      <c r="K23" s="139">
        <f t="shared" ref="K23" si="51">+IFERROR((K22-J22)*10000,"n.a.")</f>
        <v>13.27277805220184</v>
      </c>
      <c r="L23" s="139">
        <f t="shared" ref="L23" si="52">+IFERROR((L22-K22)*10000,"n.a.")</f>
        <v>12.404465469347814</v>
      </c>
      <c r="M23" s="139">
        <f t="shared" ref="M23" si="53">+IFERROR((M22-L22)*10000,"n.a.")</f>
        <v>8.4384118839098132</v>
      </c>
      <c r="N23" s="139">
        <f t="shared" ref="N23" si="54">+IFERROR((N22-M22)*10000,"n.a.")</f>
        <v>8.0365827465811446</v>
      </c>
      <c r="O23" s="139">
        <f t="shared" ref="O23" si="55">+IFERROR((O22-N22)*10000,"n.a.")</f>
        <v>7.6538883300769633</v>
      </c>
      <c r="P23" s="139">
        <f t="shared" ref="P23" si="56">+IFERROR((P22-O22)*10000,"n.a.")</f>
        <v>7.2894174572163406</v>
      </c>
      <c r="Q23" s="139">
        <f t="shared" ref="Q23" si="57">+IFERROR((Q22-P22)*10000,"n.a.")</f>
        <v>6.9423023402059858</v>
      </c>
      <c r="R23" s="139">
        <f t="shared" ref="R23" si="58">+IFERROR((R22-Q22)*10000,"n.a.")</f>
        <v>2.7224715059631643</v>
      </c>
      <c r="S23" s="139">
        <f t="shared" ref="S23" si="59">+IFERROR((S22-R22)*10000,"n.a.")</f>
        <v>2.6690897117284673</v>
      </c>
      <c r="T23" s="139">
        <f t="shared" ref="T23" si="60">+IFERROR((T22-S22)*10000,"n.a.")</f>
        <v>2.6167546193417435</v>
      </c>
      <c r="U23" s="139">
        <f t="shared" ref="U23" si="61">+IFERROR((U22-T22)*10000,"n.a.")</f>
        <v>2.5654457052368129</v>
      </c>
      <c r="V23" s="139">
        <f t="shared" ref="V23" si="62">+IFERROR((V22-U22)*10000,"n.a.")</f>
        <v>2.5151428482717009</v>
      </c>
      <c r="W23" s="139">
        <f t="shared" ref="W23" si="63">+IFERROR((W22-V22)*10000,"n.a.")</f>
        <v>2.4658263218349519</v>
      </c>
      <c r="X23" s="139">
        <f t="shared" ref="X23" si="64">+IFERROR((X22-W22)*10000,"n.a.")</f>
        <v>2.4174767861123714</v>
      </c>
      <c r="Y23" s="139">
        <f t="shared" ref="Y23" si="65">+IFERROR((Y22-X22)*10000,"n.a.")</f>
        <v>2.3700752805025371</v>
      </c>
      <c r="Z23" s="139">
        <f t="shared" ref="Z23" si="66">+IFERROR((Z22-Y22)*10000,"n.a.")</f>
        <v>2.3236032161791376</v>
      </c>
      <c r="AA23" s="139">
        <f t="shared" ref="AA23" si="67">+IFERROR((AA22-Z22)*10000,"n.a.")</f>
        <v>2.2780423688029128</v>
      </c>
      <c r="AB23" s="139">
        <f t="shared" ref="AB23" si="68">+IFERROR((AB22-AA22)*10000,"n.a.")</f>
        <v>2.2333748713754265</v>
      </c>
      <c r="AC23" s="139">
        <f t="shared" ref="AC23" si="69">+IFERROR((AC22-AB22)*10000,"n.a.")</f>
        <v>2.189583207230783</v>
      </c>
      <c r="AD23" s="139">
        <f t="shared" ref="AD23" si="70">+IFERROR((AD22-AC22)*10000,"n.a.")</f>
        <v>2.146650203167233</v>
      </c>
      <c r="AE23" s="139">
        <f t="shared" ref="AE23" si="71">+IFERROR((AE22-AD22)*10000,"n.a.")</f>
        <v>2.1045590227133926</v>
      </c>
      <c r="AF23" s="139">
        <f t="shared" ref="AF23" si="72">+IFERROR((AF22-AE22)*10000,"n.a.")</f>
        <v>2.0632931595226944</v>
      </c>
      <c r="AG23" s="139">
        <f t="shared" ref="AG23" si="73">+IFERROR((AG22-AF22)*10000,"n.a.")</f>
        <v>2.0228364309046731</v>
      </c>
      <c r="AH23" s="139">
        <f t="shared" ref="AH23" si="74">+IFERROR((AH22-AG22)*10000,"n.a.")</f>
        <v>1.9831729714750446</v>
      </c>
      <c r="AI23" s="139">
        <f t="shared" ref="AI23" si="75">+IFERROR((AI22-AH22)*10000,"n.a.")</f>
        <v>1.9442872269362366</v>
      </c>
      <c r="AJ23" s="139">
        <f t="shared" ref="AJ23" si="76">+IFERROR((AJ22-AI22)*10000,"n.a.")</f>
        <v>1.906163947976991</v>
      </c>
      <c r="AN23" s="239" t="s">
        <v>184</v>
      </c>
      <c r="AO23" s="111"/>
      <c r="AR23" s="255"/>
      <c r="AS23" s="262"/>
      <c r="AT23" s="262"/>
      <c r="AU23" s="262"/>
      <c r="AV23" s="2"/>
    </row>
    <row r="24" spans="2:48" ht="15" customHeight="1">
      <c r="B24" s="255" t="s">
        <v>82</v>
      </c>
      <c r="C24" s="32"/>
      <c r="D24" s="133">
        <f t="shared" ref="D24:G24" si="77">+IFERROR((D21-C21)/(D11-C11),"n.a.")</f>
        <v>-0.45114692860375943</v>
      </c>
      <c r="E24" s="229">
        <f t="shared" si="77"/>
        <v>2.0582815185849861</v>
      </c>
      <c r="F24" s="229">
        <f t="shared" si="77"/>
        <v>1.5232052802754927</v>
      </c>
      <c r="G24" s="232">
        <f t="shared" si="77"/>
        <v>0.56033481493789727</v>
      </c>
      <c r="H24" s="250">
        <v>0.25</v>
      </c>
      <c r="I24" s="250">
        <v>0.25</v>
      </c>
      <c r="J24" s="250">
        <v>0.25</v>
      </c>
      <c r="K24" s="250">
        <v>0.25</v>
      </c>
      <c r="L24" s="250">
        <v>0.25</v>
      </c>
      <c r="M24" s="250">
        <v>0.25</v>
      </c>
      <c r="N24" s="250">
        <v>0.25</v>
      </c>
      <c r="O24" s="250">
        <v>0.25</v>
      </c>
      <c r="P24" s="250">
        <v>0.25</v>
      </c>
      <c r="Q24" s="250">
        <v>0.25</v>
      </c>
      <c r="R24" s="250">
        <v>0.25</v>
      </c>
      <c r="S24" s="250">
        <v>0.25</v>
      </c>
      <c r="T24" s="250">
        <v>0.25</v>
      </c>
      <c r="U24" s="250">
        <v>0.25</v>
      </c>
      <c r="V24" s="250">
        <v>0.25</v>
      </c>
      <c r="W24" s="250">
        <v>0.25</v>
      </c>
      <c r="X24" s="250">
        <v>0.25</v>
      </c>
      <c r="Y24" s="250">
        <v>0.25</v>
      </c>
      <c r="Z24" s="250">
        <v>0.25</v>
      </c>
      <c r="AA24" s="250">
        <v>0.25</v>
      </c>
      <c r="AB24" s="250">
        <v>0.25</v>
      </c>
      <c r="AC24" s="250">
        <v>0.25</v>
      </c>
      <c r="AD24" s="250">
        <v>0.25</v>
      </c>
      <c r="AE24" s="250">
        <v>0.25</v>
      </c>
      <c r="AF24" s="250">
        <v>0.25</v>
      </c>
      <c r="AG24" s="250">
        <v>0.25</v>
      </c>
      <c r="AH24" s="250">
        <v>0.25</v>
      </c>
      <c r="AI24" s="250">
        <v>0.25</v>
      </c>
      <c r="AJ24" s="250">
        <v>0.25</v>
      </c>
      <c r="AN24" t="s">
        <v>185</v>
      </c>
      <c r="AO24" s="264">
        <f>+SUM(F54:AJ54)</f>
        <v>37958013.401222244</v>
      </c>
      <c r="AR24" s="255" t="s">
        <v>176</v>
      </c>
      <c r="AS24" s="259">
        <v>-0.1</v>
      </c>
      <c r="AT24" s="259">
        <v>-0.1</v>
      </c>
      <c r="AU24" s="259">
        <v>-0.1</v>
      </c>
      <c r="AV24" s="2"/>
    </row>
    <row r="25" spans="2:48" ht="15" customHeight="1">
      <c r="B25" s="66"/>
      <c r="C25" s="260"/>
      <c r="D25" s="260"/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N25" s="10" t="s">
        <v>186</v>
      </c>
      <c r="AO25" s="264">
        <f>+AL58</f>
        <v>4662050.0646356894</v>
      </c>
      <c r="AR25" s="255" t="s">
        <v>177</v>
      </c>
      <c r="AS25" s="259">
        <v>-0.02</v>
      </c>
      <c r="AT25" s="259">
        <v>-0.02</v>
      </c>
      <c r="AU25" s="259">
        <v>-0.02</v>
      </c>
      <c r="AV25" s="2"/>
    </row>
    <row r="26" spans="2:48" ht="15" customHeight="1">
      <c r="B26" s="66" t="s">
        <v>191</v>
      </c>
      <c r="C26" s="286">
        <f>+MOD!D142</f>
        <v>40650</v>
      </c>
      <c r="D26" s="286">
        <f>+MOD!J142</f>
        <v>75934</v>
      </c>
      <c r="E26" s="286">
        <f>+MOD!P142</f>
        <v>-144511</v>
      </c>
      <c r="F26" s="286">
        <f>+MOD!V142</f>
        <v>-424899</v>
      </c>
      <c r="G26" s="286">
        <f>+MOD!AB142</f>
        <v>162000</v>
      </c>
      <c r="H26" s="286">
        <f>+MOD!AH142</f>
        <v>-24000</v>
      </c>
      <c r="I26" s="286">
        <f>+MOD!AI142</f>
        <v>-24000</v>
      </c>
      <c r="J26" s="286">
        <f>+MOD!AJ142</f>
        <v>-24000</v>
      </c>
      <c r="K26" s="293">
        <v>0</v>
      </c>
      <c r="L26" s="293">
        <v>0</v>
      </c>
      <c r="M26" s="293">
        <v>0</v>
      </c>
      <c r="N26" s="293">
        <v>0</v>
      </c>
      <c r="O26" s="293">
        <v>0</v>
      </c>
      <c r="P26" s="293">
        <v>0</v>
      </c>
      <c r="Q26" s="293">
        <v>0</v>
      </c>
      <c r="R26" s="293">
        <v>0</v>
      </c>
      <c r="S26" s="293">
        <v>0</v>
      </c>
      <c r="T26" s="293">
        <v>0</v>
      </c>
      <c r="U26" s="293">
        <v>0</v>
      </c>
      <c r="V26" s="293">
        <v>0</v>
      </c>
      <c r="W26" s="293">
        <v>0</v>
      </c>
      <c r="X26" s="293">
        <v>0</v>
      </c>
      <c r="Y26" s="293">
        <v>0</v>
      </c>
      <c r="Z26" s="293">
        <v>0</v>
      </c>
      <c r="AA26" s="293">
        <v>0</v>
      </c>
      <c r="AB26" s="293">
        <v>0</v>
      </c>
      <c r="AC26" s="293">
        <v>0</v>
      </c>
      <c r="AD26" s="293">
        <v>0</v>
      </c>
      <c r="AE26" s="293">
        <v>0</v>
      </c>
      <c r="AF26" s="293">
        <v>0</v>
      </c>
      <c r="AG26" s="293">
        <v>0</v>
      </c>
      <c r="AH26" s="293">
        <v>0</v>
      </c>
      <c r="AI26" s="293">
        <v>0</v>
      </c>
      <c r="AJ26" s="293">
        <v>0</v>
      </c>
      <c r="AN26" s="246" t="s">
        <v>187</v>
      </c>
      <c r="AO26" s="172">
        <f>+AO24+AO25</f>
        <v>42620063.46585793</v>
      </c>
      <c r="AR26" s="252"/>
      <c r="AS26" s="252"/>
      <c r="AT26" s="252"/>
      <c r="AU26" s="252"/>
      <c r="AV26" s="252"/>
    </row>
    <row r="27" spans="2:48" ht="15" customHeight="1" thickBot="1">
      <c r="B27" s="246" t="s">
        <v>76</v>
      </c>
      <c r="C27" s="268">
        <f t="shared" ref="C27:AJ27" si="78">+C21+C26</f>
        <v>59394</v>
      </c>
      <c r="D27" s="268">
        <f t="shared" si="78"/>
        <v>-425609</v>
      </c>
      <c r="E27" s="268">
        <f t="shared" si="78"/>
        <v>-3583302</v>
      </c>
      <c r="F27" s="268">
        <f t="shared" si="78"/>
        <v>117207</v>
      </c>
      <c r="G27" s="268">
        <f t="shared" si="78"/>
        <v>2053000</v>
      </c>
      <c r="H27" s="268">
        <f t="shared" si="78"/>
        <v>2013982.5</v>
      </c>
      <c r="I27" s="268">
        <f t="shared" si="78"/>
        <v>2171253.7750000004</v>
      </c>
      <c r="J27" s="268">
        <f t="shared" si="78"/>
        <v>2339534.0392500004</v>
      </c>
      <c r="K27" s="268">
        <f t="shared" si="78"/>
        <v>2543593.9219975006</v>
      </c>
      <c r="L27" s="268">
        <f t="shared" si="78"/>
        <v>2736257.9965373259</v>
      </c>
      <c r="M27" s="268">
        <f t="shared" si="78"/>
        <v>2883508.3963641925</v>
      </c>
      <c r="N27" s="268">
        <f t="shared" si="78"/>
        <v>3038121.3161824024</v>
      </c>
      <c r="O27" s="268">
        <f t="shared" si="78"/>
        <v>3200464.8819915229</v>
      </c>
      <c r="P27" s="268">
        <f t="shared" si="78"/>
        <v>3370925.6260910993</v>
      </c>
      <c r="Q27" s="268">
        <f t="shared" si="78"/>
        <v>3549909.4073956544</v>
      </c>
      <c r="R27" s="268">
        <f t="shared" si="78"/>
        <v>3625082.5955435676</v>
      </c>
      <c r="S27" s="268">
        <f t="shared" si="78"/>
        <v>3701759.2474544388</v>
      </c>
      <c r="T27" s="268">
        <f t="shared" si="78"/>
        <v>3779969.4324035277</v>
      </c>
      <c r="U27" s="268">
        <f t="shared" si="78"/>
        <v>3859743.8210515981</v>
      </c>
      <c r="V27" s="268">
        <f t="shared" si="78"/>
        <v>3941113.6974726301</v>
      </c>
      <c r="W27" s="268">
        <f t="shared" si="78"/>
        <v>4024110.9714220827</v>
      </c>
      <c r="X27" s="268">
        <f t="shared" si="78"/>
        <v>4108768.1908505242</v>
      </c>
      <c r="Y27" s="268">
        <f t="shared" si="78"/>
        <v>4195118.5546675352</v>
      </c>
      <c r="Z27" s="268">
        <f t="shared" si="78"/>
        <v>4283195.9257608857</v>
      </c>
      <c r="AA27" s="268">
        <f t="shared" si="78"/>
        <v>4373034.8442761032</v>
      </c>
      <c r="AB27" s="268">
        <f t="shared" si="78"/>
        <v>4464670.5411616256</v>
      </c>
      <c r="AC27" s="268">
        <f t="shared" si="78"/>
        <v>4558138.9519848581</v>
      </c>
      <c r="AD27" s="268">
        <f t="shared" si="78"/>
        <v>4653476.7310245549</v>
      </c>
      <c r="AE27" s="268">
        <f t="shared" si="78"/>
        <v>4750721.2656450458</v>
      </c>
      <c r="AF27" s="268">
        <f t="shared" si="78"/>
        <v>4849910.6909579467</v>
      </c>
      <c r="AG27" s="268">
        <f t="shared" si="78"/>
        <v>4951083.9047771059</v>
      </c>
      <c r="AH27" s="268">
        <f t="shared" si="78"/>
        <v>5054280.5828726478</v>
      </c>
      <c r="AI27" s="268">
        <f t="shared" si="78"/>
        <v>5159541.1945301006</v>
      </c>
      <c r="AJ27" s="268">
        <f t="shared" si="78"/>
        <v>5266907.0184207028</v>
      </c>
      <c r="AN27" s="10" t="s">
        <v>188</v>
      </c>
      <c r="AO27" s="183">
        <f>+AO17</f>
        <v>5484647</v>
      </c>
      <c r="AR27" s="251" t="s">
        <v>168</v>
      </c>
      <c r="AS27" s="63" t="s">
        <v>189</v>
      </c>
      <c r="AT27" s="63"/>
      <c r="AU27" s="63"/>
    </row>
    <row r="28" spans="2:48" s="2" customFormat="1" ht="15" customHeight="1" thickBot="1">
      <c r="B28" s="66"/>
      <c r="C28" s="260"/>
      <c r="D28" s="260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52"/>
      <c r="AE28" s="252"/>
      <c r="AF28" s="252"/>
      <c r="AG28" s="252"/>
      <c r="AH28" s="252"/>
      <c r="AI28" s="252"/>
      <c r="AJ28" s="252"/>
      <c r="AN28" s="2" t="s">
        <v>190</v>
      </c>
      <c r="AO28" s="172">
        <f>+AO26-AO27</f>
        <v>37135416.46585793</v>
      </c>
      <c r="AR28" s="253">
        <v>2</v>
      </c>
      <c r="AS28" s="91" t="s">
        <v>170</v>
      </c>
      <c r="AT28" s="91" t="s">
        <v>171</v>
      </c>
      <c r="AU28" s="91" t="s">
        <v>172</v>
      </c>
    </row>
    <row r="29" spans="2:48" ht="15" customHeight="1" thickBot="1">
      <c r="B29" s="66" t="s">
        <v>194</v>
      </c>
      <c r="C29" s="94">
        <f>+MOD!D147</f>
        <v>1.0757483920934774</v>
      </c>
      <c r="D29" s="94">
        <f>+MOD!J147</f>
        <v>-0.6170828154479816</v>
      </c>
      <c r="E29" s="94">
        <f>+MOD!P147</f>
        <v>2.7070004147013008E-2</v>
      </c>
      <c r="F29" s="94">
        <f>+MOD!V147</f>
        <v>0.44365950839113705</v>
      </c>
      <c r="G29" s="94">
        <f>+MOD!AB147</f>
        <v>4.6760837798343884E-2</v>
      </c>
      <c r="H29" s="94">
        <f>+MOD!AH147</f>
        <v>4.6760837798343884E-2</v>
      </c>
      <c r="I29" s="94">
        <f>+MOD!AI147</f>
        <v>4.6760837798343884E-2</v>
      </c>
      <c r="J29" s="94">
        <f>+MOD!AJ147</f>
        <v>4.6760837798343884E-2</v>
      </c>
      <c r="K29" s="94">
        <f>+MOD!AK147</f>
        <v>4.6760837798343884E-2</v>
      </c>
      <c r="L29" s="94">
        <f>+MOD!AL147</f>
        <v>4.6760837798343884E-2</v>
      </c>
      <c r="M29" s="94">
        <v>4.7E-2</v>
      </c>
      <c r="N29" s="94">
        <v>4.7E-2</v>
      </c>
      <c r="O29" s="94">
        <v>4.7E-2</v>
      </c>
      <c r="P29" s="94">
        <v>4.7E-2</v>
      </c>
      <c r="Q29" s="94">
        <v>4.7E-2</v>
      </c>
      <c r="R29" s="94">
        <v>4.7E-2</v>
      </c>
      <c r="S29" s="94">
        <v>4.7E-2</v>
      </c>
      <c r="T29" s="94">
        <v>4.7E-2</v>
      </c>
      <c r="U29" s="94">
        <v>4.7E-2</v>
      </c>
      <c r="V29" s="94">
        <v>4.7E-2</v>
      </c>
      <c r="W29" s="94">
        <v>4.7E-2</v>
      </c>
      <c r="X29" s="94">
        <v>4.7E-2</v>
      </c>
      <c r="Y29" s="94">
        <v>4.7E-2</v>
      </c>
      <c r="Z29" s="94">
        <v>4.7E-2</v>
      </c>
      <c r="AA29" s="94">
        <v>4.7E-2</v>
      </c>
      <c r="AB29" s="94">
        <v>4.7E-2</v>
      </c>
      <c r="AC29" s="94">
        <v>4.7E-2</v>
      </c>
      <c r="AD29" s="94">
        <v>4.7E-2</v>
      </c>
      <c r="AE29" s="94">
        <v>4.7E-2</v>
      </c>
      <c r="AF29" s="94">
        <v>4.7E-2</v>
      </c>
      <c r="AG29" s="94">
        <v>4.7E-2</v>
      </c>
      <c r="AH29" s="94">
        <v>4.7E-2</v>
      </c>
      <c r="AI29" s="94">
        <v>4.7E-2</v>
      </c>
      <c r="AJ29" s="94">
        <v>4.7E-2</v>
      </c>
      <c r="AN29" s="10"/>
      <c r="AO29" s="183"/>
      <c r="AR29" s="255" t="s">
        <v>182</v>
      </c>
      <c r="AS29" s="262">
        <v>2.5000000000000001E-2</v>
      </c>
      <c r="AT29" s="262">
        <v>1.4999999999999999E-2</v>
      </c>
      <c r="AU29" s="262">
        <v>0.04</v>
      </c>
      <c r="AV29" s="2" t="s">
        <v>14</v>
      </c>
    </row>
    <row r="30" spans="2:48" ht="15" customHeight="1" thickBot="1">
      <c r="B30" s="246" t="s">
        <v>208</v>
      </c>
      <c r="C30" s="219">
        <f t="shared" ref="C30:AJ30" si="79">+IFERROR(C27*-C29,"n.a.")</f>
        <v>-63892.999999999993</v>
      </c>
      <c r="D30" s="219">
        <f t="shared" si="79"/>
        <v>-262636</v>
      </c>
      <c r="E30" s="219">
        <f t="shared" si="79"/>
        <v>97000</v>
      </c>
      <c r="F30" s="219">
        <f t="shared" si="79"/>
        <v>-52000</v>
      </c>
      <c r="G30" s="219">
        <f t="shared" si="79"/>
        <v>-96000</v>
      </c>
      <c r="H30" s="219">
        <f t="shared" si="79"/>
        <v>-94175.509011203118</v>
      </c>
      <c r="I30" s="219">
        <f t="shared" si="79"/>
        <v>-101529.64559181686</v>
      </c>
      <c r="J30" s="219">
        <f t="shared" si="79"/>
        <v>-109398.57173307356</v>
      </c>
      <c r="K30" s="219">
        <f t="shared" si="79"/>
        <v>-118940.5828113785</v>
      </c>
      <c r="L30" s="219">
        <f t="shared" si="79"/>
        <v>-127949.71635050329</v>
      </c>
      <c r="M30" s="219">
        <f t="shared" si="79"/>
        <v>-135524.89462911704</v>
      </c>
      <c r="N30" s="219">
        <f t="shared" si="79"/>
        <v>-142791.70186057291</v>
      </c>
      <c r="O30" s="219">
        <f t="shared" si="79"/>
        <v>-150421.84945360158</v>
      </c>
      <c r="P30" s="219">
        <f t="shared" si="79"/>
        <v>-158433.50442628167</v>
      </c>
      <c r="Q30" s="219">
        <f t="shared" si="79"/>
        <v>-166845.74214759577</v>
      </c>
      <c r="R30" s="219">
        <f t="shared" si="79"/>
        <v>-170378.88199054767</v>
      </c>
      <c r="S30" s="219">
        <f t="shared" si="79"/>
        <v>-173982.68463035862</v>
      </c>
      <c r="T30" s="219">
        <f t="shared" si="79"/>
        <v>-177658.56332296581</v>
      </c>
      <c r="U30" s="219">
        <f t="shared" si="79"/>
        <v>-181407.9595894251</v>
      </c>
      <c r="V30" s="219">
        <f t="shared" si="79"/>
        <v>-185232.34378121363</v>
      </c>
      <c r="W30" s="219">
        <f t="shared" si="79"/>
        <v>-189133.21565683789</v>
      </c>
      <c r="X30" s="219">
        <f t="shared" si="79"/>
        <v>-193112.10496997464</v>
      </c>
      <c r="Y30" s="219">
        <f t="shared" si="79"/>
        <v>-197170.57206937415</v>
      </c>
      <c r="Z30" s="219">
        <f t="shared" si="79"/>
        <v>-201310.20851076161</v>
      </c>
      <c r="AA30" s="219">
        <f t="shared" si="79"/>
        <v>-205532.63768097686</v>
      </c>
      <c r="AB30" s="219">
        <f t="shared" si="79"/>
        <v>-209839.5154345964</v>
      </c>
      <c r="AC30" s="219">
        <f t="shared" si="79"/>
        <v>-214232.53074328834</v>
      </c>
      <c r="AD30" s="219">
        <f t="shared" si="79"/>
        <v>-218713.40635815408</v>
      </c>
      <c r="AE30" s="219">
        <f t="shared" si="79"/>
        <v>-223283.89948531715</v>
      </c>
      <c r="AF30" s="219">
        <f t="shared" si="79"/>
        <v>-227945.80247502349</v>
      </c>
      <c r="AG30" s="219">
        <f t="shared" si="79"/>
        <v>-232700.94352452399</v>
      </c>
      <c r="AH30" s="219">
        <f t="shared" si="79"/>
        <v>-237551.18739501445</v>
      </c>
      <c r="AI30" s="219">
        <f t="shared" si="79"/>
        <v>-242498.43614291472</v>
      </c>
      <c r="AJ30" s="219">
        <f t="shared" si="79"/>
        <v>-247544.62986577302</v>
      </c>
      <c r="AN30" s="266" t="s">
        <v>192</v>
      </c>
      <c r="AO30" s="267">
        <f>+AO28/AO13</f>
        <v>57753.369309265836</v>
      </c>
      <c r="AR30" s="255"/>
      <c r="AS30" s="262"/>
      <c r="AT30" s="262"/>
      <c r="AU30" s="262"/>
      <c r="AV30" s="2"/>
    </row>
    <row r="31" spans="2:48" ht="15" customHeight="1">
      <c r="B31" s="66"/>
      <c r="C31" s="260"/>
      <c r="D31" s="260"/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N31" s="269" t="s">
        <v>193</v>
      </c>
      <c r="AO31" s="270">
        <f>+IFERROR(AO30/$AO$12-1,"n.a.")</f>
        <v>499.15908295891433</v>
      </c>
      <c r="AR31" s="255"/>
      <c r="AS31" s="262"/>
      <c r="AT31" s="262"/>
      <c r="AU31" s="262"/>
      <c r="AV31" s="2"/>
    </row>
    <row r="32" spans="2:48" ht="15" customHeight="1">
      <c r="B32" s="246" t="s">
        <v>130</v>
      </c>
      <c r="C32" s="219">
        <f t="shared" ref="C32:AJ32" si="80">+IFERROR(C21+C30,"n.a.")</f>
        <v>-45148.999999999993</v>
      </c>
      <c r="D32" s="219">
        <f t="shared" si="80"/>
        <v>-764179</v>
      </c>
      <c r="E32" s="219">
        <f t="shared" si="80"/>
        <v>-3341791</v>
      </c>
      <c r="F32" s="219">
        <f t="shared" si="80"/>
        <v>490106</v>
      </c>
      <c r="G32" s="219">
        <f t="shared" si="80"/>
        <v>1795000</v>
      </c>
      <c r="H32" s="219">
        <f t="shared" si="80"/>
        <v>1943806.9909887968</v>
      </c>
      <c r="I32" s="219">
        <f t="shared" si="80"/>
        <v>2093724.1294081835</v>
      </c>
      <c r="J32" s="219">
        <f t="shared" si="80"/>
        <v>2254135.467516927</v>
      </c>
      <c r="K32" s="219">
        <f t="shared" si="80"/>
        <v>2424653.3391861222</v>
      </c>
      <c r="L32" s="219">
        <f t="shared" si="80"/>
        <v>2608308.2801868226</v>
      </c>
      <c r="M32" s="219">
        <f t="shared" si="80"/>
        <v>2747983.5017350754</v>
      </c>
      <c r="N32" s="219">
        <f t="shared" si="80"/>
        <v>2895329.6143218298</v>
      </c>
      <c r="O32" s="219">
        <f t="shared" si="80"/>
        <v>3050043.0325379213</v>
      </c>
      <c r="P32" s="219">
        <f t="shared" si="80"/>
        <v>3212492.1216648174</v>
      </c>
      <c r="Q32" s="219">
        <f t="shared" si="80"/>
        <v>3383063.6652480587</v>
      </c>
      <c r="R32" s="219">
        <f t="shared" si="80"/>
        <v>3454703.7135530198</v>
      </c>
      <c r="S32" s="219">
        <f t="shared" si="80"/>
        <v>3527776.5628240802</v>
      </c>
      <c r="T32" s="219">
        <f t="shared" si="80"/>
        <v>3602310.8690805617</v>
      </c>
      <c r="U32" s="219">
        <f t="shared" si="80"/>
        <v>3678335.8614621731</v>
      </c>
      <c r="V32" s="219">
        <f t="shared" si="80"/>
        <v>3755881.3536914163</v>
      </c>
      <c r="W32" s="219">
        <f t="shared" si="80"/>
        <v>3834977.7557652448</v>
      </c>
      <c r="X32" s="219">
        <f t="shared" si="80"/>
        <v>3915656.0858805496</v>
      </c>
      <c r="Y32" s="219">
        <f t="shared" si="80"/>
        <v>3997947.9825981613</v>
      </c>
      <c r="Z32" s="219">
        <f t="shared" si="80"/>
        <v>4081885.7172501241</v>
      </c>
      <c r="AA32" s="219">
        <f t="shared" si="80"/>
        <v>4167502.2065951265</v>
      </c>
      <c r="AB32" s="219">
        <f t="shared" si="80"/>
        <v>4254831.025727029</v>
      </c>
      <c r="AC32" s="219">
        <f t="shared" si="80"/>
        <v>4343906.4212415703</v>
      </c>
      <c r="AD32" s="219">
        <f t="shared" si="80"/>
        <v>4434763.3246664004</v>
      </c>
      <c r="AE32" s="219">
        <f t="shared" si="80"/>
        <v>4527437.3661597287</v>
      </c>
      <c r="AF32" s="219">
        <f t="shared" si="80"/>
        <v>4621964.8884829236</v>
      </c>
      <c r="AG32" s="219">
        <f t="shared" si="80"/>
        <v>4718382.9612525823</v>
      </c>
      <c r="AH32" s="219">
        <f t="shared" si="80"/>
        <v>4816729.395477633</v>
      </c>
      <c r="AI32" s="219">
        <f t="shared" si="80"/>
        <v>4917042.7583871856</v>
      </c>
      <c r="AJ32" s="219">
        <f t="shared" si="80"/>
        <v>5019362.3885549298</v>
      </c>
      <c r="AR32" s="255"/>
      <c r="AS32" s="262"/>
      <c r="AT32" s="262"/>
      <c r="AU32" s="262"/>
      <c r="AV32" s="2"/>
    </row>
    <row r="33" spans="2:48" ht="15" customHeight="1">
      <c r="B33" s="249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  <c r="AJ33" s="271"/>
      <c r="AL33" s="252"/>
      <c r="AN33" s="305" t="s">
        <v>213</v>
      </c>
      <c r="AO33" s="230"/>
      <c r="AR33" s="255" t="s">
        <v>173</v>
      </c>
      <c r="AS33" s="256">
        <v>0</v>
      </c>
      <c r="AT33" s="256">
        <v>0</v>
      </c>
      <c r="AU33" s="256">
        <v>0</v>
      </c>
      <c r="AV33" s="2" t="s">
        <v>174</v>
      </c>
    </row>
    <row r="34" spans="2:48" s="2" customFormat="1" ht="15" customHeight="1">
      <c r="B34" s="66" t="s">
        <v>181</v>
      </c>
      <c r="C34" s="288">
        <f t="shared" ref="C34:AJ34" si="81">+-C18</f>
        <v>82.400999999999996</v>
      </c>
      <c r="D34" s="288">
        <f t="shared" si="81"/>
        <v>114.16200000000001</v>
      </c>
      <c r="E34" s="288">
        <f t="shared" si="81"/>
        <v>125.876</v>
      </c>
      <c r="F34" s="288">
        <f t="shared" si="81"/>
        <v>138.31899999999999</v>
      </c>
      <c r="G34" s="288">
        <f t="shared" si="81"/>
        <v>81</v>
      </c>
      <c r="H34" s="288">
        <f t="shared" si="81"/>
        <v>277.48219442710138</v>
      </c>
      <c r="I34" s="288">
        <f t="shared" si="81"/>
        <v>339.12072971600008</v>
      </c>
      <c r="J34" s="288">
        <f t="shared" si="81"/>
        <v>464.49757513502163</v>
      </c>
      <c r="K34" s="288">
        <f t="shared" si="81"/>
        <v>220.18751375980005</v>
      </c>
      <c r="L34" s="288">
        <f t="shared" si="81"/>
        <v>235.6006397229861</v>
      </c>
      <c r="M34" s="288">
        <f t="shared" si="81"/>
        <v>247.38067170913541</v>
      </c>
      <c r="N34" s="288">
        <f t="shared" si="81"/>
        <v>259.74970529459222</v>
      </c>
      <c r="O34" s="288">
        <f t="shared" si="81"/>
        <v>272.73719055932185</v>
      </c>
      <c r="P34" s="288">
        <f t="shared" si="81"/>
        <v>286.37405008728797</v>
      </c>
      <c r="Q34" s="288">
        <f t="shared" si="81"/>
        <v>300.69275259165238</v>
      </c>
      <c r="R34" s="288">
        <f t="shared" si="81"/>
        <v>306.70660764348543</v>
      </c>
      <c r="S34" s="288">
        <f t="shared" si="81"/>
        <v>312.84073979635514</v>
      </c>
      <c r="T34" s="288">
        <f t="shared" si="81"/>
        <v>319.09755459228222</v>
      </c>
      <c r="U34" s="288">
        <f t="shared" si="81"/>
        <v>325.47950568412784</v>
      </c>
      <c r="V34" s="288">
        <f t="shared" si="81"/>
        <v>331.98909579781042</v>
      </c>
      <c r="W34" s="288">
        <f t="shared" si="81"/>
        <v>338.62887771376666</v>
      </c>
      <c r="X34" s="288">
        <f t="shared" si="81"/>
        <v>345.40145526804196</v>
      </c>
      <c r="Y34" s="288">
        <f t="shared" si="81"/>
        <v>352.30948437340282</v>
      </c>
      <c r="Z34" s="288">
        <f t="shared" si="81"/>
        <v>359.35567406087091</v>
      </c>
      <c r="AA34" s="288">
        <f t="shared" si="81"/>
        <v>366.54278754208826</v>
      </c>
      <c r="AB34" s="288">
        <f t="shared" si="81"/>
        <v>373.87364329293007</v>
      </c>
      <c r="AC34" s="288">
        <f t="shared" si="81"/>
        <v>381.35111615878867</v>
      </c>
      <c r="AD34" s="288">
        <f t="shared" si="81"/>
        <v>388.97813848196444</v>
      </c>
      <c r="AE34" s="288">
        <f t="shared" si="81"/>
        <v>396.75770125160369</v>
      </c>
      <c r="AF34" s="288">
        <f t="shared" si="81"/>
        <v>404.69285527663578</v>
      </c>
      <c r="AG34" s="288">
        <f t="shared" si="81"/>
        <v>412.7867123821685</v>
      </c>
      <c r="AH34" s="288">
        <f t="shared" si="81"/>
        <v>421.04244662981188</v>
      </c>
      <c r="AI34" s="288">
        <f t="shared" si="81"/>
        <v>429.46329556240806</v>
      </c>
      <c r="AJ34" s="288">
        <f t="shared" si="81"/>
        <v>438.05256147365628</v>
      </c>
      <c r="AN34" s="2" t="s">
        <v>214</v>
      </c>
      <c r="AO34" s="49">
        <v>10.52</v>
      </c>
      <c r="AR34" s="255" t="s">
        <v>176</v>
      </c>
      <c r="AS34" s="259">
        <v>-0.05</v>
      </c>
      <c r="AT34" s="259">
        <v>-0.05</v>
      </c>
      <c r="AU34" s="259">
        <v>-0.05</v>
      </c>
    </row>
    <row r="35" spans="2:48" ht="15" customHeight="1">
      <c r="B35" s="246"/>
      <c r="C35" s="272"/>
      <c r="D35" s="272"/>
      <c r="E35" s="272"/>
      <c r="F35" s="272"/>
      <c r="G35" s="272"/>
      <c r="H35" s="272"/>
      <c r="I35" s="272"/>
      <c r="J35" s="272"/>
      <c r="K35" s="272"/>
      <c r="L35" s="272"/>
      <c r="M35" s="272"/>
      <c r="N35" s="272"/>
      <c r="O35" s="272"/>
      <c r="P35" s="272"/>
      <c r="Q35" s="272"/>
      <c r="R35" s="272"/>
      <c r="S35" s="272"/>
      <c r="T35" s="27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272"/>
      <c r="AH35" s="272"/>
      <c r="AI35" s="272"/>
      <c r="AJ35" s="272"/>
      <c r="AK35" s="252"/>
      <c r="AN35" s="2" t="s">
        <v>215</v>
      </c>
      <c r="AO35" s="49">
        <v>11.01</v>
      </c>
      <c r="AR35" s="255" t="s">
        <v>177</v>
      </c>
      <c r="AS35" s="259">
        <v>-0.02</v>
      </c>
      <c r="AT35" s="259">
        <v>-0.02</v>
      </c>
      <c r="AU35" s="259">
        <v>-0.02</v>
      </c>
      <c r="AV35" s="2"/>
    </row>
    <row r="36" spans="2:48" ht="15" customHeight="1">
      <c r="B36" s="66" t="s">
        <v>197</v>
      </c>
      <c r="C36" s="286">
        <f>+MOD!D291</f>
        <v>201310</v>
      </c>
      <c r="D36" s="286">
        <f>+MOD!J291</f>
        <v>551647</v>
      </c>
      <c r="E36" s="286">
        <f>+MOD!P291</f>
        <v>1810052</v>
      </c>
      <c r="F36" s="286">
        <f>+MOD!V291</f>
        <v>2026867</v>
      </c>
      <c r="G36" s="228">
        <f t="shared" ref="G36:AJ36" si="82">+G37*-G11</f>
        <v>-125985</v>
      </c>
      <c r="H36" s="228">
        <f t="shared" si="82"/>
        <v>-134803.94999999998</v>
      </c>
      <c r="I36" s="228">
        <f t="shared" si="82"/>
        <v>-144240.22650000002</v>
      </c>
      <c r="J36" s="228">
        <f t="shared" si="82"/>
        <v>-154337.04235500001</v>
      </c>
      <c r="K36" s="228">
        <f t="shared" si="82"/>
        <v>-165140.63531985003</v>
      </c>
      <c r="L36" s="228">
        <f t="shared" si="82"/>
        <v>-176700.47979223955</v>
      </c>
      <c r="M36" s="228">
        <f t="shared" si="82"/>
        <v>-185535.50378185156</v>
      </c>
      <c r="N36" s="228">
        <f t="shared" si="82"/>
        <v>-194812.27897094414</v>
      </c>
      <c r="O36" s="228">
        <f t="shared" si="82"/>
        <v>-204552.89291949137</v>
      </c>
      <c r="P36" s="228">
        <f t="shared" si="82"/>
        <v>-214780.53756546596</v>
      </c>
      <c r="Q36" s="228">
        <f t="shared" si="82"/>
        <v>-225519.56444373925</v>
      </c>
      <c r="R36" s="228">
        <f t="shared" si="82"/>
        <v>-230029.95573261403</v>
      </c>
      <c r="S36" s="228">
        <f t="shared" si="82"/>
        <v>-234630.55484726632</v>
      </c>
      <c r="T36" s="228">
        <f t="shared" si="82"/>
        <v>-239323.16594421165</v>
      </c>
      <c r="U36" s="228">
        <f t="shared" si="82"/>
        <v>-244109.62926309588</v>
      </c>
      <c r="V36" s="228">
        <f t="shared" si="82"/>
        <v>-248991.82184835779</v>
      </c>
      <c r="W36" s="228">
        <f t="shared" si="82"/>
        <v>-253971.65828532496</v>
      </c>
      <c r="X36" s="228">
        <f t="shared" si="82"/>
        <v>-259051.09145103145</v>
      </c>
      <c r="Y36" s="228">
        <f t="shared" si="82"/>
        <v>-264232.11328005209</v>
      </c>
      <c r="Z36" s="228">
        <f t="shared" si="82"/>
        <v>-269516.75554565311</v>
      </c>
      <c r="AA36" s="228">
        <f t="shared" si="82"/>
        <v>-274907.0906565662</v>
      </c>
      <c r="AB36" s="228">
        <f t="shared" si="82"/>
        <v>-280405.23246969754</v>
      </c>
      <c r="AC36" s="228">
        <f t="shared" si="82"/>
        <v>-286013.33711909148</v>
      </c>
      <c r="AD36" s="228">
        <f t="shared" si="82"/>
        <v>-291733.60386147327</v>
      </c>
      <c r="AE36" s="228">
        <f t="shared" si="82"/>
        <v>-297568.27593870275</v>
      </c>
      <c r="AF36" s="228">
        <f t="shared" si="82"/>
        <v>-303519.64145747677</v>
      </c>
      <c r="AG36" s="228">
        <f t="shared" si="82"/>
        <v>-309590.03428662632</v>
      </c>
      <c r="AH36" s="228">
        <f t="shared" si="82"/>
        <v>-315781.83497235883</v>
      </c>
      <c r="AI36" s="228">
        <f t="shared" si="82"/>
        <v>-322097.47167180601</v>
      </c>
      <c r="AJ36" s="228">
        <f t="shared" si="82"/>
        <v>-328539.42110524216</v>
      </c>
      <c r="AN36" s="2" t="s">
        <v>216</v>
      </c>
      <c r="AO36" s="49">
        <v>13.56</v>
      </c>
    </row>
    <row r="37" spans="2:48" ht="15" customHeight="1" thickBot="1">
      <c r="B37" s="249" t="s">
        <v>97</v>
      </c>
      <c r="C37" s="202">
        <f>+IFERROR(-C36/C11,"n.a.")</f>
        <v>-5.5123446563991908E-2</v>
      </c>
      <c r="D37" s="202">
        <f>+IFERROR(-D36/D$11,"n.a.")</f>
        <v>-0.1148011576531365</v>
      </c>
      <c r="E37" s="202">
        <f>+IFERROR(-E36/E$11,"n.a.")</f>
        <v>-0.53580368243443255</v>
      </c>
      <c r="F37" s="202">
        <f>+IFERROR(-F36/F$11,"n.a.")</f>
        <v>-0.33827911944857053</v>
      </c>
      <c r="G37" s="261">
        <v>1.4999999999999999E-2</v>
      </c>
      <c r="H37" s="261">
        <v>1.4999999999999999E-2</v>
      </c>
      <c r="I37" s="261">
        <v>1.4999999999999999E-2</v>
      </c>
      <c r="J37" s="261">
        <v>1.4999999999999999E-2</v>
      </c>
      <c r="K37" s="261">
        <v>1.4999999999999999E-2</v>
      </c>
      <c r="L37" s="261">
        <v>1.4999999999999999E-2</v>
      </c>
      <c r="M37" s="261">
        <v>1.4999999999999999E-2</v>
      </c>
      <c r="N37" s="261">
        <v>1.4999999999999999E-2</v>
      </c>
      <c r="O37" s="261">
        <v>1.4999999999999999E-2</v>
      </c>
      <c r="P37" s="261">
        <v>1.4999999999999999E-2</v>
      </c>
      <c r="Q37" s="261">
        <v>1.4999999999999999E-2</v>
      </c>
      <c r="R37" s="261">
        <v>1.4999999999999999E-2</v>
      </c>
      <c r="S37" s="261">
        <v>1.4999999999999999E-2</v>
      </c>
      <c r="T37" s="261">
        <v>1.4999999999999999E-2</v>
      </c>
      <c r="U37" s="261">
        <v>1.4999999999999999E-2</v>
      </c>
      <c r="V37" s="261">
        <v>1.4999999999999999E-2</v>
      </c>
      <c r="W37" s="261">
        <v>1.4999999999999999E-2</v>
      </c>
      <c r="X37" s="261">
        <v>1.4999999999999999E-2</v>
      </c>
      <c r="Y37" s="261">
        <v>1.4999999999999999E-2</v>
      </c>
      <c r="Z37" s="261">
        <v>1.4999999999999999E-2</v>
      </c>
      <c r="AA37" s="261">
        <v>1.4999999999999999E-2</v>
      </c>
      <c r="AB37" s="261">
        <v>1.4999999999999999E-2</v>
      </c>
      <c r="AC37" s="261">
        <v>1.4999999999999999E-2</v>
      </c>
      <c r="AD37" s="261">
        <v>1.4999999999999999E-2</v>
      </c>
      <c r="AE37" s="261">
        <v>1.4999999999999999E-2</v>
      </c>
      <c r="AF37" s="261">
        <v>1.4999999999999999E-2</v>
      </c>
      <c r="AG37" s="261">
        <v>1.4999999999999999E-2</v>
      </c>
      <c r="AH37" s="261">
        <v>1.4999999999999999E-2</v>
      </c>
      <c r="AI37" s="261">
        <v>1.4999999999999999E-2</v>
      </c>
      <c r="AJ37" s="261">
        <v>1.4999999999999999E-2</v>
      </c>
      <c r="AN37" s="2" t="s">
        <v>217</v>
      </c>
      <c r="AO37" s="49">
        <v>16.96</v>
      </c>
      <c r="AR37" s="251" t="s">
        <v>168</v>
      </c>
      <c r="AS37" s="63" t="s">
        <v>195</v>
      </c>
      <c r="AT37" s="111"/>
      <c r="AU37" s="111"/>
    </row>
    <row r="38" spans="2:48" ht="15" customHeight="1" thickBot="1">
      <c r="B38" s="249" t="s">
        <v>176</v>
      </c>
      <c r="C38" s="202" t="str">
        <f>+IFERROR(C36/(C11-#REF!),"n.a.")</f>
        <v>n.a.</v>
      </c>
      <c r="D38" s="142">
        <f t="shared" ref="D38:I38" si="83">+IFERROR(CHOOSE($AR$14,$AS17,$AT17,$AU17),"n.a.")</f>
        <v>-0.35</v>
      </c>
      <c r="E38" s="142">
        <f t="shared" si="83"/>
        <v>-0.35</v>
      </c>
      <c r="F38" s="142">
        <f t="shared" si="83"/>
        <v>-0.35</v>
      </c>
      <c r="G38" s="142">
        <f t="shared" si="83"/>
        <v>-0.35</v>
      </c>
      <c r="H38" s="142">
        <f t="shared" si="83"/>
        <v>-0.35</v>
      </c>
      <c r="I38" s="142">
        <f t="shared" si="83"/>
        <v>-0.35</v>
      </c>
      <c r="J38" s="142">
        <f t="shared" ref="J38:S38" si="84">+IFERROR(CHOOSE($AR$21,$AS24,$AT24,$AU24),"n.a.")</f>
        <v>-0.1</v>
      </c>
      <c r="K38" s="142">
        <f t="shared" si="84"/>
        <v>-0.1</v>
      </c>
      <c r="L38" s="142">
        <f t="shared" si="84"/>
        <v>-0.1</v>
      </c>
      <c r="M38" s="142">
        <f t="shared" si="84"/>
        <v>-0.1</v>
      </c>
      <c r="N38" s="142">
        <f t="shared" si="84"/>
        <v>-0.1</v>
      </c>
      <c r="O38" s="142">
        <f t="shared" si="84"/>
        <v>-0.1</v>
      </c>
      <c r="P38" s="142">
        <f t="shared" si="84"/>
        <v>-0.1</v>
      </c>
      <c r="Q38" s="142">
        <f t="shared" si="84"/>
        <v>-0.1</v>
      </c>
      <c r="R38" s="142">
        <f t="shared" si="84"/>
        <v>-0.1</v>
      </c>
      <c r="S38" s="142">
        <f t="shared" si="84"/>
        <v>-0.1</v>
      </c>
      <c r="T38" s="142">
        <f t="shared" ref="T38:AJ38" si="85">+IFERROR(CHOOSE($AR$28,$AS34,$AT34,$AU34),"n.a.")</f>
        <v>-0.05</v>
      </c>
      <c r="U38" s="142">
        <f t="shared" si="85"/>
        <v>-0.05</v>
      </c>
      <c r="V38" s="142">
        <f t="shared" si="85"/>
        <v>-0.05</v>
      </c>
      <c r="W38" s="142">
        <f t="shared" si="85"/>
        <v>-0.05</v>
      </c>
      <c r="X38" s="142">
        <f t="shared" si="85"/>
        <v>-0.05</v>
      </c>
      <c r="Y38" s="142">
        <f t="shared" si="85"/>
        <v>-0.05</v>
      </c>
      <c r="Z38" s="142">
        <f t="shared" si="85"/>
        <v>-0.05</v>
      </c>
      <c r="AA38" s="142">
        <f t="shared" si="85"/>
        <v>-0.05</v>
      </c>
      <c r="AB38" s="142">
        <f t="shared" si="85"/>
        <v>-0.05</v>
      </c>
      <c r="AC38" s="142">
        <f t="shared" si="85"/>
        <v>-0.05</v>
      </c>
      <c r="AD38" s="142">
        <f t="shared" si="85"/>
        <v>-0.05</v>
      </c>
      <c r="AE38" s="142">
        <f t="shared" si="85"/>
        <v>-0.05</v>
      </c>
      <c r="AF38" s="142">
        <f t="shared" si="85"/>
        <v>-0.05</v>
      </c>
      <c r="AG38" s="142">
        <f t="shared" si="85"/>
        <v>-0.05</v>
      </c>
      <c r="AH38" s="142">
        <f t="shared" si="85"/>
        <v>-0.05</v>
      </c>
      <c r="AI38" s="142">
        <f t="shared" si="85"/>
        <v>-0.05</v>
      </c>
      <c r="AJ38" s="142">
        <f t="shared" si="85"/>
        <v>-0.05</v>
      </c>
      <c r="AN38" s="2" t="s">
        <v>218</v>
      </c>
      <c r="AO38" s="49">
        <v>19.39</v>
      </c>
      <c r="AR38" s="253">
        <v>1</v>
      </c>
      <c r="AS38" s="91" t="s">
        <v>170</v>
      </c>
      <c r="AT38" s="116" t="s">
        <v>171</v>
      </c>
      <c r="AU38" s="116" t="s">
        <v>196</v>
      </c>
    </row>
    <row r="39" spans="2:48" ht="15" customHeight="1">
      <c r="B39" s="249" t="s">
        <v>199</v>
      </c>
      <c r="C39" s="202">
        <f>+IFERROR(-C36/[1]MOD!AI220,"n.a.")</f>
        <v>-4186.2834802861416</v>
      </c>
      <c r="D39" s="202" t="s">
        <v>155</v>
      </c>
      <c r="E39" s="93" t="s">
        <v>155</v>
      </c>
      <c r="F39" s="93" t="s">
        <v>155</v>
      </c>
      <c r="G39" s="93" t="s">
        <v>155</v>
      </c>
      <c r="H39" s="93" t="s">
        <v>155</v>
      </c>
      <c r="I39" s="93" t="s">
        <v>155</v>
      </c>
      <c r="J39" s="93" t="s">
        <v>155</v>
      </c>
      <c r="K39" s="93" t="s">
        <v>155</v>
      </c>
      <c r="L39" s="93" t="s">
        <v>155</v>
      </c>
      <c r="M39" s="93" t="s">
        <v>155</v>
      </c>
      <c r="N39" s="93" t="s">
        <v>155</v>
      </c>
      <c r="O39" s="93" t="s">
        <v>155</v>
      </c>
      <c r="P39" s="93" t="s">
        <v>155</v>
      </c>
      <c r="Q39" s="93" t="s">
        <v>155</v>
      </c>
      <c r="R39" s="93" t="s">
        <v>155</v>
      </c>
      <c r="S39" s="93" t="s">
        <v>155</v>
      </c>
      <c r="T39" s="93" t="s">
        <v>155</v>
      </c>
      <c r="U39" s="93" t="s">
        <v>155</v>
      </c>
      <c r="V39" s="93" t="s">
        <v>155</v>
      </c>
      <c r="W39" s="93" t="s">
        <v>155</v>
      </c>
      <c r="X39" s="93" t="s">
        <v>155</v>
      </c>
      <c r="Y39" s="93" t="s">
        <v>155</v>
      </c>
      <c r="Z39" s="93" t="s">
        <v>155</v>
      </c>
      <c r="AA39" s="93" t="s">
        <v>155</v>
      </c>
      <c r="AB39" s="93" t="s">
        <v>155</v>
      </c>
      <c r="AC39" s="93" t="s">
        <v>155</v>
      </c>
      <c r="AD39" s="93" t="s">
        <v>155</v>
      </c>
      <c r="AE39" s="93" t="s">
        <v>155</v>
      </c>
      <c r="AF39" s="93" t="s">
        <v>155</v>
      </c>
      <c r="AG39" s="93" t="s">
        <v>155</v>
      </c>
      <c r="AH39" s="93" t="s">
        <v>155</v>
      </c>
      <c r="AI39" s="93" t="s">
        <v>155</v>
      </c>
      <c r="AJ39" s="93" t="s">
        <v>155</v>
      </c>
    </row>
    <row r="40" spans="2:48" ht="15" customHeight="1">
      <c r="B40" s="66"/>
      <c r="C40" s="234"/>
      <c r="D40" s="234"/>
      <c r="E40" s="258"/>
      <c r="F40" s="258"/>
      <c r="G40" s="258"/>
      <c r="H40" s="258"/>
      <c r="I40" s="258"/>
      <c r="J40" s="258"/>
      <c r="K40" s="258"/>
      <c r="L40" s="258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N40" s="305" t="s">
        <v>219</v>
      </c>
      <c r="AO40" s="306">
        <f>+SUM!$C$5</f>
        <v>115.47</v>
      </c>
    </row>
    <row r="41" spans="2:48" ht="15" customHeight="1" thickBot="1">
      <c r="B41" s="66" t="s">
        <v>200</v>
      </c>
      <c r="C41" s="286">
        <f>+MOD!D284</f>
        <v>348105</v>
      </c>
      <c r="D41" s="286">
        <f>+MOD!J284</f>
        <v>547654</v>
      </c>
      <c r="E41" s="286">
        <f>+MOD!P284</f>
        <v>43756</v>
      </c>
      <c r="F41" s="286">
        <f>+MOD!V284</f>
        <v>165130</v>
      </c>
      <c r="G41" s="292">
        <v>0</v>
      </c>
      <c r="H41" s="292">
        <v>0</v>
      </c>
      <c r="I41" s="292">
        <v>0</v>
      </c>
      <c r="J41" s="292">
        <v>0</v>
      </c>
      <c r="K41" s="292">
        <v>0</v>
      </c>
      <c r="L41" s="292">
        <v>0</v>
      </c>
      <c r="M41" s="292">
        <v>0</v>
      </c>
      <c r="N41" s="292">
        <v>0</v>
      </c>
      <c r="O41" s="292">
        <v>0</v>
      </c>
      <c r="P41" s="292">
        <v>0</v>
      </c>
      <c r="Q41" s="292">
        <v>0</v>
      </c>
      <c r="R41" s="292">
        <v>0</v>
      </c>
      <c r="S41" s="292">
        <v>0</v>
      </c>
      <c r="T41" s="292">
        <v>0</v>
      </c>
      <c r="U41" s="292">
        <v>0</v>
      </c>
      <c r="V41" s="292">
        <v>0</v>
      </c>
      <c r="W41" s="292">
        <v>0</v>
      </c>
      <c r="X41" s="292">
        <v>0</v>
      </c>
      <c r="Y41" s="292">
        <v>0</v>
      </c>
      <c r="Z41" s="292">
        <v>0</v>
      </c>
      <c r="AA41" s="292">
        <v>0</v>
      </c>
      <c r="AB41" s="292">
        <v>0</v>
      </c>
      <c r="AC41" s="292">
        <v>0</v>
      </c>
      <c r="AD41" s="292">
        <v>0</v>
      </c>
      <c r="AE41" s="292">
        <v>0</v>
      </c>
      <c r="AF41" s="292">
        <v>0</v>
      </c>
      <c r="AG41" s="292">
        <v>0</v>
      </c>
      <c r="AH41" s="292">
        <v>0</v>
      </c>
      <c r="AI41" s="292">
        <v>0</v>
      </c>
      <c r="AJ41" s="292">
        <v>0</v>
      </c>
      <c r="AL41" s="273" t="s">
        <v>198</v>
      </c>
      <c r="AN41" s="2" t="s">
        <v>214</v>
      </c>
      <c r="AO41" s="307">
        <f>+$AO$40/AO34</f>
        <v>10.976235741444867</v>
      </c>
    </row>
    <row r="42" spans="2:48" ht="15" customHeight="1">
      <c r="B42" s="249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L42" s="274">
        <v>10</v>
      </c>
      <c r="AN42" s="2" t="s">
        <v>215</v>
      </c>
      <c r="AO42" s="307">
        <f t="shared" ref="AO42:AO45" si="86">+$AO$40/AO35</f>
        <v>10.487738419618529</v>
      </c>
    </row>
    <row r="43" spans="2:48">
      <c r="B43" s="162" t="s">
        <v>209</v>
      </c>
      <c r="C43" s="288">
        <f>+MOD!D286</f>
        <v>145895</v>
      </c>
      <c r="D43" s="288">
        <f>+MOD!J286</f>
        <v>176254</v>
      </c>
      <c r="E43" s="288">
        <f>+MOD!P286</f>
        <v>-267009</v>
      </c>
      <c r="F43" s="313">
        <f>+MOD!V286</f>
        <v>495816</v>
      </c>
      <c r="G43" s="293">
        <f>+F43</f>
        <v>495816</v>
      </c>
      <c r="H43" s="293">
        <f>+G43</f>
        <v>495816</v>
      </c>
      <c r="I43" s="293">
        <f>+H43</f>
        <v>495816</v>
      </c>
      <c r="J43" s="302">
        <f>+I43*1.03</f>
        <v>510690.48000000004</v>
      </c>
      <c r="K43" s="302">
        <f t="shared" ref="K43:AJ43" si="87">+J43*1.03</f>
        <v>526011.19440000004</v>
      </c>
      <c r="L43" s="302">
        <f t="shared" si="87"/>
        <v>541791.53023200005</v>
      </c>
      <c r="M43" s="302">
        <f t="shared" si="87"/>
        <v>558045.27613896003</v>
      </c>
      <c r="N43" s="302">
        <f t="shared" si="87"/>
        <v>574786.63442312879</v>
      </c>
      <c r="O43" s="302">
        <f t="shared" si="87"/>
        <v>592030.23345582269</v>
      </c>
      <c r="P43" s="302">
        <f t="shared" si="87"/>
        <v>609791.14045949734</v>
      </c>
      <c r="Q43" s="302">
        <f t="shared" si="87"/>
        <v>628084.87467328226</v>
      </c>
      <c r="R43" s="302">
        <f t="shared" si="87"/>
        <v>646927.4209134808</v>
      </c>
      <c r="S43" s="302">
        <f t="shared" si="87"/>
        <v>666335.24354088528</v>
      </c>
      <c r="T43" s="302">
        <f t="shared" si="87"/>
        <v>686325.30084711185</v>
      </c>
      <c r="U43" s="302">
        <f t="shared" si="87"/>
        <v>706915.05987252528</v>
      </c>
      <c r="V43" s="302">
        <f t="shared" si="87"/>
        <v>728122.51166870107</v>
      </c>
      <c r="W43" s="302">
        <f t="shared" si="87"/>
        <v>749966.18701876211</v>
      </c>
      <c r="X43" s="302">
        <f t="shared" si="87"/>
        <v>772465.17262932495</v>
      </c>
      <c r="Y43" s="302">
        <f t="shared" si="87"/>
        <v>795639.12780820474</v>
      </c>
      <c r="Z43" s="302">
        <f t="shared" si="87"/>
        <v>819508.30164245085</v>
      </c>
      <c r="AA43" s="302">
        <f t="shared" si="87"/>
        <v>844093.55069172441</v>
      </c>
      <c r="AB43" s="302">
        <f t="shared" si="87"/>
        <v>869416.3572124762</v>
      </c>
      <c r="AC43" s="302">
        <f t="shared" si="87"/>
        <v>895498.84792885056</v>
      </c>
      <c r="AD43" s="302">
        <f t="shared" si="87"/>
        <v>922363.81336671615</v>
      </c>
      <c r="AE43" s="302">
        <f t="shared" si="87"/>
        <v>950034.72776771768</v>
      </c>
      <c r="AF43" s="302">
        <f t="shared" si="87"/>
        <v>978535.76960074925</v>
      </c>
      <c r="AG43" s="302">
        <f t="shared" si="87"/>
        <v>1007891.8426887718</v>
      </c>
      <c r="AH43" s="302">
        <f t="shared" si="87"/>
        <v>1038128.5979694349</v>
      </c>
      <c r="AI43" s="302">
        <f t="shared" si="87"/>
        <v>1069272.4559085181</v>
      </c>
      <c r="AJ43" s="302">
        <f t="shared" si="87"/>
        <v>1101350.6295857737</v>
      </c>
      <c r="AL43" s="275"/>
      <c r="AN43" s="2" t="s">
        <v>216</v>
      </c>
      <c r="AO43" s="307">
        <f t="shared" si="86"/>
        <v>8.5154867256637168</v>
      </c>
    </row>
    <row r="44" spans="2:48" ht="15" customHeight="1">
      <c r="B44" s="162" t="s">
        <v>210</v>
      </c>
      <c r="C44" s="288">
        <f>+MOD!D287</f>
        <v>595557</v>
      </c>
      <c r="D44" s="288">
        <f>+MOD!J287</f>
        <v>222727</v>
      </c>
      <c r="E44" s="288">
        <f>+MOD!P287</f>
        <v>-629732</v>
      </c>
      <c r="F44" s="288">
        <f>+MOD!V287</f>
        <v>2189694</v>
      </c>
      <c r="G44" s="293">
        <v>0</v>
      </c>
      <c r="H44" s="293">
        <v>0</v>
      </c>
      <c r="I44" s="293">
        <v>0</v>
      </c>
      <c r="J44" s="293">
        <f>+I44</f>
        <v>0</v>
      </c>
      <c r="K44" s="293">
        <f t="shared" ref="K44:AJ44" si="88">+J44</f>
        <v>0</v>
      </c>
      <c r="L44" s="293">
        <f t="shared" si="88"/>
        <v>0</v>
      </c>
      <c r="M44" s="293">
        <f t="shared" si="88"/>
        <v>0</v>
      </c>
      <c r="N44" s="293">
        <f t="shared" si="88"/>
        <v>0</v>
      </c>
      <c r="O44" s="293">
        <f t="shared" si="88"/>
        <v>0</v>
      </c>
      <c r="P44" s="293">
        <f t="shared" si="88"/>
        <v>0</v>
      </c>
      <c r="Q44" s="293">
        <f t="shared" si="88"/>
        <v>0</v>
      </c>
      <c r="R44" s="293">
        <f t="shared" si="88"/>
        <v>0</v>
      </c>
      <c r="S44" s="293">
        <f t="shared" si="88"/>
        <v>0</v>
      </c>
      <c r="T44" s="293">
        <f t="shared" si="88"/>
        <v>0</v>
      </c>
      <c r="U44" s="293">
        <f t="shared" si="88"/>
        <v>0</v>
      </c>
      <c r="V44" s="293">
        <f t="shared" si="88"/>
        <v>0</v>
      </c>
      <c r="W44" s="293">
        <f t="shared" si="88"/>
        <v>0</v>
      </c>
      <c r="X44" s="293">
        <f t="shared" si="88"/>
        <v>0</v>
      </c>
      <c r="Y44" s="293">
        <f t="shared" si="88"/>
        <v>0</v>
      </c>
      <c r="Z44" s="293">
        <f t="shared" si="88"/>
        <v>0</v>
      </c>
      <c r="AA44" s="293">
        <f t="shared" si="88"/>
        <v>0</v>
      </c>
      <c r="AB44" s="293">
        <f t="shared" si="88"/>
        <v>0</v>
      </c>
      <c r="AC44" s="293">
        <f t="shared" si="88"/>
        <v>0</v>
      </c>
      <c r="AD44" s="293">
        <f t="shared" si="88"/>
        <v>0</v>
      </c>
      <c r="AE44" s="293">
        <f t="shared" si="88"/>
        <v>0</v>
      </c>
      <c r="AF44" s="293">
        <f t="shared" si="88"/>
        <v>0</v>
      </c>
      <c r="AG44" s="293">
        <f t="shared" si="88"/>
        <v>0</v>
      </c>
      <c r="AH44" s="293">
        <f t="shared" si="88"/>
        <v>0</v>
      </c>
      <c r="AI44" s="293">
        <f t="shared" si="88"/>
        <v>0</v>
      </c>
      <c r="AJ44" s="293">
        <f t="shared" si="88"/>
        <v>0</v>
      </c>
      <c r="AL44" s="276">
        <f>+AJ51</f>
        <v>30</v>
      </c>
      <c r="AN44" s="2" t="s">
        <v>217</v>
      </c>
      <c r="AO44" s="307">
        <f t="shared" si="86"/>
        <v>6.8083726415094334</v>
      </c>
    </row>
    <row r="45" spans="2:48">
      <c r="B45" s="162" t="s">
        <v>211</v>
      </c>
      <c r="C45" s="288">
        <f>+MOD!D288</f>
        <v>-90624</v>
      </c>
      <c r="D45" s="288">
        <f>+MOD!J288</f>
        <v>-125452</v>
      </c>
      <c r="E45" s="288">
        <f>+MOD!P288</f>
        <v>-37371</v>
      </c>
      <c r="F45" s="288">
        <f>+MOD!V288</f>
        <v>-25322</v>
      </c>
      <c r="G45" s="293">
        <f>+F45+1500</f>
        <v>-23822</v>
      </c>
      <c r="H45" s="293">
        <f>+G45+1000</f>
        <v>-22822</v>
      </c>
      <c r="I45" s="286">
        <f>+-I43</f>
        <v>-495816</v>
      </c>
      <c r="J45" s="286">
        <f>+-J43</f>
        <v>-510690.48000000004</v>
      </c>
      <c r="K45" s="286">
        <f t="shared" ref="K45:AJ45" si="89">+-K43</f>
        <v>-526011.19440000004</v>
      </c>
      <c r="L45" s="286">
        <f t="shared" si="89"/>
        <v>-541791.53023200005</v>
      </c>
      <c r="M45" s="286">
        <f t="shared" si="89"/>
        <v>-558045.27613896003</v>
      </c>
      <c r="N45" s="286">
        <f t="shared" si="89"/>
        <v>-574786.63442312879</v>
      </c>
      <c r="O45" s="286">
        <f t="shared" si="89"/>
        <v>-592030.23345582269</v>
      </c>
      <c r="P45" s="286">
        <f t="shared" si="89"/>
        <v>-609791.14045949734</v>
      </c>
      <c r="Q45" s="286">
        <f t="shared" si="89"/>
        <v>-628084.87467328226</v>
      </c>
      <c r="R45" s="286">
        <f t="shared" si="89"/>
        <v>-646927.4209134808</v>
      </c>
      <c r="S45" s="286">
        <f t="shared" si="89"/>
        <v>-666335.24354088528</v>
      </c>
      <c r="T45" s="286">
        <f t="shared" si="89"/>
        <v>-686325.30084711185</v>
      </c>
      <c r="U45" s="286">
        <f t="shared" si="89"/>
        <v>-706915.05987252528</v>
      </c>
      <c r="V45" s="286">
        <f t="shared" si="89"/>
        <v>-728122.51166870107</v>
      </c>
      <c r="W45" s="286">
        <f t="shared" si="89"/>
        <v>-749966.18701876211</v>
      </c>
      <c r="X45" s="286">
        <f t="shared" si="89"/>
        <v>-772465.17262932495</v>
      </c>
      <c r="Y45" s="286">
        <f t="shared" si="89"/>
        <v>-795639.12780820474</v>
      </c>
      <c r="Z45" s="286">
        <f t="shared" si="89"/>
        <v>-819508.30164245085</v>
      </c>
      <c r="AA45" s="286">
        <f t="shared" si="89"/>
        <v>-844093.55069172441</v>
      </c>
      <c r="AB45" s="286">
        <f t="shared" si="89"/>
        <v>-869416.3572124762</v>
      </c>
      <c r="AC45" s="286">
        <f t="shared" si="89"/>
        <v>-895498.84792885056</v>
      </c>
      <c r="AD45" s="286">
        <f t="shared" si="89"/>
        <v>-922363.81336671615</v>
      </c>
      <c r="AE45" s="286">
        <f t="shared" si="89"/>
        <v>-950034.72776771768</v>
      </c>
      <c r="AF45" s="286">
        <f t="shared" si="89"/>
        <v>-978535.76960074925</v>
      </c>
      <c r="AG45" s="286">
        <f t="shared" si="89"/>
        <v>-1007891.8426887718</v>
      </c>
      <c r="AH45" s="286">
        <f t="shared" si="89"/>
        <v>-1038128.5979694349</v>
      </c>
      <c r="AI45" s="286">
        <f t="shared" si="89"/>
        <v>-1069272.4559085181</v>
      </c>
      <c r="AJ45" s="286">
        <f t="shared" si="89"/>
        <v>-1101350.6295857737</v>
      </c>
      <c r="AL45" s="277">
        <f>+AJ52</f>
        <v>9.9377332549801231E-2</v>
      </c>
      <c r="AN45" s="2" t="s">
        <v>218</v>
      </c>
      <c r="AO45" s="307">
        <f t="shared" si="86"/>
        <v>5.9551315110881893</v>
      </c>
    </row>
    <row r="46" spans="2:48" ht="15" customHeight="1">
      <c r="B46" s="163" t="s">
        <v>212</v>
      </c>
      <c r="C46" s="286">
        <f t="shared" ref="C46:J46" si="90">+C43+C44+C45</f>
        <v>650828</v>
      </c>
      <c r="D46" s="286">
        <f t="shared" si="90"/>
        <v>273529</v>
      </c>
      <c r="E46" s="286">
        <f t="shared" si="90"/>
        <v>-934112</v>
      </c>
      <c r="F46" s="286">
        <f t="shared" si="90"/>
        <v>2660188</v>
      </c>
      <c r="G46" s="301">
        <f t="shared" si="90"/>
        <v>471994</v>
      </c>
      <c r="H46" s="301">
        <f t="shared" si="90"/>
        <v>472994</v>
      </c>
      <c r="I46" s="301">
        <f t="shared" si="90"/>
        <v>0</v>
      </c>
      <c r="J46" s="301">
        <f t="shared" si="90"/>
        <v>0</v>
      </c>
      <c r="K46" s="301">
        <f t="shared" ref="K46" si="91">+K43+K44+K45</f>
        <v>0</v>
      </c>
      <c r="L46" s="301">
        <f t="shared" ref="L46" si="92">+L43+L44+L45</f>
        <v>0</v>
      </c>
      <c r="M46" s="301">
        <f t="shared" ref="M46" si="93">+M43+M44+M45</f>
        <v>0</v>
      </c>
      <c r="N46" s="301">
        <f t="shared" ref="N46" si="94">+N43+N44+N45</f>
        <v>0</v>
      </c>
      <c r="O46" s="301">
        <f t="shared" ref="O46" si="95">+O43+O44+O45</f>
        <v>0</v>
      </c>
      <c r="P46" s="301">
        <f t="shared" ref="P46" si="96">+P43+P44+P45</f>
        <v>0</v>
      </c>
      <c r="Q46" s="301">
        <f t="shared" ref="Q46" si="97">+Q43+Q44+Q45</f>
        <v>0</v>
      </c>
      <c r="R46" s="301">
        <f t="shared" ref="R46" si="98">+R43+R44+R45</f>
        <v>0</v>
      </c>
      <c r="S46" s="301">
        <f t="shared" ref="S46" si="99">+S43+S44+S45</f>
        <v>0</v>
      </c>
      <c r="T46" s="301">
        <f t="shared" ref="T46" si="100">+T43+T44+T45</f>
        <v>0</v>
      </c>
      <c r="U46" s="301">
        <f t="shared" ref="U46" si="101">+U43+U44+U45</f>
        <v>0</v>
      </c>
      <c r="V46" s="301">
        <f t="shared" ref="V46" si="102">+V43+V44+V45</f>
        <v>0</v>
      </c>
      <c r="W46" s="301">
        <f t="shared" ref="W46" si="103">+W43+W44+W45</f>
        <v>0</v>
      </c>
      <c r="X46" s="301">
        <f t="shared" ref="X46" si="104">+X43+X44+X45</f>
        <v>0</v>
      </c>
      <c r="Y46" s="301">
        <f t="shared" ref="Y46" si="105">+Y43+Y44+Y45</f>
        <v>0</v>
      </c>
      <c r="Z46" s="301">
        <f t="shared" ref="Z46" si="106">+Z43+Z44+Z45</f>
        <v>0</v>
      </c>
      <c r="AA46" s="301">
        <f t="shared" ref="AA46" si="107">+AA43+AA44+AA45</f>
        <v>0</v>
      </c>
      <c r="AB46" s="301">
        <f t="shared" ref="AB46" si="108">+AB43+AB44+AB45</f>
        <v>0</v>
      </c>
      <c r="AC46" s="301">
        <f t="shared" ref="AC46" si="109">+AC43+AC44+AC45</f>
        <v>0</v>
      </c>
      <c r="AD46" s="301">
        <f t="shared" ref="AD46" si="110">+AD43+AD44+AD45</f>
        <v>0</v>
      </c>
      <c r="AE46" s="301">
        <f t="shared" ref="AE46" si="111">+AE43+AE44+AE45</f>
        <v>0</v>
      </c>
      <c r="AF46" s="301">
        <f t="shared" ref="AF46" si="112">+AF43+AF44+AF45</f>
        <v>0</v>
      </c>
      <c r="AG46" s="301">
        <f t="shared" ref="AG46" si="113">+AG43+AG44+AG45</f>
        <v>0</v>
      </c>
      <c r="AH46" s="301">
        <f t="shared" ref="AH46" si="114">+AH43+AH44+AH45</f>
        <v>0</v>
      </c>
      <c r="AI46" s="301">
        <f t="shared" ref="AI46" si="115">+AI43+AI44+AI45</f>
        <v>0</v>
      </c>
      <c r="AJ46" s="301">
        <f t="shared" ref="AJ46" si="116">+AJ43+AJ44+AJ45</f>
        <v>0</v>
      </c>
      <c r="AL46" s="275"/>
    </row>
    <row r="47" spans="2:48" ht="15" customHeight="1">
      <c r="B47" s="249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L47" s="275"/>
      <c r="AN47" s="305" t="s">
        <v>220</v>
      </c>
      <c r="AO47" s="306">
        <f>+$AO$30</f>
        <v>57753.369309265836</v>
      </c>
    </row>
    <row r="48" spans="2:48" ht="15" customHeight="1">
      <c r="B48" s="278" t="s">
        <v>201</v>
      </c>
      <c r="C48" s="299">
        <f t="shared" ref="C48:H48" si="117">+IFERROR(SUM(C32,C34,C36,C41),"n.a.")+C46</f>
        <v>1155176.4010000001</v>
      </c>
      <c r="D48" s="299">
        <f t="shared" si="117"/>
        <v>608765.16200000001</v>
      </c>
      <c r="E48" s="299">
        <f t="shared" si="117"/>
        <v>-2421969.1239999998</v>
      </c>
      <c r="F48" s="299">
        <f t="shared" si="117"/>
        <v>5342429.3190000001</v>
      </c>
      <c r="G48" s="299">
        <f t="shared" si="117"/>
        <v>2141090</v>
      </c>
      <c r="H48" s="299">
        <f t="shared" si="117"/>
        <v>2282274.5231832238</v>
      </c>
      <c r="I48" s="299">
        <f t="shared" ref="I48:AJ48" si="118">+IFERROR(SUM(I32,I34,I36,I41),"n.a.")+I46</f>
        <v>1949823.0236378994</v>
      </c>
      <c r="J48" s="299">
        <f t="shared" si="118"/>
        <v>2100262.922737062</v>
      </c>
      <c r="K48" s="299">
        <f t="shared" si="118"/>
        <v>2259732.8913800321</v>
      </c>
      <c r="L48" s="299">
        <f t="shared" si="118"/>
        <v>2431843.4010343058</v>
      </c>
      <c r="M48" s="299">
        <f t="shared" si="118"/>
        <v>2562695.3786249333</v>
      </c>
      <c r="N48" s="299">
        <f t="shared" si="118"/>
        <v>2700777.0850561801</v>
      </c>
      <c r="O48" s="299">
        <f t="shared" si="118"/>
        <v>2845762.8768089893</v>
      </c>
      <c r="P48" s="299">
        <f t="shared" si="118"/>
        <v>2997997.9581494387</v>
      </c>
      <c r="Q48" s="299">
        <f t="shared" si="118"/>
        <v>3157844.7935569114</v>
      </c>
      <c r="R48" s="299">
        <f t="shared" si="118"/>
        <v>3224980.4644280495</v>
      </c>
      <c r="S48" s="299">
        <f t="shared" si="118"/>
        <v>3293458.8487166101</v>
      </c>
      <c r="T48" s="299">
        <f t="shared" si="118"/>
        <v>3363306.8006909424</v>
      </c>
      <c r="U48" s="299">
        <f t="shared" si="118"/>
        <v>3434551.7117047613</v>
      </c>
      <c r="V48" s="299">
        <f t="shared" si="118"/>
        <v>3507221.5209388565</v>
      </c>
      <c r="W48" s="299">
        <f t="shared" si="118"/>
        <v>3581344.7263576337</v>
      </c>
      <c r="X48" s="299">
        <f t="shared" si="118"/>
        <v>3656950.3958847863</v>
      </c>
      <c r="Y48" s="299">
        <f t="shared" si="118"/>
        <v>3734068.1788024828</v>
      </c>
      <c r="Z48" s="299">
        <f t="shared" si="118"/>
        <v>3812728.3173785321</v>
      </c>
      <c r="AA48" s="299">
        <f t="shared" si="118"/>
        <v>3892961.6587261027</v>
      </c>
      <c r="AB48" s="299">
        <f t="shared" si="118"/>
        <v>3974799.6669006245</v>
      </c>
      <c r="AC48" s="299">
        <f t="shared" si="118"/>
        <v>4058274.435238638</v>
      </c>
      <c r="AD48" s="299">
        <f t="shared" si="118"/>
        <v>4143418.6989434091</v>
      </c>
      <c r="AE48" s="299">
        <f t="shared" si="118"/>
        <v>4230265.8479222776</v>
      </c>
      <c r="AF48" s="299">
        <f t="shared" si="118"/>
        <v>4318849.9398807241</v>
      </c>
      <c r="AG48" s="299">
        <f t="shared" si="118"/>
        <v>4409205.7136783376</v>
      </c>
      <c r="AH48" s="299">
        <f t="shared" si="118"/>
        <v>4501368.6029519038</v>
      </c>
      <c r="AI48" s="299">
        <f t="shared" si="118"/>
        <v>4595374.7500109421</v>
      </c>
      <c r="AJ48" s="300">
        <f t="shared" si="118"/>
        <v>4691261.0200111615</v>
      </c>
      <c r="AL48" s="275"/>
      <c r="AN48" s="2" t="s">
        <v>214</v>
      </c>
      <c r="AO48" s="307">
        <f>+$AO$47/AO34</f>
        <v>5489.8640027819238</v>
      </c>
    </row>
    <row r="49" spans="1:48" ht="15" customHeight="1">
      <c r="B49" s="249" t="s">
        <v>15</v>
      </c>
      <c r="C49" s="202">
        <f t="shared" ref="C49:AJ49" si="119">+IFERROR(C48/C11,"n.a.")</f>
        <v>0.3163146620262679</v>
      </c>
      <c r="D49" s="202">
        <f t="shared" si="119"/>
        <v>0.12668780096057658</v>
      </c>
      <c r="E49" s="202">
        <f t="shared" si="119"/>
        <v>-0.71694071517376112</v>
      </c>
      <c r="F49" s="202">
        <f t="shared" si="119"/>
        <v>0.89163831950865369</v>
      </c>
      <c r="G49" s="202">
        <f t="shared" si="119"/>
        <v>0.25492201452553875</v>
      </c>
      <c r="H49" s="202">
        <f t="shared" si="119"/>
        <v>0.25395485701827253</v>
      </c>
      <c r="I49" s="202">
        <f t="shared" si="119"/>
        <v>0.20276829885987796</v>
      </c>
      <c r="J49" s="202">
        <f t="shared" si="119"/>
        <v>0.20412432012654352</v>
      </c>
      <c r="K49" s="202">
        <f t="shared" si="119"/>
        <v>0.20525531650674325</v>
      </c>
      <c r="L49" s="202">
        <f t="shared" si="119"/>
        <v>0.20643775873389925</v>
      </c>
      <c r="M49" s="202">
        <f t="shared" si="119"/>
        <v>0.20718638694926761</v>
      </c>
      <c r="N49" s="202">
        <f t="shared" si="119"/>
        <v>0.20795227328501678</v>
      </c>
      <c r="O49" s="202">
        <f t="shared" si="119"/>
        <v>0.20868168884287311</v>
      </c>
      <c r="P49" s="202">
        <f t="shared" si="119"/>
        <v>0.2093763703265458</v>
      </c>
      <c r="Q49" s="202">
        <f t="shared" si="119"/>
        <v>0.21003797173956745</v>
      </c>
      <c r="R49" s="202">
        <f t="shared" si="119"/>
        <v>0.21029742327408574</v>
      </c>
      <c r="S49" s="202">
        <f t="shared" si="119"/>
        <v>0.21055178752361345</v>
      </c>
      <c r="T49" s="202">
        <f t="shared" si="119"/>
        <v>0.21080116423883671</v>
      </c>
      <c r="U49" s="202">
        <f t="shared" si="119"/>
        <v>0.2110456512145458</v>
      </c>
      <c r="V49" s="202">
        <f t="shared" si="119"/>
        <v>0.2112853443279861</v>
      </c>
      <c r="W49" s="202">
        <f t="shared" si="119"/>
        <v>0.21152033757645694</v>
      </c>
      <c r="X49" s="202">
        <f t="shared" si="119"/>
        <v>0.21175072311417348</v>
      </c>
      <c r="Y49" s="202">
        <f t="shared" si="119"/>
        <v>0.2119765912884054</v>
      </c>
      <c r="Z49" s="202">
        <f t="shared" si="119"/>
        <v>0.21219803067490725</v>
      </c>
      <c r="AA49" s="202">
        <f t="shared" si="119"/>
        <v>0.21241512811265417</v>
      </c>
      <c r="AB49" s="202">
        <f t="shared" si="119"/>
        <v>0.21262796873789622</v>
      </c>
      <c r="AC49" s="202">
        <f t="shared" si="119"/>
        <v>0.21283663601754535</v>
      </c>
      <c r="AD49" s="202">
        <f t="shared" si="119"/>
        <v>0.21304121178190716</v>
      </c>
      <c r="AE49" s="202">
        <f t="shared" si="119"/>
        <v>0.21324177625677174</v>
      </c>
      <c r="AF49" s="202">
        <f t="shared" si="119"/>
        <v>0.2134384080948743</v>
      </c>
      <c r="AG49" s="202">
        <f t="shared" si="119"/>
        <v>0.21363118440673945</v>
      </c>
      <c r="AH49" s="202">
        <f t="shared" si="119"/>
        <v>0.21382018079092102</v>
      </c>
      <c r="AI49" s="202">
        <f t="shared" si="119"/>
        <v>0.21400547136364806</v>
      </c>
      <c r="AJ49" s="202">
        <f t="shared" si="119"/>
        <v>0.21418712878789029</v>
      </c>
      <c r="AL49" s="275"/>
      <c r="AN49" s="2" t="s">
        <v>215</v>
      </c>
      <c r="AO49" s="307">
        <f t="shared" ref="AO49:AO52" si="120">+$AO$47/AO35</f>
        <v>5245.5376302693767</v>
      </c>
    </row>
    <row r="50" spans="1:48" ht="15" customHeight="1">
      <c r="B50" s="66"/>
      <c r="AL50" s="275"/>
      <c r="AN50" s="2" t="s">
        <v>216</v>
      </c>
      <c r="AO50" s="307">
        <f t="shared" si="120"/>
        <v>4259.098031656772</v>
      </c>
    </row>
    <row r="51" spans="1:48" ht="15" customHeight="1">
      <c r="B51" s="280" t="s">
        <v>202</v>
      </c>
      <c r="C51" s="281"/>
      <c r="D51" s="281"/>
      <c r="E51" s="282"/>
      <c r="F51" s="282">
        <v>0</v>
      </c>
      <c r="G51" s="282">
        <f>+F51+1</f>
        <v>1</v>
      </c>
      <c r="H51" s="282">
        <f t="shared" ref="H51:AJ51" si="121">+G51+1</f>
        <v>2</v>
      </c>
      <c r="I51" s="282">
        <f t="shared" si="121"/>
        <v>3</v>
      </c>
      <c r="J51" s="282">
        <f t="shared" si="121"/>
        <v>4</v>
      </c>
      <c r="K51" s="282">
        <f t="shared" si="121"/>
        <v>5</v>
      </c>
      <c r="L51" s="282">
        <f t="shared" si="121"/>
        <v>6</v>
      </c>
      <c r="M51" s="282">
        <f t="shared" si="121"/>
        <v>7</v>
      </c>
      <c r="N51" s="282">
        <f t="shared" si="121"/>
        <v>8</v>
      </c>
      <c r="O51" s="282">
        <f t="shared" si="121"/>
        <v>9</v>
      </c>
      <c r="P51" s="282">
        <f t="shared" si="121"/>
        <v>10</v>
      </c>
      <c r="Q51" s="282">
        <f t="shared" si="121"/>
        <v>11</v>
      </c>
      <c r="R51" s="282">
        <f t="shared" si="121"/>
        <v>12</v>
      </c>
      <c r="S51" s="282">
        <f t="shared" si="121"/>
        <v>13</v>
      </c>
      <c r="T51" s="282">
        <f t="shared" si="121"/>
        <v>14</v>
      </c>
      <c r="U51" s="282">
        <f t="shared" si="121"/>
        <v>15</v>
      </c>
      <c r="V51" s="282">
        <f t="shared" si="121"/>
        <v>16</v>
      </c>
      <c r="W51" s="282">
        <f t="shared" si="121"/>
        <v>17</v>
      </c>
      <c r="X51" s="282">
        <f t="shared" si="121"/>
        <v>18</v>
      </c>
      <c r="Y51" s="282">
        <f t="shared" si="121"/>
        <v>19</v>
      </c>
      <c r="Z51" s="282">
        <f t="shared" si="121"/>
        <v>20</v>
      </c>
      <c r="AA51" s="282">
        <f t="shared" si="121"/>
        <v>21</v>
      </c>
      <c r="AB51" s="282">
        <f t="shared" si="121"/>
        <v>22</v>
      </c>
      <c r="AC51" s="282">
        <f t="shared" si="121"/>
        <v>23</v>
      </c>
      <c r="AD51" s="282">
        <f t="shared" si="121"/>
        <v>24</v>
      </c>
      <c r="AE51" s="282">
        <f t="shared" si="121"/>
        <v>25</v>
      </c>
      <c r="AF51" s="282">
        <f t="shared" si="121"/>
        <v>26</v>
      </c>
      <c r="AG51" s="282">
        <f t="shared" si="121"/>
        <v>27</v>
      </c>
      <c r="AH51" s="282">
        <f t="shared" si="121"/>
        <v>28</v>
      </c>
      <c r="AI51" s="282">
        <f t="shared" si="121"/>
        <v>29</v>
      </c>
      <c r="AJ51" s="282">
        <f t="shared" si="121"/>
        <v>30</v>
      </c>
      <c r="AL51" s="275"/>
      <c r="AN51" s="2" t="s">
        <v>217</v>
      </c>
      <c r="AO51" s="307">
        <f t="shared" si="120"/>
        <v>3405.2694168199196</v>
      </c>
    </row>
    <row r="52" spans="1:48" ht="15" customHeight="1" thickBot="1">
      <c r="B52" s="280" t="s">
        <v>203</v>
      </c>
      <c r="C52" s="283"/>
      <c r="D52" s="283"/>
      <c r="E52" s="283"/>
      <c r="F52" s="283">
        <f t="shared" ref="F52:AJ52" si="122">1/((1+$AO$21)^F51)</f>
        <v>1</v>
      </c>
      <c r="G52" s="283">
        <f t="shared" si="122"/>
        <v>0.92592592592592582</v>
      </c>
      <c r="H52" s="283">
        <f t="shared" si="122"/>
        <v>0.85733882030178321</v>
      </c>
      <c r="I52" s="283">
        <f t="shared" si="122"/>
        <v>0.79383224102016958</v>
      </c>
      <c r="J52" s="283">
        <f t="shared" si="122"/>
        <v>0.73502985279645328</v>
      </c>
      <c r="K52" s="283">
        <f t="shared" si="122"/>
        <v>0.68058319703375303</v>
      </c>
      <c r="L52" s="283">
        <f t="shared" si="122"/>
        <v>0.63016962688310452</v>
      </c>
      <c r="M52" s="283">
        <f t="shared" si="122"/>
        <v>0.58349039526213387</v>
      </c>
      <c r="N52" s="283">
        <f t="shared" si="122"/>
        <v>0.54026888450197574</v>
      </c>
      <c r="O52" s="283">
        <f t="shared" si="122"/>
        <v>0.50024896713145905</v>
      </c>
      <c r="P52" s="283">
        <f t="shared" si="122"/>
        <v>0.46319348808468425</v>
      </c>
      <c r="Q52" s="283">
        <f t="shared" si="122"/>
        <v>0.42888285933767062</v>
      </c>
      <c r="R52" s="283">
        <f t="shared" si="122"/>
        <v>0.39711375864599124</v>
      </c>
      <c r="S52" s="283">
        <f t="shared" si="122"/>
        <v>0.36769792467221413</v>
      </c>
      <c r="T52" s="283">
        <f t="shared" si="122"/>
        <v>0.34046104136316119</v>
      </c>
      <c r="U52" s="283">
        <f t="shared" si="122"/>
        <v>0.31524170496588994</v>
      </c>
      <c r="V52" s="283">
        <f t="shared" si="122"/>
        <v>0.29189046756100923</v>
      </c>
      <c r="W52" s="283">
        <f t="shared" si="122"/>
        <v>0.27026895144537894</v>
      </c>
      <c r="X52" s="283">
        <f t="shared" si="122"/>
        <v>0.25024902911609154</v>
      </c>
      <c r="Y52" s="283">
        <f t="shared" si="122"/>
        <v>0.23171206399638106</v>
      </c>
      <c r="Z52" s="283">
        <f t="shared" si="122"/>
        <v>0.21454820740405653</v>
      </c>
      <c r="AA52" s="283">
        <f t="shared" si="122"/>
        <v>0.19865574759634863</v>
      </c>
      <c r="AB52" s="283">
        <f t="shared" si="122"/>
        <v>0.18394050703365611</v>
      </c>
      <c r="AC52" s="283">
        <f t="shared" si="122"/>
        <v>0.17031528429042234</v>
      </c>
      <c r="AD52" s="283">
        <f t="shared" si="122"/>
        <v>0.1576993373059466</v>
      </c>
      <c r="AE52" s="283">
        <f t="shared" si="122"/>
        <v>0.1460179049129135</v>
      </c>
      <c r="AF52" s="283">
        <f t="shared" si="122"/>
        <v>0.13520176380825324</v>
      </c>
      <c r="AG52" s="283">
        <f t="shared" si="122"/>
        <v>0.12518681834097523</v>
      </c>
      <c r="AH52" s="283">
        <f t="shared" si="122"/>
        <v>0.11591372068608817</v>
      </c>
      <c r="AI52" s="283">
        <f t="shared" si="122"/>
        <v>0.10732751915378534</v>
      </c>
      <c r="AJ52" s="283">
        <f t="shared" si="122"/>
        <v>9.9377332549801231E-2</v>
      </c>
      <c r="AL52" s="279">
        <f>+AJ48*AL42</f>
        <v>46912610.200111613</v>
      </c>
      <c r="AN52" s="2" t="s">
        <v>218</v>
      </c>
      <c r="AO52" s="307">
        <f t="shared" si="120"/>
        <v>2978.5131154856026</v>
      </c>
    </row>
    <row r="53" spans="1:48">
      <c r="B53" s="28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</row>
    <row r="54" spans="1:48" ht="15" customHeight="1">
      <c r="B54" s="284" t="s">
        <v>204</v>
      </c>
      <c r="C54" s="191"/>
      <c r="D54" s="165"/>
      <c r="E54" s="165"/>
      <c r="F54" s="299">
        <f t="shared" ref="F54:AJ54" si="123">+IFERROR(F48*F52,"n.a.")</f>
        <v>5342429.3190000001</v>
      </c>
      <c r="G54" s="299">
        <f t="shared" si="123"/>
        <v>1982490.7407407404</v>
      </c>
      <c r="H54" s="299">
        <f t="shared" si="123"/>
        <v>1956682.54731072</v>
      </c>
      <c r="I54" s="299">
        <f t="shared" si="123"/>
        <v>1547832.3804471968</v>
      </c>
      <c r="J54" s="299">
        <f t="shared" si="123"/>
        <v>1543755.9469332714</v>
      </c>
      <c r="K54" s="299">
        <f t="shared" si="123"/>
        <v>1537936.2356577488</v>
      </c>
      <c r="L54" s="299">
        <f t="shared" si="123"/>
        <v>1532473.8486679285</v>
      </c>
      <c r="M54" s="299">
        <f t="shared" si="123"/>
        <v>1495308.1394103062</v>
      </c>
      <c r="N54" s="299">
        <f t="shared" si="123"/>
        <v>1459145.8230318001</v>
      </c>
      <c r="O54" s="299">
        <f t="shared" si="123"/>
        <v>1423589.9398247465</v>
      </c>
      <c r="P54" s="299">
        <f t="shared" si="123"/>
        <v>1388653.1315059997</v>
      </c>
      <c r="Q54" s="299">
        <f t="shared" si="123"/>
        <v>1354345.5044052643</v>
      </c>
      <c r="R54" s="299">
        <f t="shared" si="123"/>
        <v>1280684.1137889172</v>
      </c>
      <c r="S54" s="299">
        <f t="shared" si="123"/>
        <v>1210997.9836664372</v>
      </c>
      <c r="T54" s="299">
        <f t="shared" si="123"/>
        <v>1145074.9357870403</v>
      </c>
      <c r="U54" s="299">
        <f t="shared" si="123"/>
        <v>1082713.9373913247</v>
      </c>
      <c r="V54" s="299">
        <f t="shared" si="123"/>
        <v>1023724.5295868767</v>
      </c>
      <c r="W54" s="299">
        <f t="shared" si="123"/>
        <v>967926.28395711526</v>
      </c>
      <c r="X54" s="299">
        <f t="shared" si="123"/>
        <v>915148.28609587438</v>
      </c>
      <c r="Y54" s="299">
        <f t="shared" si="123"/>
        <v>865228.64481353096</v>
      </c>
      <c r="Z54" s="299">
        <f t="shared" si="123"/>
        <v>818014.02581224882</v>
      </c>
      <c r="AA54" s="299">
        <f t="shared" si="123"/>
        <v>773359.20867815532</v>
      </c>
      <c r="AB54" s="299">
        <f t="shared" si="123"/>
        <v>731126.66608690831</v>
      </c>
      <c r="AC54" s="299">
        <f t="shared" si="123"/>
        <v>691186.16416622174</v>
      </c>
      <c r="AD54" s="299">
        <f t="shared" si="123"/>
        <v>653414.38300444302</v>
      </c>
      <c r="AE54" s="299">
        <f t="shared" si="123"/>
        <v>617694.55633826053</v>
      </c>
      <c r="AF54" s="299">
        <f t="shared" si="123"/>
        <v>583916.12949504238</v>
      </c>
      <c r="AG54" s="299">
        <f t="shared" si="123"/>
        <v>551974.43470624008</v>
      </c>
      <c r="AH54" s="299">
        <f t="shared" si="123"/>
        <v>521770.38294769393</v>
      </c>
      <c r="AI54" s="299">
        <f t="shared" si="123"/>
        <v>493210.1715006209</v>
      </c>
      <c r="AJ54" s="300">
        <f t="shared" si="123"/>
        <v>466205.00646356895</v>
      </c>
    </row>
    <row r="55" spans="1:48">
      <c r="B55" s="255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L55" s="282">
        <f>+AJ51</f>
        <v>30</v>
      </c>
    </row>
    <row r="56" spans="1:48">
      <c r="B56" s="255"/>
      <c r="C56" s="37"/>
      <c r="D56" s="37"/>
      <c r="E56" s="37"/>
      <c r="F56" s="227">
        <f>+F54</f>
        <v>5342429.3190000001</v>
      </c>
      <c r="G56" s="227">
        <f>+F56+G54</f>
        <v>7324920.0597407408</v>
      </c>
      <c r="H56" s="227">
        <f t="shared" ref="H56:AJ56" si="124">+G56+H54</f>
        <v>9281602.6070514601</v>
      </c>
      <c r="I56" s="227">
        <f t="shared" si="124"/>
        <v>10829434.987498656</v>
      </c>
      <c r="J56" s="227">
        <f t="shared" si="124"/>
        <v>12373190.934431927</v>
      </c>
      <c r="K56" s="227">
        <f t="shared" si="124"/>
        <v>13911127.170089677</v>
      </c>
      <c r="L56" s="227">
        <f t="shared" si="124"/>
        <v>15443601.018757606</v>
      </c>
      <c r="M56" s="227">
        <f t="shared" si="124"/>
        <v>16938909.158167914</v>
      </c>
      <c r="N56" s="227">
        <f t="shared" si="124"/>
        <v>18398054.981199715</v>
      </c>
      <c r="O56" s="227">
        <f t="shared" si="124"/>
        <v>19821644.92102446</v>
      </c>
      <c r="P56" s="227">
        <f t="shared" si="124"/>
        <v>21210298.05253046</v>
      </c>
      <c r="Q56" s="227">
        <f t="shared" si="124"/>
        <v>22564643.556935724</v>
      </c>
      <c r="R56" s="227">
        <f t="shared" si="124"/>
        <v>23845327.670724642</v>
      </c>
      <c r="S56" s="227">
        <f t="shared" si="124"/>
        <v>25056325.65439108</v>
      </c>
      <c r="T56" s="227">
        <f t="shared" si="124"/>
        <v>26201400.590178121</v>
      </c>
      <c r="U56" s="227">
        <f t="shared" si="124"/>
        <v>27284114.527569447</v>
      </c>
      <c r="V56" s="227">
        <f t="shared" si="124"/>
        <v>28307839.057156324</v>
      </c>
      <c r="W56" s="227">
        <f t="shared" si="124"/>
        <v>29275765.341113441</v>
      </c>
      <c r="X56" s="227">
        <f t="shared" si="124"/>
        <v>30190913.627209313</v>
      </c>
      <c r="Y56" s="227">
        <f t="shared" si="124"/>
        <v>31056142.272022843</v>
      </c>
      <c r="Z56" s="227">
        <f t="shared" si="124"/>
        <v>31874156.297835093</v>
      </c>
      <c r="AA56" s="227">
        <f t="shared" si="124"/>
        <v>32647515.506513249</v>
      </c>
      <c r="AB56" s="227">
        <f t="shared" si="124"/>
        <v>33378642.172600158</v>
      </c>
      <c r="AC56" s="227">
        <f t="shared" si="124"/>
        <v>34069828.336766377</v>
      </c>
      <c r="AD56" s="227">
        <f t="shared" si="124"/>
        <v>34723242.719770819</v>
      </c>
      <c r="AE56" s="227">
        <f t="shared" si="124"/>
        <v>35340937.276109077</v>
      </c>
      <c r="AF56" s="227">
        <f t="shared" si="124"/>
        <v>35924853.405604117</v>
      </c>
      <c r="AG56" s="227">
        <f t="shared" si="124"/>
        <v>36476827.840310358</v>
      </c>
      <c r="AH56" s="227">
        <f t="shared" si="124"/>
        <v>36998598.223258048</v>
      </c>
      <c r="AI56" s="227">
        <f t="shared" si="124"/>
        <v>37491808.394758672</v>
      </c>
      <c r="AJ56" s="227">
        <f t="shared" si="124"/>
        <v>37958013.401222244</v>
      </c>
      <c r="AL56" s="283">
        <f>1/((1+$AO$21)^AL55)</f>
        <v>9.9377332549801231E-2</v>
      </c>
      <c r="AQ56" s="252"/>
    </row>
    <row r="57" spans="1:48">
      <c r="A57" s="252"/>
      <c r="F57" s="314">
        <f t="shared" ref="F57:AJ57" si="125">+F56/$AO$18</f>
        <v>0.96105972108434856</v>
      </c>
      <c r="G57" s="314">
        <f t="shared" si="125"/>
        <v>1.3176937324268203</v>
      </c>
      <c r="H57" s="314">
        <f t="shared" si="125"/>
        <v>1.6696850590095076</v>
      </c>
      <c r="I57" s="314">
        <f t="shared" si="125"/>
        <v>1.9481275553000057</v>
      </c>
      <c r="J57" s="314">
        <f t="shared" si="125"/>
        <v>2.2258367342507723</v>
      </c>
      <c r="K57" s="314">
        <f t="shared" si="125"/>
        <v>2.5024989943260096</v>
      </c>
      <c r="L57" s="314">
        <f t="shared" si="125"/>
        <v>2.7781786152677306</v>
      </c>
      <c r="M57" s="314">
        <f t="shared" si="125"/>
        <v>3.0471724264326148</v>
      </c>
      <c r="N57" s="314">
        <f t="shared" si="125"/>
        <v>3.3096609300646711</v>
      </c>
      <c r="O57" s="314">
        <f t="shared" si="125"/>
        <v>3.5657532185748253</v>
      </c>
      <c r="P57" s="314">
        <f t="shared" si="125"/>
        <v>3.8155606585163744</v>
      </c>
      <c r="Q57" s="314">
        <f t="shared" si="125"/>
        <v>4.059196434489392</v>
      </c>
      <c r="R57" s="314">
        <f t="shared" si="125"/>
        <v>4.2895811234955383</v>
      </c>
      <c r="S57" s="314">
        <f t="shared" si="125"/>
        <v>4.5074298426684898</v>
      </c>
      <c r="T57" s="314">
        <f t="shared" si="125"/>
        <v>4.7134195399948293</v>
      </c>
      <c r="U57" s="314">
        <f t="shared" si="125"/>
        <v>4.9081909992975827</v>
      </c>
      <c r="V57" s="314">
        <f t="shared" si="125"/>
        <v>5.0923507423891641</v>
      </c>
      <c r="W57" s="314">
        <f t="shared" si="125"/>
        <v>5.2664728334726556</v>
      </c>
      <c r="X57" s="314">
        <f t="shared" si="125"/>
        <v>5.4311005906351495</v>
      </c>
      <c r="Y57" s="314">
        <f t="shared" si="125"/>
        <v>5.5867482090512466</v>
      </c>
      <c r="Z57" s="314">
        <f t="shared" si="125"/>
        <v>5.7339023002985146</v>
      </c>
      <c r="AA57" s="314">
        <f t="shared" si="125"/>
        <v>5.8730233519794304</v>
      </c>
      <c r="AB57" s="314">
        <f t="shared" si="125"/>
        <v>6.0045471116458176</v>
      </c>
      <c r="AC57" s="314">
        <f t="shared" si="125"/>
        <v>6.1288858988317347</v>
      </c>
      <c r="AD57" s="314">
        <f t="shared" si="125"/>
        <v>6.2464298488189467</v>
      </c>
      <c r="AE57" s="314">
        <f t="shared" si="125"/>
        <v>6.3575480915851204</v>
      </c>
      <c r="AF57" s="314">
        <f t="shared" si="125"/>
        <v>6.4625898692186334</v>
      </c>
      <c r="AG57" s="314">
        <f t="shared" si="125"/>
        <v>6.5618855949248864</v>
      </c>
      <c r="AH57" s="314">
        <f t="shared" si="125"/>
        <v>6.655747856597193</v>
      </c>
      <c r="AI57" s="314">
        <f t="shared" si="125"/>
        <v>6.7444723677802587</v>
      </c>
      <c r="AJ57" s="314">
        <f t="shared" si="125"/>
        <v>6.8283388687158064</v>
      </c>
      <c r="AL57" s="21"/>
      <c r="AR57" s="252"/>
      <c r="AS57" s="252"/>
      <c r="AT57" s="252"/>
      <c r="AU57" s="252"/>
      <c r="AV57" s="252"/>
    </row>
    <row r="58" spans="1:48" ht="15" customHeight="1">
      <c r="AL58" s="285">
        <f t="shared" ref="AL58" si="126">+IFERROR(AL52*AL56,"n.a.")</f>
        <v>4662050.0646356894</v>
      </c>
    </row>
    <row r="59" spans="1:48" ht="15" customHeight="1"/>
    <row r="60" spans="1:48" ht="15" customHeight="1"/>
    <row r="61" spans="1:48" ht="15" customHeight="1"/>
    <row r="62" spans="1:48" ht="15" customHeight="1"/>
    <row r="63" spans="1:48" ht="15" customHeight="1"/>
    <row r="64" spans="1:48" ht="15" customHeight="1"/>
    <row r="65" ht="15" customHeight="1"/>
    <row r="66" ht="15" customHeight="1"/>
    <row r="67" ht="15" customHeight="1"/>
    <row r="68" ht="15" customHeight="1"/>
    <row r="72" ht="14.5" customHeight="1"/>
    <row r="73" ht="14.5" customHeight="1"/>
    <row r="74" ht="14.5" customHeight="1"/>
    <row r="75" ht="14.5" customHeight="1"/>
    <row r="76" ht="14.5" customHeight="1"/>
    <row r="77" ht="14.5" customHeight="1"/>
    <row r="78" ht="14.5" customHeight="1"/>
    <row r="79" ht="14.5" customHeight="1"/>
    <row r="80" ht="14.5" customHeight="1"/>
    <row r="94" ht="15.75" customHeight="1"/>
    <row r="142" ht="15" customHeight="1"/>
    <row r="143" ht="15" customHeight="1"/>
    <row r="144" ht="15" customHeight="1"/>
    <row r="145" spans="2:36" ht="15" customHeight="1"/>
    <row r="146" spans="2:36" ht="15" customHeight="1"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</row>
    <row r="147" spans="2:36" ht="15" customHeight="1"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</row>
    <row r="148" spans="2:36" ht="15" customHeight="1"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</row>
    <row r="149" spans="2:36" ht="15" customHeight="1"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</row>
    <row r="150" spans="2:36" ht="15" customHeight="1"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</row>
    <row r="151" spans="2:36" ht="15" customHeight="1"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</row>
    <row r="152" spans="2:36" ht="15" customHeight="1"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</row>
    <row r="153" spans="2:36"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</row>
    <row r="154" spans="2:36" ht="15" customHeight="1"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</row>
    <row r="155" spans="2:36" ht="15" customHeight="1"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</row>
    <row r="156" spans="2:36" ht="15" customHeight="1"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</row>
    <row r="157" spans="2:36" ht="15" customHeight="1"/>
    <row r="158" spans="2:36" ht="15" customHeight="1"/>
    <row r="159" spans="2:36" ht="15" customHeight="1"/>
    <row r="160" spans="2:36" ht="15" customHeight="1"/>
    <row r="161" ht="15" customHeight="1"/>
    <row r="162" ht="15" customHeight="1"/>
    <row r="163" ht="15" customHeight="1"/>
    <row r="164" ht="15" customHeight="1"/>
  </sheetData>
  <conditionalFormatting sqref="AN12:AN18">
    <cfRule type="expression" dxfId="0" priority="3" stopIfTrue="1">
      <formula>MOD(ROW(),2)=1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692F8-9046-475A-8F2F-004D58BDBEB9}">
  <dimension ref="A2:H12"/>
  <sheetViews>
    <sheetView tabSelected="1" zoomScale="125" zoomScaleNormal="80" workbookViewId="0">
      <selection activeCell="E15" sqref="E15"/>
    </sheetView>
  </sheetViews>
  <sheetFormatPr baseColWidth="10" defaultColWidth="8.83203125" defaultRowHeight="15"/>
  <cols>
    <col min="2" max="2" width="24" customWidth="1"/>
    <col min="3" max="3" width="9.5" bestFit="1" customWidth="1"/>
  </cols>
  <sheetData>
    <row r="2" spans="1:8">
      <c r="C2" s="326" t="s">
        <v>225</v>
      </c>
      <c r="D2" s="326" t="s">
        <v>352</v>
      </c>
      <c r="E2" s="326" t="s">
        <v>353</v>
      </c>
      <c r="H2" s="34" t="s">
        <v>230</v>
      </c>
    </row>
    <row r="3" spans="1:8">
      <c r="A3">
        <v>1</v>
      </c>
      <c r="B3" t="s">
        <v>354</v>
      </c>
      <c r="C3" s="325">
        <v>4.8099999999999996</v>
      </c>
      <c r="D3">
        <v>5.56</v>
      </c>
      <c r="E3">
        <v>7.03</v>
      </c>
      <c r="H3" s="34" t="s">
        <v>231</v>
      </c>
    </row>
    <row r="4" spans="1:8">
      <c r="A4">
        <f>+A3+1</f>
        <v>2</v>
      </c>
      <c r="B4" t="s">
        <v>355</v>
      </c>
      <c r="C4" s="325">
        <v>3.3</v>
      </c>
      <c r="D4">
        <v>3.26</v>
      </c>
      <c r="E4">
        <v>3.68</v>
      </c>
    </row>
    <row r="5" spans="1:8">
      <c r="A5">
        <f t="shared" ref="A5" si="0">+A4+1</f>
        <v>3</v>
      </c>
      <c r="B5" t="s">
        <v>226</v>
      </c>
      <c r="C5" s="325">
        <v>3.94</v>
      </c>
      <c r="D5">
        <v>4.3600000000000003</v>
      </c>
      <c r="E5">
        <v>5.17</v>
      </c>
    </row>
    <row r="6" spans="1:8">
      <c r="C6" s="38"/>
    </row>
    <row r="7" spans="1:8">
      <c r="B7" t="s">
        <v>284</v>
      </c>
      <c r="C7" s="325">
        <v>115.47</v>
      </c>
    </row>
    <row r="10" spans="1:8">
      <c r="B10" s="308" t="s">
        <v>227</v>
      </c>
      <c r="C10" s="324">
        <f>C7/C3</f>
        <v>24.006237006237008</v>
      </c>
    </row>
    <row r="11" spans="1:8">
      <c r="B11" s="329" t="s">
        <v>228</v>
      </c>
      <c r="C11" s="327">
        <f>C7/C4</f>
        <v>34.990909090909092</v>
      </c>
    </row>
    <row r="12" spans="1:8">
      <c r="B12" s="309" t="s">
        <v>229</v>
      </c>
      <c r="C12" s="328">
        <f>+$C$7/C5</f>
        <v>29.30710659898477</v>
      </c>
    </row>
  </sheetData>
  <sortState xmlns:xlrd2="http://schemas.microsoft.com/office/spreadsheetml/2017/richdata2" ref="B3:C5">
    <sortCondition descending="1" ref="C3:C5"/>
  </sortState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599F743EA2444BF75E0C41BBF309E" ma:contentTypeVersion="12" ma:contentTypeDescription="Create a new document." ma:contentTypeScope="" ma:versionID="75ad99f706cd8d8fe0a17194d8957e3e">
  <xsd:schema xmlns:xsd="http://www.w3.org/2001/XMLSchema" xmlns:xs="http://www.w3.org/2001/XMLSchema" xmlns:p="http://schemas.microsoft.com/office/2006/metadata/properties" xmlns:ns3="9d6c21a2-b61d-49b8-af5a-d892b87311f3" xmlns:ns4="56cd4023-677b-414a-8637-603afd9162f8" targetNamespace="http://schemas.microsoft.com/office/2006/metadata/properties" ma:root="true" ma:fieldsID="253fd6de64794fc6223cb893ae587410" ns3:_="" ns4:_="">
    <xsd:import namespace="9d6c21a2-b61d-49b8-af5a-d892b87311f3"/>
    <xsd:import namespace="56cd4023-677b-414a-8637-603afd9162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6c21a2-b61d-49b8-af5a-d892b8731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d4023-677b-414a-8637-603afd9162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FdsFormulaCache xmlns="urn:fdsformulacache" version="2" timestamp="1664584150"><![CDATA[{"SP50^FMA_EPS(NTMA,44832,,,,\"PORTAGG\",\"MEANR\")":235.272363445916,"SP50^P_PRICE(44832)":3719.04,"SP50^FMA_EPS(NTMA,,,,,\"PORTAGG\",\"MEANR\")":235.377626218017,"SP50^P_PRICE()":3640.47,"NFLX^FE_ESTIMATE(FCF,MEAN,NTMA,,44832,,,'')":1784.0593,"NFLX^FE_ESTIMATE(FCF,MEAN,LTMA,,44832,,,'')":654.66785,"NFLX^FE_ESTIMATE(SALES,MEAN,NTMA,,44832,,,'')":33569.08,"NFLX^FE_ESTIMATE(GROSS_INC,MEAN,NTMA,,44832,,,'')":13716.449,"NFLX^FE_ESTIMATE(EBITDA,MEAN,NTMA,,44832,,,'')":6902.4956,"NFLX^FREF_MARKET_VALUE_COMPANY(44832,,,,,0,,\"LEGACY\")":109041.811008589,"NFLX^FF_ENTRPR_VAL_DAILY(44832,,,,,\"DIL\")":121471.0468,"NFLX^FE_ESTIMATE(EPS,MEAN,NTMA,,44832,,,'')":10.725779,"NFLX^P_PRICE(44832)":245.2,"NFLX^FE_ESTIMATE(FCF,MEAN,NTMA,,,,,'')":1790.2739,"NFLX^FE_ESTIMATE(FCF,MEAN,LTMA,,,,,'')":660.7811,"NFLX^FE_ESTIMATE(SALES,MEAN,NTMA,,,,,'')":33582.71,"NFLX^FE_ESTIMATE(GROSS_INC,MEAN,NTMA,,,,,'')":13723.637,"NFLX^FE_ESTIMATE(EBITDA,MEAN,NTMA,,,,,'')":6906.7285,"NFLX^FREF_MARKET_VALUE_COMPANY(,,,,,0,,\"LEGACY\")":106600.381624305,"NFLX^FF_ENTRPR_VAL_DAILY(,,,,,\"DIL\")":118999.61899,"NFLX^FE_ESTIMATE(EPS,MEAN,NTMA,,,,,'')":10.730273,"NFLX^P_PRICE()":239.71}]]></FdsFormulaCache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AFB009-3781-4351-8212-A1730FD6CB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6c21a2-b61d-49b8-af5a-d892b87311f3"/>
    <ds:schemaRef ds:uri="56cd4023-677b-414a-8637-603afd9162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516CB5-FF25-4934-8A52-517B9ECE01F3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56cd4023-677b-414a-8637-603afd9162f8"/>
    <ds:schemaRef ds:uri="http://schemas.microsoft.com/office/2006/documentManagement/types"/>
    <ds:schemaRef ds:uri="http://purl.org/dc/elements/1.1/"/>
    <ds:schemaRef ds:uri="9d6c21a2-b61d-49b8-af5a-d892b87311f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4100669-BF22-44D0-A45A-6BC8C5F75380}">
  <ds:schemaRefs>
    <ds:schemaRef ds:uri="urn:fdsformulacache"/>
  </ds:schemaRefs>
</ds:datastoreItem>
</file>

<file path=customXml/itemProps4.xml><?xml version="1.0" encoding="utf-8"?>
<ds:datastoreItem xmlns:ds="http://schemas.openxmlformats.org/officeDocument/2006/customXml" ds:itemID="{F807EF75-E7A9-4FE6-A5BA-471F184755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</vt:lpstr>
      <vt:lpstr>MOD</vt:lpstr>
      <vt:lpstr>DCF - BAKED IN</vt:lpstr>
      <vt:lpstr>CONSENSUS</vt:lpstr>
      <vt:lpstr>MOD!Print_Area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brett</dc:creator>
  <cp:keywords/>
  <dc:description/>
  <cp:lastModifiedBy>Cole Dumont</cp:lastModifiedBy>
  <cp:revision/>
  <cp:lastPrinted>2021-03-02T02:10:50Z</cp:lastPrinted>
  <dcterms:created xsi:type="dcterms:W3CDTF">2018-07-27T23:27:18Z</dcterms:created>
  <dcterms:modified xsi:type="dcterms:W3CDTF">2023-10-27T20:03:35Z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Color">
    <vt:lpwstr>False</vt:lpwstr>
  </property>
  <property fmtid="{D5CDD505-2E9C-101B-9397-08002B2CF9AE}" pid="3" name="ContentTypeId">
    <vt:lpwstr>0x010100C3C599F743EA2444BF75E0C41BBF309E</vt:lpwstr>
  </property>
</Properties>
</file>