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cuments/Technology Assessment/"/>
    </mc:Choice>
  </mc:AlternateContent>
  <xr:revisionPtr revIDLastSave="0" documentId="13_ncr:1_{F3DD0D03-0C42-124B-A6EA-7AC1C73A682D}" xr6:coauthVersionLast="36" xr6:coauthVersionMax="41" xr10:uidLastSave="{00000000-0000-0000-0000-000000000000}"/>
  <bookViews>
    <workbookView xWindow="6340" yWindow="460" windowWidth="19020" windowHeight="15360" tabRatio="914" xr2:uid="{E709C3FC-BAE0-1B45-8E1D-86ED04823D8D}"/>
  </bookViews>
  <sheets>
    <sheet name="VENDOR QUESTIONNAIRE" sheetId="23" r:id="rId1"/>
    <sheet name="Assessment Results" sheetId="10" state="hidden" r:id="rId2"/>
    <sheet name="Guide" sheetId="17" r:id="rId3"/>
    <sheet name="Revisions" sheetId="12" state="hidden" r:id="rId4"/>
    <sheet name="Technology MASTER" sheetId="2" state="hidden" r:id="rId5"/>
    <sheet name="Risk Calc" sheetId="9" state="hidden" r:id="rId6"/>
    <sheet name="Customer Gap Calc" sheetId="21" state="hidden" r:id="rId7"/>
    <sheet name="Vendor Gap Calc" sheetId="24" state="hidden" r:id="rId8"/>
    <sheet name="Medical Device MASTER" sheetId="13" state="hidden" r:id="rId9"/>
    <sheet name="Why CIS Top 20" sheetId="7" state="hidden" r:id="rId10"/>
    <sheet name="NIST Map" sheetId="5" state="hidden" r:id="rId11"/>
    <sheet name="HIPAA Map" sheetId="3" state="hidden" r:id="rId12"/>
    <sheet name="PCI Map" sheetId="4" state="hidden" r:id="rId13"/>
    <sheet name="Tech Questionnaire BACKUP" sheetId="6" state="hidden" r:id="rId14"/>
  </sheets>
  <definedNames>
    <definedName name="_xlnm.Print_Area" localSheetId="1">'Assessment Results'!$A$1:$T$127</definedName>
    <definedName name="_xlnm.Print_Area" localSheetId="8">'Medical Device MASTER'!$A$1:$G$142</definedName>
    <definedName name="_xlnm.Print_Area" localSheetId="5">'Risk Calc'!$A$2:$AF$101</definedName>
    <definedName name="_xlnm.Print_Area" localSheetId="13">'Tech Questionnaire BACKUP'!$B$2:$O$125</definedName>
    <definedName name="_xlnm.Print_Area" localSheetId="4">'Technology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0" l="1"/>
  <c r="O94" i="10"/>
  <c r="O95" i="10"/>
  <c r="O96" i="10"/>
  <c r="O97" i="10"/>
  <c r="O93" i="10"/>
  <c r="P94" i="10"/>
  <c r="P95" i="10"/>
  <c r="P96" i="10"/>
  <c r="P97" i="10"/>
  <c r="P93" i="10"/>
  <c r="P1" i="23" l="1"/>
  <c r="D181" i="23" l="1"/>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S1" i="10"/>
  <c r="B2" i="24" a="1"/>
  <c r="B115" i="24" s="1"/>
  <c r="B2" i="21" a="1"/>
  <c r="B2" i="21" s="1"/>
  <c r="B15" i="24" l="1"/>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P18" i="9"/>
  <c r="P15" i="9"/>
  <c r="P16" i="9"/>
  <c r="P17" i="9"/>
  <c r="P14" i="9"/>
  <c r="U64" i="23"/>
  <c r="V64" i="23"/>
  <c r="U65" i="23"/>
  <c r="V65" i="23"/>
  <c r="U66" i="23"/>
  <c r="V66" i="23"/>
  <c r="U67" i="23"/>
  <c r="V67" i="23"/>
  <c r="U69" i="23"/>
  <c r="V69" i="23"/>
  <c r="U70" i="23"/>
  <c r="V70" i="23"/>
  <c r="U71" i="23"/>
  <c r="V71" i="23"/>
  <c r="U72" i="23"/>
  <c r="V72" i="23"/>
  <c r="U73" i="23"/>
  <c r="V73" i="23"/>
  <c r="U74" i="23"/>
  <c r="V74" i="23"/>
  <c r="U76" i="23"/>
  <c r="V76" i="23"/>
  <c r="U77" i="23"/>
  <c r="V77" i="23"/>
  <c r="U78" i="23"/>
  <c r="V78" i="23"/>
  <c r="U79" i="23"/>
  <c r="V79" i="23"/>
  <c r="U80" i="23"/>
  <c r="V80" i="23"/>
  <c r="U81" i="23"/>
  <c r="V81" i="23"/>
  <c r="U82" i="23"/>
  <c r="V82" i="23"/>
  <c r="U83" i="23"/>
  <c r="V83" i="23"/>
  <c r="U85" i="23"/>
  <c r="V85" i="23"/>
  <c r="U86" i="23"/>
  <c r="V86" i="23"/>
  <c r="U87" i="23"/>
  <c r="V87" i="23"/>
  <c r="U88" i="23"/>
  <c r="V88" i="23"/>
  <c r="U90" i="23"/>
  <c r="V90" i="23"/>
  <c r="U91" i="23"/>
  <c r="V91" i="23"/>
  <c r="U92" i="23"/>
  <c r="V92" i="23"/>
  <c r="U93" i="23"/>
  <c r="V93" i="23"/>
  <c r="U94" i="23"/>
  <c r="V94" i="23"/>
  <c r="U96" i="23"/>
  <c r="V96" i="23"/>
  <c r="U97" i="23"/>
  <c r="V97" i="23"/>
  <c r="U98" i="23"/>
  <c r="V98" i="23"/>
  <c r="U99" i="23"/>
  <c r="V99" i="23"/>
  <c r="U100" i="23"/>
  <c r="V100" i="23"/>
  <c r="U101" i="23"/>
  <c r="V101" i="23"/>
  <c r="U103" i="23"/>
  <c r="V103" i="23"/>
  <c r="U104" i="23"/>
  <c r="V104" i="23"/>
  <c r="U105" i="23"/>
  <c r="V105" i="23"/>
  <c r="U106" i="23"/>
  <c r="V106" i="23"/>
  <c r="U108" i="23"/>
  <c r="V108" i="23"/>
  <c r="U109" i="23"/>
  <c r="V109" i="23"/>
  <c r="U110" i="23"/>
  <c r="V110" i="23"/>
  <c r="U111" i="23"/>
  <c r="V111" i="23"/>
  <c r="U113" i="23"/>
  <c r="V113" i="23"/>
  <c r="U114" i="23"/>
  <c r="V114" i="23"/>
  <c r="U115" i="23"/>
  <c r="V115" i="23"/>
  <c r="U116" i="23"/>
  <c r="V116" i="23"/>
  <c r="U117" i="23"/>
  <c r="V117" i="23"/>
  <c r="U119" i="23"/>
  <c r="V119" i="23"/>
  <c r="U120" i="23"/>
  <c r="V120" i="23"/>
  <c r="U121" i="23"/>
  <c r="V121" i="23"/>
  <c r="U122" i="23"/>
  <c r="V122" i="23"/>
  <c r="U123" i="23"/>
  <c r="V123" i="23"/>
  <c r="U125" i="23"/>
  <c r="V125" i="23"/>
  <c r="U126" i="23"/>
  <c r="V126" i="23"/>
  <c r="U127" i="23"/>
  <c r="V127" i="23"/>
  <c r="U128" i="23"/>
  <c r="V128" i="23"/>
  <c r="U129" i="23"/>
  <c r="V129" i="23"/>
  <c r="U130" i="23"/>
  <c r="V130" i="23"/>
  <c r="U132" i="23"/>
  <c r="V132" i="23"/>
  <c r="U133" i="23"/>
  <c r="V133" i="23"/>
  <c r="U134" i="23"/>
  <c r="V134" i="23"/>
  <c r="U135" i="23"/>
  <c r="V135" i="23"/>
  <c r="U136" i="23"/>
  <c r="V136" i="23"/>
  <c r="U138" i="23"/>
  <c r="V138" i="23"/>
  <c r="U139" i="23"/>
  <c r="V139" i="23"/>
  <c r="U140" i="23"/>
  <c r="V140" i="23"/>
  <c r="U141" i="23"/>
  <c r="V141" i="23"/>
  <c r="U143" i="23"/>
  <c r="V143" i="23"/>
  <c r="U144" i="23"/>
  <c r="V144" i="23"/>
  <c r="U145" i="23"/>
  <c r="V145" i="23"/>
  <c r="U146" i="23"/>
  <c r="V146" i="23"/>
  <c r="U147" i="23"/>
  <c r="V147" i="23"/>
  <c r="U149" i="23"/>
  <c r="V149" i="23"/>
  <c r="U150" i="23"/>
  <c r="V150" i="23"/>
  <c r="U151" i="23"/>
  <c r="V151" i="23"/>
  <c r="U152" i="23"/>
  <c r="V152" i="23"/>
  <c r="U153" i="23"/>
  <c r="V153" i="23"/>
  <c r="U154" i="23"/>
  <c r="V154" i="23"/>
  <c r="U155" i="23"/>
  <c r="V155" i="23"/>
  <c r="U156" i="23"/>
  <c r="V156" i="23"/>
  <c r="U157" i="23"/>
  <c r="V157" i="23"/>
  <c r="U158" i="23"/>
  <c r="V158" i="23"/>
  <c r="U160" i="23"/>
  <c r="V160" i="23"/>
  <c r="U161" i="23"/>
  <c r="V161" i="23"/>
  <c r="U162" i="23"/>
  <c r="V162" i="23"/>
  <c r="U163" i="23"/>
  <c r="V163" i="23"/>
  <c r="U164" i="23"/>
  <c r="V164" i="23"/>
  <c r="U165" i="23"/>
  <c r="V165" i="23"/>
  <c r="U167" i="23"/>
  <c r="V167" i="23"/>
  <c r="U168" i="23"/>
  <c r="V168" i="23"/>
  <c r="U169" i="23"/>
  <c r="V169" i="23"/>
  <c r="U170" i="23"/>
  <c r="V170" i="23"/>
  <c r="U171" i="23"/>
  <c r="V171" i="23"/>
  <c r="U172" i="23"/>
  <c r="V172" i="23"/>
  <c r="U174" i="23"/>
  <c r="V174" i="23"/>
  <c r="U175" i="23"/>
  <c r="V175" i="23"/>
  <c r="U176" i="23"/>
  <c r="V176" i="23"/>
  <c r="U177" i="23"/>
  <c r="V177" i="23"/>
  <c r="U178" i="23"/>
  <c r="V178" i="23"/>
  <c r="U180" i="23"/>
  <c r="V180" i="23"/>
  <c r="U181" i="23"/>
  <c r="V181"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U62" i="23"/>
  <c r="U59" i="23"/>
  <c r="U60" i="23"/>
  <c r="U61" i="23"/>
  <c r="S59" i="23"/>
  <c r="S60" i="23"/>
  <c r="S61" i="23"/>
  <c r="S62" i="23"/>
  <c r="U58" i="23"/>
  <c r="S58" i="23"/>
  <c r="V59" i="23"/>
  <c r="V60" i="23"/>
  <c r="V61" i="23"/>
  <c r="V62" i="23"/>
  <c r="V58" i="23"/>
  <c r="R59" i="23"/>
  <c r="R60" i="23"/>
  <c r="R61" i="23"/>
  <c r="R62" i="23"/>
  <c r="R58" i="23"/>
  <c r="B183" i="23"/>
  <c r="S26" i="10" l="1"/>
  <c r="S34" i="10"/>
  <c r="R23" i="10"/>
  <c r="R31" i="10"/>
  <c r="Q20" i="10"/>
  <c r="Q28" i="10"/>
  <c r="Q36" i="10"/>
  <c r="P25" i="10"/>
  <c r="P33" i="10"/>
  <c r="S18" i="10"/>
  <c r="O26" i="10"/>
  <c r="O34" i="10"/>
  <c r="R28" i="10"/>
  <c r="P18" i="10"/>
  <c r="S24" i="10"/>
  <c r="P23" i="10"/>
  <c r="S19" i="10"/>
  <c r="S27" i="10"/>
  <c r="S35" i="10"/>
  <c r="R24" i="10"/>
  <c r="R32" i="10"/>
  <c r="Q21" i="10"/>
  <c r="Q29" i="10"/>
  <c r="Q37" i="10"/>
  <c r="P26" i="10"/>
  <c r="P34" i="10"/>
  <c r="O18" i="10"/>
  <c r="O27" i="10"/>
  <c r="O35" i="10"/>
  <c r="Q25" i="10"/>
  <c r="O31" i="10"/>
  <c r="S32" i="10"/>
  <c r="Q34" i="10"/>
  <c r="S20" i="10"/>
  <c r="S28" i="10"/>
  <c r="S36" i="10"/>
  <c r="R25" i="10"/>
  <c r="R33" i="10"/>
  <c r="Q22" i="10"/>
  <c r="Q30" i="10"/>
  <c r="P19" i="10"/>
  <c r="P27" i="10"/>
  <c r="P35" i="10"/>
  <c r="O20" i="10"/>
  <c r="O28" i="10"/>
  <c r="O36" i="10"/>
  <c r="R20" i="10"/>
  <c r="P30" i="10"/>
  <c r="R29" i="10"/>
  <c r="P31" i="10"/>
  <c r="S21" i="10"/>
  <c r="S29" i="10"/>
  <c r="S37" i="10"/>
  <c r="R26" i="10"/>
  <c r="R34" i="10"/>
  <c r="Q23" i="10"/>
  <c r="Q31" i="10"/>
  <c r="P20" i="10"/>
  <c r="P28" i="10"/>
  <c r="P36" i="10"/>
  <c r="O21" i="10"/>
  <c r="O29" i="10"/>
  <c r="O37" i="10"/>
  <c r="S31" i="10"/>
  <c r="O23" i="10"/>
  <c r="R21" i="10"/>
  <c r="Q18" i="10"/>
  <c r="S22" i="10"/>
  <c r="S30" i="10"/>
  <c r="R19" i="10"/>
  <c r="R27" i="10"/>
  <c r="R35" i="10"/>
  <c r="Q24" i="10"/>
  <c r="Q32" i="10"/>
  <c r="P21" i="10"/>
  <c r="P29" i="10"/>
  <c r="P37" i="10"/>
  <c r="O22" i="10"/>
  <c r="O30" i="10"/>
  <c r="S23" i="10"/>
  <c r="Q33" i="10"/>
  <c r="R37" i="10"/>
  <c r="O24" i="10"/>
  <c r="S25" i="10"/>
  <c r="S33" i="10"/>
  <c r="R22" i="10"/>
  <c r="R30" i="10"/>
  <c r="Q19" i="10"/>
  <c r="Q27" i="10"/>
  <c r="Q35" i="10"/>
  <c r="P24" i="10"/>
  <c r="P32" i="10"/>
  <c r="R18" i="10"/>
  <c r="O25" i="10"/>
  <c r="O33" i="10"/>
  <c r="R36" i="10"/>
  <c r="P22" i="10"/>
  <c r="Q26" i="10"/>
  <c r="O32" i="10"/>
  <c r="W59" i="9"/>
  <c r="V59" i="9"/>
  <c r="U59" i="9"/>
  <c r="T62" i="9"/>
  <c r="T61" i="9"/>
  <c r="T60" i="9"/>
  <c r="L39" i="9"/>
  <c r="K39" i="9"/>
  <c r="J39" i="9"/>
  <c r="I44" i="9"/>
  <c r="I43" i="9"/>
  <c r="I42" i="9"/>
  <c r="I41" i="9"/>
  <c r="I40" i="9"/>
  <c r="J40" i="9" l="1"/>
  <c r="K40" i="9"/>
  <c r="L40" i="9"/>
  <c r="J41" i="9"/>
  <c r="K41" i="9"/>
  <c r="L41" i="9"/>
  <c r="J42" i="9"/>
  <c r="K42" i="9"/>
  <c r="L42" i="9"/>
  <c r="J43" i="9"/>
  <c r="K43" i="9"/>
  <c r="L43" i="9"/>
  <c r="J44" i="9"/>
  <c r="K44" i="9"/>
  <c r="L44" i="9"/>
  <c r="R15" i="9"/>
  <c r="R16" i="9"/>
  <c r="R17" i="9"/>
  <c r="R18" i="9"/>
  <c r="P38" i="10" l="1"/>
  <c r="Q38" i="10"/>
  <c r="R38" i="10"/>
  <c r="S38" i="10"/>
  <c r="I19" i="9"/>
  <c r="I18" i="9"/>
  <c r="U60" i="9" l="1"/>
  <c r="L80" i="9" s="1"/>
  <c r="V60" i="9"/>
  <c r="M80" i="9" s="1"/>
  <c r="W60" i="9"/>
  <c r="O80" i="9" s="1"/>
  <c r="U61" i="9"/>
  <c r="N80" i="9" s="1"/>
  <c r="V61" i="9"/>
  <c r="Q80" i="9" s="1"/>
  <c r="W61" i="9"/>
  <c r="R80" i="9" s="1"/>
  <c r="U62" i="9"/>
  <c r="P80" i="9" s="1"/>
  <c r="V62" i="9"/>
  <c r="S80" i="9" s="1"/>
  <c r="W62" i="9"/>
  <c r="T80" i="9" s="1"/>
  <c r="M15" i="9"/>
  <c r="L15" i="9"/>
  <c r="K15" i="9"/>
  <c r="J15" i="9"/>
  <c r="I17" i="9"/>
  <c r="I16" i="9"/>
  <c r="I15" i="9"/>
  <c r="M18" i="9" l="1"/>
  <c r="K95" i="9" s="1"/>
  <c r="L95" i="9" s="1"/>
  <c r="L17" i="9"/>
  <c r="K89" i="9" s="1"/>
  <c r="M19" i="9"/>
  <c r="K96" i="9" s="1"/>
  <c r="R14" i="9" s="1"/>
  <c r="S14" i="9" s="1"/>
  <c r="L19" i="9"/>
  <c r="K94" i="9" s="1"/>
  <c r="M16" i="9"/>
  <c r="K86" i="9" s="1"/>
  <c r="L86" i="9" s="1"/>
  <c r="K17" i="9"/>
  <c r="K87" i="9" s="1"/>
  <c r="K19" i="9"/>
  <c r="K92" i="9" s="1"/>
  <c r="L16" i="9"/>
  <c r="K84" i="9" s="1"/>
  <c r="M17" i="9"/>
  <c r="K91" i="9" s="1"/>
  <c r="J16" i="9"/>
  <c r="L18" i="9"/>
  <c r="K93" i="9" s="1"/>
  <c r="P93" i="9" s="1"/>
  <c r="K18" i="9"/>
  <c r="K90" i="9" s="1"/>
  <c r="J17" i="9"/>
  <c r="K83" i="9" s="1"/>
  <c r="L83" i="9" s="1"/>
  <c r="J18" i="9"/>
  <c r="K85" i="9" s="1"/>
  <c r="L85" i="9" s="1"/>
  <c r="J19" i="9"/>
  <c r="K88" i="9" s="1"/>
  <c r="L88" i="9" s="1"/>
  <c r="G128" i="6"/>
  <c r="F128" i="6"/>
  <c r="E128" i="6"/>
  <c r="G127" i="6"/>
  <c r="F127" i="6"/>
  <c r="E127" i="6"/>
  <c r="G126" i="6"/>
  <c r="F126" i="6"/>
  <c r="E126" i="6"/>
  <c r="E129" i="6" s="1"/>
  <c r="U14" i="9" l="1"/>
  <c r="Y79" i="9"/>
  <c r="G129" i="6"/>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s="1"/>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F129" i="6"/>
  <c r="I111" i="2"/>
  <c r="I112" i="2"/>
  <c r="I113" i="2"/>
  <c r="H111" i="2"/>
  <c r="H112" i="2"/>
  <c r="H113" i="2"/>
  <c r="G111" i="2"/>
  <c r="G112" i="2"/>
  <c r="G113" i="2"/>
  <c r="N28" i="23" l="1"/>
  <c r="G57" i="9"/>
  <c r="F57" i="9"/>
  <c r="I57" i="9" s="1"/>
  <c r="C6" i="10"/>
  <c r="S81" i="9"/>
  <c r="N81" i="9"/>
  <c r="Q81" i="9"/>
  <c r="P81" i="9"/>
  <c r="O81" i="9"/>
  <c r="R81" i="9"/>
  <c r="M81" i="9"/>
  <c r="T81" i="9"/>
  <c r="L81" i="9"/>
  <c r="S82" i="9"/>
  <c r="T82" i="9"/>
  <c r="O82" i="9"/>
  <c r="P82" i="9"/>
  <c r="M82" i="9"/>
  <c r="Q82" i="9"/>
  <c r="R82" i="9"/>
  <c r="N82" i="9"/>
  <c r="L82" i="9"/>
  <c r="I114" i="2"/>
  <c r="G114" i="2"/>
  <c r="H114" i="2"/>
  <c r="T172" i="23" l="1"/>
  <c r="T58" i="23"/>
  <c r="T62" i="23"/>
  <c r="T155" i="23"/>
  <c r="T128" i="23"/>
  <c r="T176" i="23"/>
  <c r="T140" i="23"/>
  <c r="T104" i="23"/>
  <c r="T132" i="23"/>
  <c r="T67" i="23"/>
  <c r="T79" i="23"/>
  <c r="T181" i="23"/>
  <c r="T108" i="23"/>
  <c r="T71" i="23"/>
  <c r="T59" i="23"/>
  <c r="T92" i="23"/>
  <c r="T65" i="23"/>
  <c r="T160" i="23"/>
  <c r="T152" i="23"/>
  <c r="T115" i="23"/>
  <c r="T72" i="23"/>
  <c r="T106" i="23"/>
  <c r="T174" i="23"/>
  <c r="T101" i="23"/>
  <c r="T161" i="23"/>
  <c r="T116" i="23"/>
  <c r="T99" i="23"/>
  <c r="T127" i="23"/>
  <c r="T90" i="23"/>
  <c r="T100" i="23"/>
  <c r="T111" i="23"/>
  <c r="T83" i="23"/>
  <c r="T76" i="23"/>
  <c r="T170" i="23"/>
  <c r="T134" i="23"/>
  <c r="T139" i="23"/>
  <c r="T126" i="23"/>
  <c r="T98" i="23"/>
  <c r="T147" i="23"/>
  <c r="T177" i="23"/>
  <c r="T123" i="23"/>
  <c r="T78" i="23"/>
  <c r="T117" i="23"/>
  <c r="T91" i="23"/>
  <c r="T169" i="23"/>
  <c r="T81" i="23"/>
  <c r="T61" i="23"/>
  <c r="T136" i="23"/>
  <c r="T109" i="23"/>
  <c r="T120" i="23"/>
  <c r="T121" i="23"/>
  <c r="T93" i="23"/>
  <c r="T85" i="23"/>
  <c r="T180" i="23"/>
  <c r="L37" i="10" s="1"/>
  <c r="T144" i="23"/>
  <c r="T157" i="23"/>
  <c r="T135" i="23"/>
  <c r="T164" i="23"/>
  <c r="T60" i="23"/>
  <c r="T82" i="23"/>
  <c r="T151" i="23"/>
  <c r="T105" i="23"/>
  <c r="T175" i="23"/>
  <c r="T80" i="23"/>
  <c r="T74" i="23"/>
  <c r="T125" i="23"/>
  <c r="T70" i="23"/>
  <c r="T146" i="23"/>
  <c r="T119" i="23"/>
  <c r="L28" i="10" s="1"/>
  <c r="T149" i="23"/>
  <c r="T130" i="23"/>
  <c r="T122" i="23"/>
  <c r="T94" i="23"/>
  <c r="T171" i="23"/>
  <c r="T167" i="23"/>
  <c r="T145" i="23"/>
  <c r="T88" i="23"/>
  <c r="T138" i="23"/>
  <c r="L31" i="10" s="1"/>
  <c r="T64" i="23"/>
  <c r="T168" i="23"/>
  <c r="T141" i="23"/>
  <c r="T114" i="23"/>
  <c r="T96" i="23"/>
  <c r="L24" i="10" s="1"/>
  <c r="T156" i="23"/>
  <c r="T69" i="23"/>
  <c r="T154" i="23"/>
  <c r="T165" i="23"/>
  <c r="T73" i="23"/>
  <c r="T150" i="23"/>
  <c r="T103" i="23"/>
  <c r="T178" i="23"/>
  <c r="T133" i="23"/>
  <c r="T77" i="23"/>
  <c r="T153" i="23"/>
  <c r="T110" i="23"/>
  <c r="T87" i="23"/>
  <c r="T163" i="23"/>
  <c r="T158" i="23"/>
  <c r="T113" i="23"/>
  <c r="T66" i="23"/>
  <c r="T143" i="23"/>
  <c r="T86" i="23"/>
  <c r="T162" i="23"/>
  <c r="T129" i="23"/>
  <c r="T97" i="23"/>
  <c r="J191" i="23"/>
  <c r="J189" i="23"/>
  <c r="J197" i="23"/>
  <c r="J195" i="23"/>
  <c r="J193" i="23"/>
  <c r="L27" i="10" l="1"/>
  <c r="M96" i="10"/>
  <c r="M97" i="10"/>
  <c r="M94" i="10"/>
  <c r="L20" i="10"/>
  <c r="M93" i="10"/>
  <c r="L23" i="10"/>
  <c r="M95" i="10"/>
  <c r="L32" i="10"/>
  <c r="E3" i="21" a="1"/>
  <c r="E3" i="21" s="1"/>
  <c r="E11" i="21" a="1"/>
  <c r="E11" i="21" s="1"/>
  <c r="E19" i="21" a="1"/>
  <c r="E19" i="21" s="1"/>
  <c r="D7" i="21" a="1"/>
  <c r="D7" i="21" s="1"/>
  <c r="D15" i="21" a="1"/>
  <c r="D15" i="21" s="1"/>
  <c r="D4" i="21" a="1"/>
  <c r="D4" i="21" s="1"/>
  <c r="D20" i="21" a="1"/>
  <c r="D20" i="21" s="1"/>
  <c r="E4" i="21" a="1"/>
  <c r="E4" i="21" s="1"/>
  <c r="E12" i="21" a="1"/>
  <c r="E12" i="21" s="1"/>
  <c r="E20" i="21" a="1"/>
  <c r="E20" i="21" s="1"/>
  <c r="D8" i="21" a="1"/>
  <c r="D8" i="21" s="1"/>
  <c r="D16" i="21" a="1"/>
  <c r="D16" i="21" s="1"/>
  <c r="D17" i="21" a="1"/>
  <c r="D17" i="21" s="1"/>
  <c r="E9" i="21" a="1"/>
  <c r="E9" i="21" s="1"/>
  <c r="B74" i="10" s="1"/>
  <c r="E5" i="21" a="1"/>
  <c r="E5" i="21" s="1"/>
  <c r="B70" i="10" s="1"/>
  <c r="E13" i="21" a="1"/>
  <c r="E13" i="21" s="1"/>
  <c r="E21" i="21" a="1"/>
  <c r="E21" i="21" s="1"/>
  <c r="D9" i="21" a="1"/>
  <c r="D9" i="21" s="1"/>
  <c r="D12" i="21" a="1"/>
  <c r="D12" i="21" s="1"/>
  <c r="D21" i="21" a="1"/>
  <c r="D21" i="21" s="1"/>
  <c r="E6" i="21" a="1"/>
  <c r="E6" i="21" s="1"/>
  <c r="E14" i="21" a="1"/>
  <c r="E14" i="21" s="1"/>
  <c r="B79" i="10" s="1"/>
  <c r="E2" i="21" a="1"/>
  <c r="E2" i="21" s="1"/>
  <c r="B67" i="10" s="1"/>
  <c r="D10" i="21" a="1"/>
  <c r="D10" i="21" s="1"/>
  <c r="D18" i="21" a="1"/>
  <c r="D18" i="21" s="1"/>
  <c r="E8" i="21" a="1"/>
  <c r="E8" i="21" s="1"/>
  <c r="D5" i="21" a="1"/>
  <c r="D5" i="21" s="1"/>
  <c r="E7" i="21" a="1"/>
  <c r="E7" i="21" s="1"/>
  <c r="E15" i="21" a="1"/>
  <c r="E15" i="21" s="1"/>
  <c r="D3" i="21" a="1"/>
  <c r="D3" i="21" s="1"/>
  <c r="D11" i="21" a="1"/>
  <c r="D11" i="21" s="1"/>
  <c r="D19" i="21" a="1"/>
  <c r="D19" i="21" s="1"/>
  <c r="E16" i="21" a="1"/>
  <c r="E16" i="21" s="1"/>
  <c r="E17" i="21" a="1"/>
  <c r="E17" i="21" s="1"/>
  <c r="E10" i="21" a="1"/>
  <c r="E10" i="21" s="1"/>
  <c r="E18" i="21" a="1"/>
  <c r="E18" i="21" s="1"/>
  <c r="D6" i="21" a="1"/>
  <c r="D6" i="21" s="1"/>
  <c r="D14" i="21" a="1"/>
  <c r="D14" i="21" s="1"/>
  <c r="D2" i="21" a="1"/>
  <c r="D2" i="21" s="1"/>
  <c r="D13" i="21" a="1"/>
  <c r="D13" i="21" s="1"/>
  <c r="L19" i="10"/>
  <c r="L29" i="10"/>
  <c r="L25" i="10"/>
  <c r="L36" i="10"/>
  <c r="L33" i="10"/>
  <c r="L22" i="10"/>
  <c r="L26" i="10"/>
  <c r="L35" i="10"/>
  <c r="L34" i="10"/>
  <c r="E3" i="24" a="1"/>
  <c r="E3" i="24" s="1"/>
  <c r="E11" i="24" a="1"/>
  <c r="E11" i="24" s="1"/>
  <c r="E19" i="24" a="1"/>
  <c r="E19" i="24" s="1"/>
  <c r="D7" i="24" a="1"/>
  <c r="D7" i="24" s="1"/>
  <c r="D15" i="24" a="1"/>
  <c r="D15" i="24" s="1"/>
  <c r="E4" i="24" a="1"/>
  <c r="E4" i="24" s="1"/>
  <c r="B45" i="10" s="1"/>
  <c r="E12" i="24" a="1"/>
  <c r="E12" i="24" s="1"/>
  <c r="E20" i="24" a="1"/>
  <c r="E20" i="24" s="1"/>
  <c r="D8" i="24" a="1"/>
  <c r="D8" i="24" s="1"/>
  <c r="D16" i="24" a="1"/>
  <c r="D16" i="24" s="1"/>
  <c r="D19" i="24" a="1"/>
  <c r="D19" i="24" s="1"/>
  <c r="E5" i="24" a="1"/>
  <c r="E5" i="24" s="1"/>
  <c r="E13" i="24" a="1"/>
  <c r="E13" i="24" s="1"/>
  <c r="B54" i="10" s="1"/>
  <c r="E21" i="24" a="1"/>
  <c r="E21" i="24" s="1"/>
  <c r="B62" i="10" s="1"/>
  <c r="D9" i="24" a="1"/>
  <c r="D9" i="24" s="1"/>
  <c r="D17" i="24" a="1"/>
  <c r="D17" i="24" s="1"/>
  <c r="E6" i="24" a="1"/>
  <c r="E6" i="24" s="1"/>
  <c r="E14" i="24" a="1"/>
  <c r="E14" i="24" s="1"/>
  <c r="E2" i="24" a="1"/>
  <c r="E2" i="24" s="1"/>
  <c r="D10" i="24" a="1"/>
  <c r="D10" i="24" s="1"/>
  <c r="D18" i="24" a="1"/>
  <c r="D18" i="24" s="1"/>
  <c r="E15" i="24" a="1"/>
  <c r="E15" i="24" s="1"/>
  <c r="B56" i="10" s="1"/>
  <c r="E7" i="24" a="1"/>
  <c r="E7" i="24" s="1"/>
  <c r="E8" i="24" a="1"/>
  <c r="E8" i="24" s="1"/>
  <c r="E16" i="24" a="1"/>
  <c r="E16" i="24" s="1"/>
  <c r="D4" i="24" a="1"/>
  <c r="D4" i="24" s="1"/>
  <c r="D12" i="24" a="1"/>
  <c r="D12" i="24" s="1"/>
  <c r="D20" i="24" a="1"/>
  <c r="D20" i="24" s="1"/>
  <c r="D3" i="24" a="1"/>
  <c r="D3" i="24" s="1"/>
  <c r="E9" i="24" a="1"/>
  <c r="E9" i="24" s="1"/>
  <c r="B50" i="10" s="1"/>
  <c r="E17" i="24" a="1"/>
  <c r="E17" i="24" s="1"/>
  <c r="D5" i="24" a="1"/>
  <c r="D5" i="24" s="1"/>
  <c r="D13" i="24" a="1"/>
  <c r="D13" i="24" s="1"/>
  <c r="D21" i="24" a="1"/>
  <c r="D21" i="24" s="1"/>
  <c r="E10" i="24" a="1"/>
  <c r="E10" i="24" s="1"/>
  <c r="E18" i="24" a="1"/>
  <c r="E18" i="24" s="1"/>
  <c r="D6" i="24" a="1"/>
  <c r="D6" i="24" s="1"/>
  <c r="D14" i="24" a="1"/>
  <c r="D14" i="24" s="1"/>
  <c r="D2" i="24" a="1"/>
  <c r="D2" i="24" s="1"/>
  <c r="D11" i="24" a="1"/>
  <c r="D11" i="24" s="1"/>
  <c r="L21" i="10"/>
  <c r="L30" i="10"/>
  <c r="A2" i="24" a="1"/>
  <c r="A116" i="24" s="1"/>
  <c r="A2" i="21" a="1"/>
  <c r="A24" i="21" s="1"/>
  <c r="O19" i="10"/>
  <c r="O38" i="10" s="1"/>
  <c r="M21" i="10"/>
  <c r="K21" i="10"/>
  <c r="J21" i="10"/>
  <c r="M30" i="10"/>
  <c r="K30" i="10"/>
  <c r="Z42" i="9"/>
  <c r="J30" i="10"/>
  <c r="AA42" i="9"/>
  <c r="Y42" i="9"/>
  <c r="AB42" i="9"/>
  <c r="J19" i="10"/>
  <c r="M19" i="10"/>
  <c r="K19" i="10"/>
  <c r="Y44" i="9"/>
  <c r="AB44" i="9"/>
  <c r="J36" i="10"/>
  <c r="K36" i="10"/>
  <c r="AA44" i="9"/>
  <c r="Z44" i="9"/>
  <c r="M36" i="10"/>
  <c r="M32" i="10"/>
  <c r="K32" i="10"/>
  <c r="J32" i="10"/>
  <c r="M33" i="10"/>
  <c r="K33" i="10"/>
  <c r="J33" i="10"/>
  <c r="J28" i="10"/>
  <c r="K28" i="10"/>
  <c r="M28" i="10"/>
  <c r="M22" i="10"/>
  <c r="K22" i="10"/>
  <c r="J22" i="10"/>
  <c r="A113" i="24"/>
  <c r="K23" i="10"/>
  <c r="M23" i="10"/>
  <c r="J23" i="10"/>
  <c r="A34" i="24"/>
  <c r="J26" i="10"/>
  <c r="M26" i="10"/>
  <c r="K26" i="10"/>
  <c r="A52" i="21"/>
  <c r="A30" i="24"/>
  <c r="M31" i="10"/>
  <c r="K31" i="10"/>
  <c r="J31" i="10"/>
  <c r="A82" i="21"/>
  <c r="A5" i="24"/>
  <c r="A84" i="24"/>
  <c r="A21" i="21"/>
  <c r="A42" i="24"/>
  <c r="A42" i="21"/>
  <c r="A120" i="21"/>
  <c r="A120" i="24"/>
  <c r="A10" i="21"/>
  <c r="AB43" i="9"/>
  <c r="J27" i="10"/>
  <c r="Z43" i="9"/>
  <c r="Y43" i="9"/>
  <c r="M27" i="10"/>
  <c r="K27" i="10"/>
  <c r="AA43" i="9"/>
  <c r="A57" i="24"/>
  <c r="A122" i="24"/>
  <c r="A122" i="21"/>
  <c r="M24" i="10"/>
  <c r="K24" i="10"/>
  <c r="J24" i="10"/>
  <c r="A40" i="24"/>
  <c r="J35" i="10"/>
  <c r="M35" i="10"/>
  <c r="K35" i="10"/>
  <c r="A111" i="24"/>
  <c r="A90" i="24"/>
  <c r="A90" i="21"/>
  <c r="A26" i="24"/>
  <c r="A26" i="21"/>
  <c r="A37" i="24"/>
  <c r="A37" i="21"/>
  <c r="A35" i="24"/>
  <c r="A83" i="24"/>
  <c r="A83" i="21"/>
  <c r="A71" i="21"/>
  <c r="A71" i="24"/>
  <c r="A59" i="24"/>
  <c r="A59" i="21"/>
  <c r="A125" i="24"/>
  <c r="A99" i="24"/>
  <c r="A99" i="21"/>
  <c r="A112" i="24"/>
  <c r="A112" i="21"/>
  <c r="A119" i="24"/>
  <c r="A119" i="21"/>
  <c r="A55" i="21"/>
  <c r="A55" i="24"/>
  <c r="A32" i="24"/>
  <c r="A32" i="21"/>
  <c r="A44" i="21"/>
  <c r="A44" i="24"/>
  <c r="A58" i="24"/>
  <c r="A58" i="21"/>
  <c r="A115" i="24"/>
  <c r="A14" i="24"/>
  <c r="A14" i="21"/>
  <c r="A4" i="21"/>
  <c r="A4" i="24"/>
  <c r="A65" i="24"/>
  <c r="A65" i="21"/>
  <c r="A61" i="24"/>
  <c r="A78" i="24"/>
  <c r="A78" i="21"/>
  <c r="A43" i="21"/>
  <c r="A43" i="24"/>
  <c r="A96" i="21"/>
  <c r="A96" i="24"/>
  <c r="A23" i="24"/>
  <c r="A6" i="24"/>
  <c r="A73" i="21"/>
  <c r="A73" i="24"/>
  <c r="A38" i="24"/>
  <c r="A38" i="21"/>
  <c r="A97" i="24"/>
  <c r="A74" i="24"/>
  <c r="A91" i="21"/>
  <c r="A91" i="24"/>
  <c r="A3" i="21"/>
  <c r="A3" i="24"/>
  <c r="Y40" i="9"/>
  <c r="J20" i="10"/>
  <c r="AB40" i="9"/>
  <c r="K20" i="10"/>
  <c r="Z40" i="9"/>
  <c r="AC40" i="9"/>
  <c r="AC42" i="9" s="1"/>
  <c r="AC44" i="9" s="1"/>
  <c r="AA40" i="9"/>
  <c r="M20" i="10"/>
  <c r="A13" i="24"/>
  <c r="A13" i="21"/>
  <c r="J37" i="10"/>
  <c r="M37" i="10"/>
  <c r="K37" i="10"/>
  <c r="A124" i="24"/>
  <c r="A124" i="21"/>
  <c r="A50" i="21"/>
  <c r="A50" i="24"/>
  <c r="A102" i="24"/>
  <c r="A102" i="21"/>
  <c r="J25" i="10"/>
  <c r="M25" i="10"/>
  <c r="K25" i="10"/>
  <c r="A47" i="24"/>
  <c r="A47" i="21"/>
  <c r="A41" i="21"/>
  <c r="A41" i="24"/>
  <c r="A107" i="24"/>
  <c r="A107" i="21"/>
  <c r="A94" i="21"/>
  <c r="A94" i="24"/>
  <c r="A85" i="21"/>
  <c r="A85" i="24"/>
  <c r="B60" i="10"/>
  <c r="B69" i="10"/>
  <c r="B77" i="10"/>
  <c r="B85" i="10"/>
  <c r="M18" i="10"/>
  <c r="K18" i="10"/>
  <c r="Z41" i="9"/>
  <c r="B76" i="10"/>
  <c r="B59" i="10"/>
  <c r="B55" i="10"/>
  <c r="B51" i="10"/>
  <c r="B47" i="10"/>
  <c r="B43" i="10"/>
  <c r="B78" i="10"/>
  <c r="B86" i="10"/>
  <c r="L18" i="10"/>
  <c r="B84" i="10"/>
  <c r="B71" i="10"/>
  <c r="B44" i="10"/>
  <c r="B58" i="10"/>
  <c r="B46" i="10"/>
  <c r="C2" i="24" a="1"/>
  <c r="B72" i="10"/>
  <c r="B80" i="10"/>
  <c r="AA41" i="9"/>
  <c r="B73" i="10"/>
  <c r="B81" i="10"/>
  <c r="J18" i="10"/>
  <c r="AB41" i="9"/>
  <c r="B48" i="10"/>
  <c r="B61" i="10"/>
  <c r="B57" i="10"/>
  <c r="B53" i="10"/>
  <c r="B49" i="10"/>
  <c r="B82" i="10"/>
  <c r="Y41" i="9"/>
  <c r="B68" i="10"/>
  <c r="B75" i="10"/>
  <c r="B83" i="10"/>
  <c r="C2" i="21" a="1"/>
  <c r="B52" i="10"/>
  <c r="A2" i="24"/>
  <c r="A2" i="21"/>
  <c r="J29" i="10"/>
  <c r="M29" i="10"/>
  <c r="K29" i="10"/>
  <c r="A69" i="24"/>
  <c r="A69" i="21"/>
  <c r="A108" i="21"/>
  <c r="A108" i="24"/>
  <c r="A64" i="21"/>
  <c r="A64" i="24"/>
  <c r="A22" i="21"/>
  <c r="A22" i="24"/>
  <c r="A114" i="21"/>
  <c r="A114" i="24"/>
  <c r="A60" i="24"/>
  <c r="A60" i="21"/>
  <c r="J34" i="10"/>
  <c r="M34" i="10"/>
  <c r="K34" i="10"/>
  <c r="A104" i="24"/>
  <c r="A104" i="21"/>
  <c r="A11" i="24"/>
  <c r="A11" i="21"/>
  <c r="AC41" i="9"/>
  <c r="AC43" i="9" s="1"/>
  <c r="U41" i="9"/>
  <c r="H94" i="10" s="1"/>
  <c r="V41" i="9"/>
  <c r="I94" i="10" s="1"/>
  <c r="T41" i="9"/>
  <c r="G94" i="10" s="1"/>
  <c r="U42" i="9"/>
  <c r="H95" i="10" s="1"/>
  <c r="V42" i="9"/>
  <c r="I95" i="10" s="1"/>
  <c r="T42" i="9"/>
  <c r="G95" i="10" s="1"/>
  <c r="V44" i="9"/>
  <c r="I97" i="10" s="1"/>
  <c r="T44" i="9"/>
  <c r="G97" i="10" s="1"/>
  <c r="U44" i="9"/>
  <c r="H97" i="10" s="1"/>
  <c r="V40" i="9"/>
  <c r="I93" i="10" s="1"/>
  <c r="T40" i="9"/>
  <c r="G93" i="10" s="1"/>
  <c r="U40" i="9"/>
  <c r="H93" i="10" s="1"/>
  <c r="V43" i="9"/>
  <c r="I96" i="10" s="1"/>
  <c r="T43" i="9"/>
  <c r="G96" i="10" s="1"/>
  <c r="U43" i="9"/>
  <c r="H96" i="10" s="1"/>
  <c r="AD40" i="9" l="1"/>
  <c r="Q6" i="10"/>
  <c r="L38" i="10"/>
  <c r="M6" i="10" s="1"/>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N31" i="10"/>
  <c r="N29" i="10"/>
  <c r="N37" i="10"/>
  <c r="N19" i="10"/>
  <c r="N22" i="10"/>
  <c r="N34" i="10"/>
  <c r="C61" i="10"/>
  <c r="P81" i="10"/>
  <c r="E81" i="10"/>
  <c r="K81" i="10"/>
  <c r="C81" i="10"/>
  <c r="N81" i="10"/>
  <c r="C56" i="10"/>
  <c r="C46" i="10"/>
  <c r="P84" i="10"/>
  <c r="E84" i="10"/>
  <c r="N84" i="10"/>
  <c r="C84" i="10"/>
  <c r="K84" i="10"/>
  <c r="C47" i="10"/>
  <c r="N26" i="10"/>
  <c r="N36" i="10"/>
  <c r="N21" i="10"/>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C51" i="10"/>
  <c r="P74" i="10"/>
  <c r="E74" i="10"/>
  <c r="C74" i="10"/>
  <c r="N74" i="10"/>
  <c r="K74" i="10"/>
  <c r="J38" i="10"/>
  <c r="K6" i="10" s="1"/>
  <c r="C58" i="10"/>
  <c r="C59" i="10"/>
  <c r="C85" i="10"/>
  <c r="N85" i="10"/>
  <c r="K85" i="10"/>
  <c r="P85" i="10"/>
  <c r="E85" i="10"/>
  <c r="C60" i="10"/>
  <c r="N24" i="10"/>
  <c r="N27" i="10"/>
  <c r="C48" i="10"/>
  <c r="C45" i="10"/>
  <c r="C62" i="10"/>
  <c r="C86" i="10"/>
  <c r="P86" i="10"/>
  <c r="N86" i="10"/>
  <c r="K86" i="10"/>
  <c r="E86" i="10"/>
  <c r="E76" i="10"/>
  <c r="K76" i="10"/>
  <c r="P76" i="10"/>
  <c r="C76" i="10"/>
  <c r="N76" i="10"/>
  <c r="C77" i="10"/>
  <c r="N77" i="10"/>
  <c r="K77" i="10"/>
  <c r="P77" i="10"/>
  <c r="E77" i="10"/>
  <c r="N30" i="10"/>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C50" i="10"/>
  <c r="E68" i="10"/>
  <c r="C68" i="10"/>
  <c r="N68" i="10"/>
  <c r="K68" i="10"/>
  <c r="P68" i="10"/>
  <c r="E75" i="10"/>
  <c r="C75" i="10"/>
  <c r="K75" i="10"/>
  <c r="P75" i="10"/>
  <c r="N75" i="10"/>
  <c r="C53" i="10"/>
  <c r="E72" i="10"/>
  <c r="C72" i="10"/>
  <c r="N72" i="10"/>
  <c r="K72" i="10"/>
  <c r="P72" i="10"/>
  <c r="P70" i="10"/>
  <c r="E70" i="10"/>
  <c r="C70" i="10"/>
  <c r="N70" i="10"/>
  <c r="K70" i="10"/>
  <c r="N18" i="10"/>
  <c r="K38" i="10"/>
  <c r="N25" i="10"/>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s="1"/>
  <c r="N28" i="10"/>
  <c r="N33" i="10"/>
  <c r="N32" i="10"/>
  <c r="W42" i="9"/>
  <c r="W43" i="9"/>
  <c r="W44" i="9"/>
  <c r="AD43" i="9"/>
  <c r="AD41" i="9"/>
  <c r="W40" i="9"/>
  <c r="W41" i="9"/>
  <c r="X41" i="9" l="1"/>
  <c r="K94" i="10" s="1"/>
  <c r="J94" i="10"/>
  <c r="X44" i="9"/>
  <c r="K97" i="10" s="1"/>
  <c r="J97" i="10"/>
  <c r="X43" i="9"/>
  <c r="K96" i="10" s="1"/>
  <c r="J96" i="10"/>
  <c r="X40" i="9"/>
  <c r="K93" i="10" s="1"/>
  <c r="J93" i="10"/>
  <c r="X42" i="9"/>
  <c r="K95" i="10" s="1"/>
  <c r="J95" i="10"/>
  <c r="N38" i="10"/>
  <c r="AE43" i="9"/>
  <c r="L100" i="10" s="1"/>
  <c r="AE41" i="9"/>
  <c r="AD44" i="9"/>
  <c r="AE44" i="9" s="1"/>
  <c r="J116" i="10" s="1"/>
  <c r="AD42" i="9"/>
  <c r="AE42" i="9" s="1"/>
  <c r="L124" i="10" s="1"/>
  <c r="AE40" i="9"/>
  <c r="G101" i="10" s="1"/>
  <c r="N191" i="23" l="1"/>
  <c r="Y59" i="9" s="1"/>
  <c r="N102" i="10"/>
  <c r="N195" i="23"/>
  <c r="Y61" i="9" s="1"/>
  <c r="AA61" i="9" s="1"/>
  <c r="AA59" i="9"/>
  <c r="N189" i="23"/>
  <c r="Y58" i="9" s="1"/>
  <c r="AA58" i="9" s="1"/>
  <c r="N197" i="23"/>
  <c r="Y62" i="9" s="1"/>
  <c r="AA62" i="9" s="1"/>
  <c r="N193" i="23"/>
  <c r="Y60" i="9" s="1"/>
  <c r="AA60" i="9" s="1"/>
  <c r="AB58" i="9" l="1"/>
  <c r="Y80" i="9" l="1"/>
  <c r="Z79" i="9" s="1"/>
  <c r="AB79" i="9" s="1"/>
  <c r="G6" i="10" s="1"/>
  <c r="AD58" i="9"/>
  <c r="J199" i="23" l="1"/>
  <c r="E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<sst xmlns="http://schemas.openxmlformats.org/spreadsheetml/2006/main" count="7164" uniqueCount="2156">
  <si>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</si>
  <si>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</si>
  <si>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</si>
  <si>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Focus</t>
  </si>
  <si>
    <t>HIPAA Reference</t>
  </si>
  <si>
    <t>Control #</t>
  </si>
  <si>
    <t>HIGH Risk</t>
  </si>
  <si>
    <t>MEDIUM Risk</t>
  </si>
  <si>
    <t>LOW Risk</t>
  </si>
  <si>
    <t>Required</t>
  </si>
  <si>
    <t>Does the asset inventory include data on whether the device is portable?</t>
  </si>
  <si>
    <t>Does the inventory define what assets are critical to the environment/solution?</t>
  </si>
  <si>
    <t>Recommend</t>
  </si>
  <si>
    <t>This could be systems needed to meet certain service level agreements and/or that store/process/transit sensitive data.</t>
  </si>
  <si>
    <t>Optional</t>
  </si>
  <si>
    <t>Do you use Network Access Control technology to authenticate and authorize devices before allowing them on the network?</t>
  </si>
  <si>
    <t>Is system access limited to authorized personnel only and are all access attempts logged?</t>
  </si>
  <si>
    <t>1.1a</t>
  </si>
  <si>
    <t>1.1b</t>
  </si>
  <si>
    <t>1.1c</t>
  </si>
  <si>
    <t>Is there a software inventory tool used to record the operating system and application types in use within the environment?</t>
  </si>
  <si>
    <t>Is there an automated process/tool to maintain the software inventory?</t>
  </si>
  <si>
    <t>2.1a</t>
  </si>
  <si>
    <t>Have you defined all approved/authorized software employed throughout the environment?</t>
  </si>
  <si>
    <t>Would you be able to tell if an unauthorized software was installed on a device within your system?</t>
  </si>
  <si>
    <t>2.1b</t>
  </si>
  <si>
    <t>2.1c</t>
  </si>
  <si>
    <t>Are vulnerability scans being conducted on your system devices?</t>
  </si>
  <si>
    <t>Are you scanning systems quarterly (at a minimum) for threats?</t>
  </si>
  <si>
    <t>Do you compare results from back to back vulnerability scans to very that vulnerabilities were addressed from prior scan?</t>
  </si>
  <si>
    <t>3.1a</t>
  </si>
  <si>
    <t>3.1b</t>
  </si>
  <si>
    <t>3.1c</t>
  </si>
  <si>
    <t>Is there a remediation process for when vulnerabilities are identified?</t>
  </si>
  <si>
    <t>Vulnerabilities can be addressed by either patching, implementing a compensating control or through risk acceptance.</t>
  </si>
  <si>
    <t>Are vulnerability scans performed in authenticated mode with administrative privileges?</t>
  </si>
  <si>
    <t>3.1d</t>
  </si>
  <si>
    <t>Are system devices and software on a regular patch cycle?</t>
  </si>
  <si>
    <t>Are critical patches fixed or temporarily mitigated within 72 hours?</t>
  </si>
  <si>
    <t>3.2a</t>
  </si>
  <si>
    <t>3.2b</t>
  </si>
  <si>
    <t>Are critical patches evaluated in a test environment before being pushed into production?</t>
  </si>
  <si>
    <t>CSC Category</t>
  </si>
  <si>
    <t>Inventory of Authorized and Unauthorized Devices</t>
  </si>
  <si>
    <t>Inventory of Authorized and Unauthorized Software</t>
  </si>
  <si>
    <t>Continuous Vulnerability Assessment and Remediation</t>
  </si>
  <si>
    <t>Are default passwords changed on all applications, operating systems, firewalls, routers, access points before they are deployed to the environment?</t>
  </si>
  <si>
    <t>Are system administrators assigned both a privileged and non-privileged (everyday use) account within the environment?</t>
  </si>
  <si>
    <t>Controlled Use of Administrative Privileges</t>
  </si>
  <si>
    <t>Are all privileged accounts required to have a password of at least 12 pseudo-random characters and is changed every 180 days (at a minimum)?</t>
  </si>
  <si>
    <t>4.2a</t>
  </si>
  <si>
    <t>Is there a log entry or alert recorded when an account is added to or removed from an administrators group?</t>
  </si>
  <si>
    <t>4.2b</t>
  </si>
  <si>
    <t>Domain Admin or Local Admin Account</t>
  </si>
  <si>
    <t>Review for stale accounts.</t>
  </si>
  <si>
    <t>4.2c</t>
  </si>
  <si>
    <t>4.2d</t>
  </si>
  <si>
    <t>4.2e</t>
  </si>
  <si>
    <t>Is there a review process to make sure privileged accounts are still applicable?</t>
  </si>
  <si>
    <t>Are functions performed by privileged accounts being monitored for anomalous behavior or misuse?</t>
  </si>
  <si>
    <t>Is multi-factor authentication (MFA) enabled for privileged accounts that have external access?</t>
  </si>
  <si>
    <t>Are service/resource accounts assigned an owner?</t>
  </si>
  <si>
    <t>Do all service/resource accounts have long and difficult passwords that are changed on a regular basis (no longer than annually)?</t>
  </si>
  <si>
    <t>Secure Configurations for Hardware and Software on Mobile Devices, Laptops, Workstations, and Servers</t>
  </si>
  <si>
    <t>5.2a</t>
  </si>
  <si>
    <t>5.2b</t>
  </si>
  <si>
    <t>5.2c</t>
  </si>
  <si>
    <t>Are all systems running at a supported version of software/operating system?</t>
  </si>
  <si>
    <t>Are there a secure “Master” image(s) for the devices that support your system?</t>
  </si>
  <si>
    <t>Are the secure “Master” image(s) regularly patched for updates?</t>
  </si>
  <si>
    <t>Are changes to the secure “Master” image(s) reviewed/approved by a change management process?</t>
  </si>
  <si>
    <t xml:space="preserve">Is there a documented process established when a device deviates from the secure image(s)? </t>
  </si>
  <si>
    <t>Is all remote administration of servers, workstations, network devices and similar equipment completed over secure channels?</t>
  </si>
  <si>
    <t>Maintenance, Monitoring, and Analysis of Audit Logs</t>
  </si>
  <si>
    <t>6.1a</t>
  </si>
  <si>
    <t>6.2b</t>
  </si>
  <si>
    <t>6.3c</t>
  </si>
  <si>
    <t>6.4d</t>
  </si>
  <si>
    <t>Are logs currently being captured for your system?</t>
  </si>
  <si>
    <t>Are the following log attributes captured on your operating systems:  1) Changes to permissions, 2) System startup or shutdown, 3) Login or Logoff, 4) Changes to Data, 5) Error or violations, 6) Job failures?</t>
  </si>
  <si>
    <t>Are logs written to write-once devices or a dedicated logging system separate from the host generating the event logs?</t>
  </si>
  <si>
    <t>Is there adequate storage space for the logs generated so that log entries will not fill up between rotation intervals?</t>
  </si>
  <si>
    <t>Do system administrators regularly analyze the logs for anomalies?</t>
  </si>
  <si>
    <t>Email and Web Browser Protections</t>
  </si>
  <si>
    <t>Are only supported web browsers and email clients allowed to execute within the organization?</t>
  </si>
  <si>
    <t>Does your organization uninstall or disable any unauthorized browser or email client plugins or add-on applications?</t>
  </si>
  <si>
    <t>Does your organization block all email attachments entering the organization's email gateway if the file types are unnecessary for the organization's business?</t>
  </si>
  <si>
    <t>Has your organization implemented a Domain-based Message Authentication, Reporting and Conformance (DMARC) policy and verification to lower the chance of spoofed or modified emails from valid domains?</t>
  </si>
  <si>
    <t>Malware Defenses</t>
  </si>
  <si>
    <t>8.1a</t>
  </si>
  <si>
    <t>8.1b</t>
  </si>
  <si>
    <t>8.1c</t>
  </si>
  <si>
    <t>8.1d</t>
  </si>
  <si>
    <t>Is there Anti-Viral/Threat Prevention software installed on the devices that support your system?</t>
  </si>
  <si>
    <t>Is the software centrally managed to continuously monitor and defend the organization's systems?</t>
  </si>
  <si>
    <t>Do you ensure the software updates its scanning engine and signature database on a regular basis?</t>
  </si>
  <si>
    <t>Are Scheduled or Real-time scanning enabled on all assets?</t>
  </si>
  <si>
    <t>Are all malware detection events sent to a central tool for analysis and alerting?</t>
  </si>
  <si>
    <t>Is the Auto-Run feature disabled for all portable media (USB, CD/DVD’s, etc.) on laptops, workstations and/or servers?</t>
  </si>
  <si>
    <t>Limitation and Control of Network Ports, Protocols, and Services</t>
  </si>
  <si>
    <t>Basic</t>
  </si>
  <si>
    <t>Foundation</t>
  </si>
  <si>
    <t>Are all systems that are accessible from the internet are they behind a network firewall?</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</si>
  <si>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</si>
  <si>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</si>
  <si>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</si>
  <si>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</si>
  <si>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10.3a</t>
  </si>
  <si>
    <t>10.3b</t>
  </si>
  <si>
    <t>Have you completed a business impact analysis to identify and prioritize systems and information that must be protected and/or recovered in the event of a disaster or service disruption?</t>
  </si>
  <si>
    <t>Are disaster recovery plans, designed to enable the restoration of all critical information, systems, and facilities?</t>
  </si>
  <si>
    <t>Are regular data backups of key systems performed by your organization?</t>
  </si>
  <si>
    <t>Do you protect backup media (by physical means and/or encryption) when it is created and moved across the network?</t>
  </si>
  <si>
    <t>Is backup data/media stored within an onshore facility (United States only)?</t>
  </si>
  <si>
    <t>Secure Configurations for Network Devices such as Firewalls, Routers, and Switches</t>
  </si>
  <si>
    <t>Are there secure configuration baselines for network devices?</t>
  </si>
  <si>
    <t>Do you install the latest stable version of any security-related updates on all supported network devices?</t>
  </si>
  <si>
    <t xml:space="preserve">Do network engineers/administrators use a dedicated machine for all administrative tasks or tasks requiring elevated access? </t>
  </si>
  <si>
    <t>This system should not be used for reading emails, composing documents and/or browsing the internet.</t>
  </si>
  <si>
    <t>11.1a</t>
  </si>
  <si>
    <t>Do you manage all network devices using multi-factor authentication and encrypted sessions?</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</si>
  <si>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</si>
  <si>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</si>
  <si>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</si>
  <si>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</si>
  <si>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</si>
  <si>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</si>
  <si>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</si>
  <si>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</si>
  <si>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</si>
  <si>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maintain an up-to-date inventory of all of the organization's network boundaries?</t>
  </si>
  <si>
    <t>Do you require all remote log-in access to require multi-factor authentication?</t>
  </si>
  <si>
    <t>Including but not limited to VPN, dial-up or any other method that provides access to internal systems.</t>
  </si>
  <si>
    <t xml:space="preserve">Does all outbound traffic destin for the internet pass through a proxy?  </t>
  </si>
  <si>
    <t>Specifically looking to see if Web, FTP, SSH is inspected and logged on the network.</t>
  </si>
  <si>
    <t>Do you deny communication over unauthorized TCP or UDP ports or application traffic to ensure that only authorized protocols are allowed to cross the network boundary in or out of the network?</t>
  </si>
  <si>
    <t>Do you deploy appropriate encryption software to protect enterprise data stored on all mobile devices?</t>
  </si>
  <si>
    <t>Are safeguards in place that ensure any data stored on removable media (i.e. thumb drives, portable hard drives, etc.) is encrypted?</t>
  </si>
  <si>
    <t>Do you maintain an inventory of all sensitive information stored, processed, or transmitted by the organization's technology systems, including those located on-site or at a remote service provider?</t>
  </si>
  <si>
    <t>Do you dispose of physical and digital copies of data in a secure manner?</t>
  </si>
  <si>
    <t>Do you conduct regular scan of server machines to determine whether sensitive data (PII, PHI, CHD, etc.) is being stored on the system in clear text?</t>
  </si>
  <si>
    <t>Do you have a data loss prevention tool in place that will detect unauthorized transfers of sensitive information and blocks and alarm on such transfers?</t>
  </si>
  <si>
    <t>Are there assigned job titles and duties for handling computer and network incidents to specific individuals, and ensure tracking and documentation throughout the incident through resolution?</t>
  </si>
  <si>
    <t>Does your incident response process define management personnel who will support the incident by acting in key decision-making roles?</t>
  </si>
  <si>
    <t>Do you plan and conduct routine incident response exercises and scenarios for the workforce involved in the incident response process to maintain awareness and comfort in responding to real-world threats?</t>
  </si>
  <si>
    <t>Exercises should test communication channels, decision making, and incident responder’s technical capabilities using tools and data available to them.</t>
  </si>
  <si>
    <t>Organizational</t>
  </si>
  <si>
    <t>20.1a</t>
  </si>
  <si>
    <t>Do your penetration tests include social engineering?</t>
  </si>
  <si>
    <t>20.1b</t>
  </si>
  <si>
    <t>Do you conduct regular external and internal penetration tests to identify vulnerabilities and attack vectors that can be used to exploit enterprise systems successfully?</t>
  </si>
  <si>
    <t>19.1a</t>
  </si>
  <si>
    <t>19.1b</t>
  </si>
  <si>
    <t>19.1c</t>
  </si>
  <si>
    <t>Do you periodically review all system account and disable any account that is not linked to a business process/owner?</t>
  </si>
  <si>
    <t>Is there a process that is documented &amp; followed for revoking system access by disabling account immediately upon termination?</t>
  </si>
  <si>
    <t>Disabling these accounts, instead of deleting accounts, allows preservation of audit trails.</t>
  </si>
  <si>
    <t>Do you maintain an inventory of all user accounts managed by your services?</t>
  </si>
  <si>
    <t>Do you disable (manually or automatically) accounts that are dormant after a set period of inactivity?</t>
  </si>
  <si>
    <t>Do you automatically lock workstation sessions after a set period of inactivity?</t>
  </si>
  <si>
    <t>Do you require multi-factor authentication for all user accounts, on all systems, whether managed on-site or by a third-party provider?</t>
  </si>
  <si>
    <t>Do you encrypt or hash with a salt all authentication credentials when they are stored?</t>
  </si>
  <si>
    <t>Do you ensure that all account usernames and authentication credentials are transmitted across networks using encrypted channels?</t>
  </si>
  <si>
    <t>Is there an established ongoing process for data identification and classification?</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</si>
  <si>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</si>
  <si>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</si>
  <si>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</si>
  <si>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</si>
  <si>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Do you create a separate wireless network for personal or untrusted devices?</t>
  </si>
  <si>
    <t>Enterprise access from this network should be treated as untrusted and filtered and audited accordingly.</t>
  </si>
  <si>
    <t>Do you have an inventory of authorized wireless access points connected to the wired network?</t>
  </si>
  <si>
    <t>Total Questions Asked</t>
  </si>
  <si>
    <t>Does your awareness program train workforce members on the importance of enabling and utilizing secure authentication?</t>
  </si>
  <si>
    <t>Does your awareness program train the workforce on how to identify different forms of social engineering attacks, such as phishing, phone scams, and impersonation calls?</t>
  </si>
  <si>
    <t>Does your awareness program train workforce members on how to identify and properly store, transfer, archive, and destroy sensitive information?</t>
  </si>
  <si>
    <t>Does your awareness program train workforce members to be aware of causes for unintentional data exposures, such as losing their mobile devices or emailing the wrong person due to autocomplete in email?</t>
  </si>
  <si>
    <t>Does your awareness program train workforce members to be able to identify the most common indicators of an incident and be able to report such an incident?</t>
  </si>
  <si>
    <t>17.1e</t>
  </si>
  <si>
    <t>17.1a</t>
  </si>
  <si>
    <t>17.1b</t>
  </si>
  <si>
    <t>17.2c</t>
  </si>
  <si>
    <t>17.3d</t>
  </si>
  <si>
    <t>Do you de-identify data in non-production environments?</t>
  </si>
  <si>
    <t>Is your application/system configured to run with the least amount of privileges possible when connecting to other services?</t>
  </si>
  <si>
    <t>Is your application protected against the Open Web Application Security Project (OWASP) Top 10 software vulnerabilities?</t>
  </si>
  <si>
    <t>Do you have an established process to accept and address reports of software vulnerabilities, including providing a means for external entities to contact your security group?</t>
  </si>
  <si>
    <t>Developers should not have unmonitored access to production environments.</t>
  </si>
  <si>
    <t xml:space="preserve">Do you maintain separate environments for production and non-production systems?  </t>
  </si>
  <si>
    <t>Do you only use up-to-date and trusted third-party components for the software developed by your organization?</t>
  </si>
  <si>
    <t>Do you apply static or dynamic analysis tools to verify that secure coding practices are being adhered to for internally developed software?</t>
  </si>
  <si>
    <t>Does your organziation document and maintain an incident response procedure that includes a definition of personnel roles for handling incidents?</t>
  </si>
  <si>
    <t>Do you educate  all personnel (including contractors) on reporting computer anomalies and incidents to the incident handling team?</t>
  </si>
  <si>
    <t>This type of information should be included in routine employee awareness activities.</t>
  </si>
  <si>
    <t>Do you ensure that deficiencies found in the penetration test/s are fully remediated?</t>
  </si>
  <si>
    <t>Do you perform periodic Red Team exercises to test the organizations ability to identify and stop attacks or to respond quickly and effectively?</t>
  </si>
  <si>
    <t>Do you deny communications with (or limit data flow to) known malicious  domains/IP addresses (blacklist) or limit access to trusted domains/iPs (whitelist)?</t>
  </si>
  <si>
    <t>Are network-based Intrusion Prevention Systems (IPS) deployed to inspect and block malicious traffic entering the company's network?</t>
  </si>
  <si>
    <t>Not sure if we'll keep this one, may need to re-word.</t>
  </si>
  <si>
    <t>Are network monitoring tools in place that analyze outbound traffic for a variety of anomalies, including larger file transfers, persistent connection, connection at regular repeated intervals and/or protocols unusual ports in use?</t>
  </si>
  <si>
    <t>Are World-Reable/Writable shares restricted within your environment?</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</si>
  <si>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</si>
  <si>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</si>
  <si>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Do you ensure that all wireless traffic leverages, at a minimum, Advanced Encryption Standard (AES) used with WIFI Protected Access 2 protection?</t>
  </si>
  <si>
    <t>Are all standard user accounts (non-administrators) required to have a minimum length of 10 characters, contain letters, numbers and special characters, be change every 120 days and not be allowed to use previous password upon change?</t>
  </si>
  <si>
    <t>Are accounts set to lock after 10 (or less) consecutive failed log-on attempts?</t>
  </si>
  <si>
    <t>Do you routinely review and address locked out accounts, disabled accounts, accounts with password that have exceed the maximum password age and/or accounts with passwords that never expire?</t>
  </si>
  <si>
    <t>Do you monitor your system for unusual user activity through audit logging?</t>
  </si>
  <si>
    <t>Is security considerations taken into account throughout the requirement, design, implementation, testing and other phases of the software development lifecycle for your application/s?</t>
  </si>
  <si>
    <t>Do all software development personnel receive training I writing secure code for their specific development environment and responsibilities?</t>
  </si>
  <si>
    <t>Response Options</t>
  </si>
  <si>
    <t>TEAM COMMENTS</t>
  </si>
  <si>
    <t>Control Question</t>
  </si>
  <si>
    <t>Yes
No
LVHN Responsibility
N/A</t>
  </si>
  <si>
    <t>CM-8</t>
  </si>
  <si>
    <t>Devices such as mobile phone, tablets, laptops and any other electronic device that has the ability store or process data.</t>
  </si>
  <si>
    <t>RESOURCES</t>
  </si>
  <si>
    <t>RISK STATEMENT</t>
  </si>
  <si>
    <t>CONTROL DESCRIPTION</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</si>
  <si>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</si>
  <si>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</si>
  <si>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</si>
  <si>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</si>
  <si>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</si>
  <si>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</si>
  <si>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</si>
  <si>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</si>
  <si>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</si>
  <si>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</si>
  <si>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</si>
  <si>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</si>
  <si>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</si>
  <si>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</si>
  <si>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</si>
  <si>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</si>
  <si>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</si>
  <si>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</si>
  <si>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</si>
  <si>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</si>
  <si>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</si>
  <si>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</si>
  <si>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</si>
  <si>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</si>
  <si>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</si>
  <si>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</si>
  <si>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</si>
  <si>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</si>
  <si>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</si>
  <si>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</si>
  <si>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</si>
  <si>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</si>
  <si>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</si>
  <si>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</si>
  <si>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</si>
  <si>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</si>
  <si>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</si>
  <si>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</si>
  <si>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</si>
  <si>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</si>
  <si>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</si>
  <si>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</si>
  <si>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</si>
  <si>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</si>
  <si>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</si>
  <si>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</si>
  <si>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</si>
  <si>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</si>
  <si>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</si>
  <si>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</si>
  <si>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</si>
  <si>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</si>
  <si>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</si>
  <si>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</si>
  <si>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</si>
  <si>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</si>
  <si>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</si>
  <si>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</si>
  <si>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</si>
  <si>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</si>
  <si>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</si>
  <si>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</si>
  <si>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</si>
  <si>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</si>
  <si>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</si>
  <si>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</si>
  <si>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</si>
  <si>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</si>
  <si>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</si>
  <si>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</si>
  <si>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</si>
  <si>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</si>
  <si>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</si>
  <si>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</si>
  <si>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</si>
  <si>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</si>
  <si>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</si>
  <si>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</si>
  <si>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</si>
  <si>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</si>
  <si>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</si>
  <si>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</si>
  <si>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</si>
  <si>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</si>
  <si>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</si>
  <si>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</si>
  <si>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</si>
  <si>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</si>
  <si>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</si>
  <si>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</si>
  <si>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</si>
  <si>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</si>
  <si>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</si>
  <si>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</si>
  <si>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</si>
  <si>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</si>
  <si>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</si>
  <si>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</si>
  <si>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</si>
  <si>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</si>
  <si>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</si>
  <si>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</si>
  <si>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</si>
  <si>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</si>
  <si>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</si>
  <si>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</si>
  <si>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</si>
  <si>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</si>
  <si>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</si>
  <si>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</si>
  <si>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</si>
  <si>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</si>
  <si>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</si>
  <si>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</si>
  <si>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</si>
  <si>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</si>
  <si>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</si>
  <si>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</si>
  <si>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</si>
  <si>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</si>
  <si>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</si>
  <si>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</si>
  <si>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</si>
  <si>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</si>
  <si>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</si>
  <si>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</si>
  <si>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</si>
  <si>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</si>
  <si>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</si>
  <si>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</si>
  <si>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</si>
  <si>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</si>
  <si>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</si>
  <si>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</si>
  <si>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</si>
  <si>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</si>
  <si>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</si>
  <si>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</si>
  <si>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</si>
  <si>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</si>
  <si>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</si>
  <si>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</si>
  <si>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</si>
  <si>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</si>
  <si>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</si>
  <si>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</si>
  <si>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</si>
  <si>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</si>
  <si>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</si>
  <si>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</si>
  <si>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</si>
  <si>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</si>
  <si>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</si>
  <si>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</si>
  <si>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</si>
  <si>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</si>
  <si>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</si>
  <si>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</si>
  <si>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</si>
  <si>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</si>
  <si>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</si>
  <si>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</si>
  <si>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</si>
  <si>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</si>
  <si>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</si>
  <si>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</si>
  <si>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</si>
  <si>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</si>
  <si>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</si>
  <si>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</si>
  <si>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</si>
  <si>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</si>
  <si>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</si>
  <si>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</si>
  <si>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</si>
  <si>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</si>
  <si>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</si>
  <si>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</si>
  <si>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</si>
  <si>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</si>
  <si>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</si>
  <si>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</si>
  <si>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</si>
  <si>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</si>
  <si>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</si>
  <si>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</si>
  <si>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</si>
  <si>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</si>
  <si>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</si>
  <si>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</si>
  <si>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</si>
  <si>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</si>
  <si>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</si>
  <si>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</si>
  <si>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</si>
  <si>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</si>
  <si>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</si>
  <si>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</si>
  <si>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</si>
  <si>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</si>
  <si>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</si>
  <si>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</si>
  <si>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</si>
  <si>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</si>
  <si>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</si>
  <si>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</si>
  <si>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</si>
  <si>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</si>
  <si>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</si>
  <si>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</si>
  <si>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</si>
  <si>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</si>
  <si>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</si>
  <si>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</si>
  <si>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</si>
  <si>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</si>
  <si>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</si>
  <si>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</si>
  <si>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</si>
  <si>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</si>
  <si>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</si>
  <si>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</si>
  <si>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</si>
  <si>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</si>
  <si>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</si>
  <si>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</si>
  <si>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</si>
  <si>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</si>
  <si>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</si>
  <si>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</si>
  <si>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</si>
  <si>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</si>
  <si>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</si>
  <si>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</si>
  <si>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</si>
  <si>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</si>
  <si>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</si>
  <si>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</si>
  <si>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</si>
  <si>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</si>
  <si>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</si>
  <si>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</si>
  <si>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</si>
  <si>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</si>
  <si>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</si>
  <si>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</si>
  <si>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</si>
  <si>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</si>
  <si>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</si>
  <si>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</si>
  <si>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</si>
  <si>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</si>
  <si>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</si>
  <si>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</si>
  <si>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</si>
  <si>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</si>
  <si>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</si>
  <si>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</si>
  <si>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</si>
  <si>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</si>
  <si>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</si>
  <si>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</si>
  <si>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</si>
  <si>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</si>
  <si>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</si>
  <si>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</si>
  <si>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</si>
  <si>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</si>
  <si>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</si>
  <si>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</si>
  <si>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</si>
  <si>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</si>
  <si>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</si>
  <si>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</si>
  <si>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</si>
  <si>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</si>
  <si>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</si>
  <si>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</si>
  <si>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</si>
  <si>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</si>
  <si>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</si>
  <si>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</si>
  <si>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</si>
  <si>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</si>
  <si>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</si>
  <si>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</si>
  <si>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</si>
  <si>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</si>
  <si>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</si>
  <si>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</si>
  <si>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</si>
  <si>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</si>
  <si>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</si>
  <si>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</si>
  <si>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</si>
  <si>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</si>
  <si>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</si>
  <si>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</si>
  <si>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</si>
  <si>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</si>
  <si>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</si>
  <si>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</si>
  <si>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</si>
  <si>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</si>
  <si>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</si>
  <si>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</si>
  <si>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</si>
  <si>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</si>
  <si>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</si>
  <si>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</si>
  <si>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</si>
  <si>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</si>
  <si>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</si>
  <si>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</si>
  <si>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</si>
  <si>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</si>
  <si>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</si>
  <si>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</si>
  <si>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</si>
  <si>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</si>
  <si>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</si>
  <si>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</si>
  <si>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</si>
  <si>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</si>
  <si>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</si>
  <si>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</si>
  <si>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</si>
  <si>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</si>
  <si>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</si>
  <si>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</si>
  <si>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</si>
  <si>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</si>
  <si>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</si>
  <si>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</si>
  <si>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</si>
  <si>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</si>
  <si>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</si>
  <si>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</si>
  <si>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</si>
  <si>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</si>
  <si>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</si>
  <si>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</si>
  <si>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</si>
  <si>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</si>
  <si>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</si>
  <si>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</si>
  <si>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</si>
  <si>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</si>
  <si>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</si>
  <si>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</si>
  <si>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</si>
  <si>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</si>
  <si>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</si>
  <si>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</si>
  <si>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</si>
  <si>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</si>
  <si>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</si>
  <si>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</si>
  <si>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</si>
  <si>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</si>
  <si>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</si>
  <si>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</si>
  <si>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</si>
  <si>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</si>
  <si>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</si>
  <si>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</si>
  <si>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</si>
  <si>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</si>
  <si>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</si>
  <si>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</si>
  <si>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</si>
  <si>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</si>
  <si>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</si>
  <si>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</si>
  <si>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</si>
  <si>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</si>
  <si>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</si>
  <si>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</si>
  <si>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</si>
  <si>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</si>
  <si>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</si>
  <si>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</si>
  <si>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</si>
  <si>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</si>
  <si>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</si>
  <si>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</si>
  <si>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</si>
  <si>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</si>
  <si>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</si>
  <si>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</si>
  <si>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</si>
  <si>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</si>
  <si>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</si>
  <si>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</si>
  <si>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</si>
  <si>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</si>
  <si>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</si>
  <si>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</si>
  <si>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</si>
  <si>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</si>
  <si>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</si>
  <si>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</si>
  <si>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</si>
  <si>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</si>
  <si>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</si>
  <si>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</si>
  <si>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</si>
  <si>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</si>
  <si>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</si>
  <si>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</si>
  <si>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</si>
  <si>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</si>
  <si>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</si>
  <si>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</si>
  <si>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</si>
  <si>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</si>
  <si>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</si>
  <si>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</si>
  <si>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</si>
  <si>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</si>
  <si>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</si>
  <si>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</si>
  <si>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</si>
  <si>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</si>
  <si>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</si>
  <si>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</si>
  <si>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</si>
  <si>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</si>
  <si>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</si>
  <si>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</si>
  <si>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</si>
  <si>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</si>
  <si>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</si>
  <si>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</si>
  <si>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</si>
  <si>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</si>
  <si>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</si>
  <si>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</si>
  <si>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</si>
  <si>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</si>
  <si>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</si>
  <si>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</si>
  <si>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</si>
  <si>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</si>
  <si>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</si>
  <si>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</si>
  <si>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</si>
  <si>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</si>
  <si>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</si>
  <si>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</si>
  <si>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</si>
  <si>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</si>
  <si>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</si>
  <si>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</si>
  <si>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</si>
  <si>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</si>
  <si>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</si>
  <si>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</si>
  <si>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</si>
  <si>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I think we might be able to remove this one focus on this under Montoring and Access Control section, maybe?</t>
  </si>
  <si>
    <t>Remove sensitive data or systems not regularly accessed by the organization from the network. These systems shall only be used as stand-alone systems (disconnected from the network) by the business unit needing to occasionally use the system or completely</t>
  </si>
  <si>
    <t>Do we change to "Do you utilize port level access control, following 802.1x standards, to control which devices can authenticate to the network?"</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</si>
  <si>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</si>
  <si>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</si>
  <si>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</si>
  <si>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</si>
  <si>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</si>
  <si>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</si>
  <si>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</si>
  <si>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</si>
  <si>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</si>
  <si>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</si>
  <si>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</si>
  <si>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</si>
  <si>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</si>
  <si>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</si>
  <si>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</si>
  <si>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</si>
  <si>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</si>
  <si>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</si>
  <si>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</si>
  <si>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</si>
  <si>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</si>
  <si>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</si>
  <si>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</si>
  <si>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</si>
  <si>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</si>
  <si>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</si>
  <si>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</si>
  <si>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</si>
  <si>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</si>
  <si>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</si>
  <si>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</si>
  <si>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</si>
  <si>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</si>
  <si>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</si>
  <si>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</si>
  <si>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</si>
  <si>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</si>
  <si>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</si>
  <si>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</si>
  <si>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</si>
  <si>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</si>
  <si>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</si>
  <si>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</si>
  <si>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</si>
  <si>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</si>
  <si>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</si>
  <si>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</si>
  <si>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</si>
  <si>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</si>
  <si>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</si>
  <si>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</si>
  <si>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</si>
  <si>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</si>
  <si>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</si>
  <si>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</si>
  <si>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</si>
  <si>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</si>
  <si>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</si>
  <si>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</si>
  <si>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</si>
  <si>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</si>
  <si>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</si>
  <si>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</si>
  <si>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</si>
  <si>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</si>
  <si>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</si>
  <si>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</si>
  <si>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</si>
  <si>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</si>
  <si>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</si>
  <si>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</si>
  <si>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</si>
  <si>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</si>
  <si>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</si>
  <si>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</si>
  <si>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</si>
  <si>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</si>
  <si>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</si>
  <si>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</si>
  <si>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</si>
  <si>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</si>
  <si>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</si>
  <si>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</si>
  <si>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</si>
  <si>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</si>
  <si>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</si>
  <si>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</si>
  <si>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</si>
  <si>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</si>
  <si>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</si>
  <si>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</si>
  <si>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</si>
  <si>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</si>
  <si>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</si>
  <si>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</si>
  <si>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</si>
  <si>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</si>
  <si>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</si>
  <si>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</si>
  <si>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</si>
  <si>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</si>
  <si>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</si>
  <si>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</si>
  <si>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</si>
  <si>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</si>
  <si>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</si>
  <si>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</si>
  <si>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</si>
  <si>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</si>
  <si>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</si>
  <si>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</si>
  <si>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</si>
  <si>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</si>
  <si>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</si>
  <si>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</si>
  <si>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</si>
  <si>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</si>
  <si>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</si>
  <si>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</si>
  <si>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</si>
  <si>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</si>
  <si>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</si>
  <si>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</si>
  <si>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</si>
  <si>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</si>
  <si>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</si>
  <si>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</si>
  <si>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</si>
  <si>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</si>
  <si>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</si>
  <si>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</si>
  <si>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</si>
  <si>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</si>
  <si>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</si>
  <si>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</si>
  <si>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</si>
  <si>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</si>
  <si>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</si>
  <si>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</si>
  <si>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</si>
  <si>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</si>
  <si>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</si>
  <si>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</si>
  <si>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</si>
  <si>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</si>
  <si>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</si>
  <si>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</si>
  <si>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</si>
  <si>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</si>
  <si>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</si>
  <si>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</si>
  <si>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</si>
  <si>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</si>
  <si>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</si>
  <si>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</si>
  <si>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</si>
  <si>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</si>
  <si>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</si>
  <si>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</si>
  <si>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</si>
  <si>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</si>
  <si>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</si>
  <si>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</si>
  <si>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</si>
  <si>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</si>
  <si>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</si>
  <si>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</si>
  <si>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</si>
  <si>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</si>
  <si>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</si>
  <si>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</si>
  <si>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</si>
  <si>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</si>
  <si>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</si>
  <si>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</si>
  <si>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</si>
  <si>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</si>
  <si>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</si>
  <si>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</si>
  <si>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</si>
  <si>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</si>
  <si>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</si>
  <si>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</si>
  <si>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</si>
  <si>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</si>
  <si>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</si>
  <si>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</si>
  <si>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</si>
  <si>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</si>
  <si>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</si>
  <si>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</si>
  <si>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</si>
  <si>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</si>
  <si>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</si>
  <si>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</si>
  <si>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</si>
  <si>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</si>
  <si>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</si>
  <si>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</si>
  <si>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</si>
  <si>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</si>
  <si>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</si>
  <si>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</si>
  <si>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</si>
  <si>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</si>
  <si>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</si>
  <si>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</si>
  <si>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</si>
  <si>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</si>
  <si>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</si>
  <si>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</si>
  <si>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</si>
  <si>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</si>
  <si>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</si>
  <si>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</si>
  <si>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</si>
  <si>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</si>
  <si>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</si>
  <si>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</si>
  <si>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</si>
  <si>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</si>
  <si>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</si>
  <si>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</si>
  <si>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</si>
  <si>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</si>
  <si>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</si>
  <si>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</si>
  <si>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</si>
  <si>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</si>
  <si>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</si>
  <si>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</si>
  <si>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</si>
  <si>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</si>
  <si>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</si>
  <si>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</si>
  <si>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</si>
  <si>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</si>
  <si>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</si>
  <si>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</si>
  <si>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</si>
  <si>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</si>
  <si>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</si>
  <si>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</si>
  <si>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</si>
  <si>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</si>
  <si>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</si>
  <si>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</si>
  <si>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</si>
  <si>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</si>
  <si>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</si>
  <si>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</si>
  <si>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</si>
  <si>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</si>
  <si>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</si>
  <si>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</si>
  <si>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</si>
  <si>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</si>
  <si>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</si>
  <si>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</si>
  <si>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</si>
  <si>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</si>
  <si>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</si>
  <si>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</si>
  <si>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</si>
  <si>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</si>
  <si>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</si>
  <si>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</si>
  <si>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</si>
  <si>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</si>
  <si>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</si>
  <si>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</si>
  <si>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</si>
  <si>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</si>
  <si>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</si>
  <si>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</si>
  <si>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</si>
  <si>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</si>
  <si>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</si>
  <si>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</si>
  <si>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</si>
  <si>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</si>
  <si>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</si>
  <si>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</si>
  <si>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</si>
  <si>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</si>
  <si>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</si>
  <si>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</si>
  <si>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</si>
  <si>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</si>
  <si>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</si>
  <si>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</si>
  <si>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</si>
  <si>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</si>
  <si>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</si>
  <si>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</si>
  <si>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</si>
  <si>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</si>
  <si>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</si>
  <si>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</si>
  <si>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</si>
  <si>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</si>
  <si>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</si>
  <si>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</si>
  <si>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</si>
  <si>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</si>
  <si>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</si>
  <si>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</si>
  <si>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</si>
  <si>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</si>
  <si>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</si>
  <si>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</si>
  <si>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</si>
  <si>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</si>
  <si>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</si>
  <si>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</si>
  <si>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</si>
  <si>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</si>
  <si>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</si>
  <si>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</si>
  <si>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</si>
  <si>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</si>
  <si>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</si>
  <si>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</si>
  <si>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</si>
  <si>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</si>
  <si>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</si>
  <si>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</si>
  <si>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</si>
  <si>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</si>
  <si>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</si>
  <si>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</si>
  <si>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</si>
  <si>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</si>
  <si>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</si>
  <si>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</si>
  <si>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</si>
  <si>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</si>
  <si>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</si>
  <si>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</si>
  <si>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</si>
  <si>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</si>
  <si>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</si>
  <si>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</si>
  <si>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</si>
  <si>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</si>
  <si>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</si>
  <si>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</si>
  <si>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</si>
  <si>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</si>
  <si>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</si>
  <si>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</si>
  <si>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</si>
  <si>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</si>
  <si>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</si>
  <si>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</si>
  <si>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</si>
  <si>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</si>
  <si>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</si>
  <si>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</si>
  <si>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</si>
  <si>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</si>
  <si>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</si>
  <si>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</si>
  <si>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</si>
  <si>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</si>
  <si>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</si>
  <si>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</si>
  <si>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</si>
  <si>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</si>
  <si>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</si>
  <si>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</si>
  <si>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</si>
  <si>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</si>
  <si>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</si>
  <si>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</si>
  <si>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</si>
  <si>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</si>
  <si>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</si>
  <si>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</si>
  <si>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</si>
  <si>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</si>
  <si>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</si>
  <si>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</si>
  <si>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</si>
  <si>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</si>
  <si>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</si>
  <si>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</si>
  <si>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</si>
  <si>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</si>
  <si>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</si>
  <si>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</si>
  <si>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</si>
  <si>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</si>
  <si>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</si>
  <si>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</si>
  <si>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</si>
  <si>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</si>
  <si>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</si>
  <si>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</si>
  <si>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</si>
  <si>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</si>
  <si>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</si>
  <si>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</si>
  <si>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</si>
  <si>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</si>
  <si>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</si>
  <si>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</si>
  <si>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</si>
  <si>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</si>
  <si>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</si>
  <si>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</si>
  <si>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</si>
  <si>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</si>
  <si>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</si>
  <si>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</si>
  <si>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</si>
  <si>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</si>
  <si>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</si>
  <si>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</si>
  <si>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</si>
  <si>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</si>
  <si>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</si>
  <si>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</si>
  <si>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</si>
  <si>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</si>
  <si>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</si>
  <si>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</si>
  <si>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</si>
  <si>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</si>
  <si>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</si>
  <si>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</si>
  <si>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</si>
  <si>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</si>
  <si>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</si>
  <si>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</si>
  <si>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</si>
  <si>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</si>
  <si>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</si>
  <si>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</si>
  <si>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</si>
  <si>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</si>
  <si>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</si>
  <si>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</si>
  <si>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</si>
  <si>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</si>
  <si>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</si>
  <si>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</si>
  <si>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</si>
  <si>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</si>
  <si>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</si>
  <si>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</si>
  <si>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</si>
  <si>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</si>
  <si>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</si>
  <si>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</si>
  <si>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</si>
  <si>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</si>
  <si>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</si>
  <si>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</si>
  <si>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</si>
  <si>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</si>
  <si>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</si>
  <si>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</si>
  <si>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</si>
  <si>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</si>
  <si>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</si>
  <si>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</si>
  <si>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</si>
  <si>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</si>
  <si>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</si>
  <si>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</si>
  <si>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</si>
  <si>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</si>
  <si>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</si>
  <si>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</si>
  <si>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</si>
  <si>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</si>
  <si>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</si>
  <si>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</si>
  <si>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</si>
  <si>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</si>
  <si>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</si>
  <si>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</si>
  <si>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</si>
  <si>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</si>
  <si>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</si>
  <si>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</si>
  <si>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</si>
  <si>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</si>
  <si>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</si>
  <si>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</si>
  <si>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</si>
  <si>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</si>
  <si>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</si>
  <si>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</si>
  <si>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</si>
  <si>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</si>
  <si>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</si>
  <si>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</si>
  <si>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</si>
  <si>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</si>
  <si>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</si>
  <si>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</si>
  <si>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</si>
  <si>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</si>
  <si>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</si>
  <si>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</si>
  <si>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</si>
  <si>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</si>
  <si>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</si>
  <si>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</si>
  <si>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</si>
  <si>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</si>
  <si>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</si>
  <si>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</si>
  <si>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</si>
  <si>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</si>
  <si>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</si>
  <si>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</si>
  <si>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</si>
  <si>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</si>
  <si>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</si>
  <si>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</si>
  <si>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</si>
  <si>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</si>
  <si>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</si>
  <si>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</si>
  <si>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</si>
  <si>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</si>
  <si>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</si>
  <si>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</si>
  <si>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</si>
  <si>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</si>
  <si>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</si>
  <si>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164.310(b): Workstations Use
164.310(c): Workstation Security
164.308(a)(5): Security Awareness &amp; Training - Protection from Malicious Software
164.310(b): Device &amp; Media Controls - Accountabliity</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</si>
  <si>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</si>
  <si>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</si>
  <si>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</si>
  <si>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</si>
  <si>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</si>
  <si>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</si>
  <si>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</si>
  <si>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CA-2: Security Assessments
CA-7: Continuous Monitoring
RA-5: Vulnerability Scanning
SC-34: Non-Modifiable Executable Programs
SI-4: Information System Monitoring
SI-7: Software, Firmware, and Information Integrity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</si>
  <si>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</si>
  <si>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</si>
  <si>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CA-7: Continuous Monitoring
SC-39: Process Isolation
SC-44: Detonation Chambers
SI-3: Malicious Code Protection
SI-4: Information System Monitoring
SI-8: Spam Protection</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</si>
  <si>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</si>
  <si>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CP-9: Information System Backup
CP-10: Information System Recovery and Reconstitution
MP-4: Media Storage</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</si>
  <si>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</si>
  <si>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</si>
  <si>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</si>
  <si>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</si>
  <si>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</si>
  <si>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</si>
  <si>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</si>
  <si>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</si>
  <si>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</si>
  <si>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</si>
  <si>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PCI Reference</t>
  </si>
  <si>
    <t>6.1
6.2
11.2</t>
  </si>
  <si>
    <t>2.1
7.1 - 7.3
8.1 - 8.3
8.7</t>
  </si>
  <si>
    <t>2.2
2.3
6.2
11.5</t>
  </si>
  <si>
    <t>10.1 - 10.9</t>
  </si>
  <si>
    <t>5.1 - 5.4</t>
  </si>
  <si>
    <t>4.3
9.5 - 9.7</t>
  </si>
  <si>
    <t>1.1 - 1.2
2.2
6.2</t>
  </si>
  <si>
    <t>1.1 - 1.3
8.3
10.9
11.4</t>
  </si>
  <si>
    <t>3.6
4.1 - 4.3</t>
  </si>
  <si>
    <t>1.3 - 1.4
4.3
7.1 - 7.3
8.7</t>
  </si>
  <si>
    <t>4.3
11.1</t>
  </si>
  <si>
    <t>7.1 - 7.3
8.7 - 8.8</t>
  </si>
  <si>
    <t>6.3
6.5 - 6.7</t>
  </si>
  <si>
    <t>LVHN Policy Reference</t>
  </si>
  <si>
    <t>Vendor specific. </t>
  </si>
  <si>
    <t>Automated tools should be available to actively scan the internal environment, while DHS and MS-ISAC services can assist organizations with scanning their externally facing assets.</t>
  </si>
  <si>
    <t>See change in Control Question 
NJF 08132020</t>
  </si>
  <si>
    <t>Do you maintain an accurate and up-to-date inventory of all technology assets with the potential to store or process information. This inventory shall include all assets, whether connected to the organization's network or not?</t>
  </si>
  <si>
    <t>Do we need this if we have 1.1c below?
NJF 08132020</t>
  </si>
  <si>
    <t>Do you have an active discovery tool that is used to build an inventory of systems connected to an organization’s public and private network(s)?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</si>
  <si>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</si>
  <si>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</si>
  <si>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</si>
  <si>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</si>
  <si>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</si>
  <si>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</si>
  <si>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</si>
  <si>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</si>
  <si>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</si>
  <si>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</si>
  <si>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</si>
  <si>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</si>
  <si>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</si>
  <si>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</si>
  <si>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</si>
  <si>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</si>
  <si>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</si>
  <si>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</si>
  <si>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</si>
  <si>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</si>
  <si>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</si>
  <si>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</si>
  <si>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</si>
  <si>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</si>
  <si>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</si>
  <si>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</si>
  <si>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</si>
  <si>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</si>
  <si>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</si>
  <si>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</si>
  <si>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</si>
  <si>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</si>
  <si>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</si>
  <si>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</si>
  <si>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Are logs are being aggregated to a central log management system for analysis and review?</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</si>
  <si>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</si>
  <si>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</si>
  <si>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</si>
  <si>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</si>
  <si>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</si>
  <si>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</si>
  <si>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</si>
  <si>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</si>
  <si>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</si>
  <si>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</si>
  <si>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</si>
  <si>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</si>
  <si>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</si>
  <si>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</si>
  <si>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</si>
  <si>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</si>
  <si>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</si>
  <si>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</si>
  <si>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</si>
  <si>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</si>
  <si>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</si>
  <si>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</si>
  <si>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</si>
  <si>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</si>
  <si>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</si>
  <si>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</si>
  <si>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</si>
  <si>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</si>
  <si>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</si>
  <si>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</si>
  <si>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</si>
  <si>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</si>
  <si>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</si>
  <si>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</si>
  <si>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</si>
  <si>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</si>
  <si>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</si>
  <si>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</si>
  <si>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</si>
  <si>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</si>
  <si>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</si>
  <si>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</si>
  <si>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</si>
  <si>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</si>
  <si>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</si>
  <si>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</si>
  <si>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</si>
  <si>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</si>
  <si>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</si>
  <si>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</si>
  <si>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</si>
  <si>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</si>
  <si>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</si>
  <si>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</si>
  <si>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</si>
  <si>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</si>
  <si>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</si>
  <si>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</si>
  <si>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</si>
  <si>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</si>
  <si>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</si>
  <si>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</si>
  <si>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</si>
  <si>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</si>
  <si>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</si>
  <si>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</si>
  <si>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</si>
  <si>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</si>
  <si>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</si>
  <si>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</si>
  <si>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</si>
  <si>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</si>
  <si>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</si>
  <si>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</si>
  <si>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</si>
  <si>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</si>
  <si>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</si>
  <si>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</si>
  <si>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</si>
  <si>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</si>
  <si>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</si>
  <si>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</si>
  <si>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</si>
  <si>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</si>
  <si>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</si>
  <si>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</si>
  <si>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</si>
  <si>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</si>
  <si>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</si>
  <si>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</si>
  <si>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</si>
  <si>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</si>
  <si>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</si>
  <si>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</si>
  <si>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</si>
  <si>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</si>
  <si>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</si>
  <si>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</si>
  <si>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</si>
  <si>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</si>
  <si>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</si>
  <si>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</si>
  <si>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</si>
  <si>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</si>
  <si>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</si>
  <si>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</si>
  <si>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</si>
  <si>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</si>
  <si>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</si>
  <si>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</si>
  <si>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</si>
  <si>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</si>
  <si>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</si>
  <si>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</si>
  <si>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</si>
  <si>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</si>
  <si>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</si>
  <si>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</si>
  <si>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</si>
  <si>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</si>
  <si>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</si>
  <si>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</si>
  <si>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</si>
  <si>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</si>
  <si>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</si>
  <si>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</si>
  <si>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</si>
  <si>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</si>
  <si>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</si>
  <si>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</si>
  <si>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</si>
  <si>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</si>
  <si>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</si>
  <si>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</si>
  <si>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</si>
  <si>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</si>
  <si>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</si>
  <si>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</si>
  <si>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</si>
  <si>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</si>
  <si>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</si>
  <si>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</si>
  <si>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</si>
  <si>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</si>
  <si>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</si>
  <si>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</si>
  <si>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</si>
  <si>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</si>
  <si>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</si>
  <si>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</si>
  <si>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</si>
  <si>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</si>
  <si>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</si>
  <si>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</si>
  <si>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</si>
  <si>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</si>
  <si>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</si>
  <si>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</si>
  <si>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</si>
  <si>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</si>
  <si>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</si>
  <si>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</si>
  <si>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</si>
  <si>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</si>
  <si>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</si>
  <si>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</si>
  <si>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</si>
  <si>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</si>
  <si>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</si>
  <si>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</si>
  <si>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</si>
  <si>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</si>
  <si>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</si>
  <si>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</si>
  <si>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</si>
  <si>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</si>
  <si>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</si>
  <si>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</si>
  <si>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</si>
  <si>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</si>
  <si>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</si>
  <si>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</si>
  <si>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</si>
  <si>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</si>
  <si>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</si>
  <si>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</si>
  <si>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</si>
  <si>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</si>
  <si>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</si>
  <si>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</si>
  <si>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</si>
  <si>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</si>
  <si>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</si>
  <si>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</si>
  <si>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</si>
  <si>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</si>
  <si>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</si>
  <si>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</si>
  <si>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</si>
  <si>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</si>
  <si>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</si>
  <si>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</si>
  <si>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</si>
  <si>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</si>
  <si>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</si>
  <si>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</si>
  <si>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</si>
  <si>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</si>
  <si>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</si>
  <si>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</si>
  <si>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</si>
  <si>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</si>
  <si>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</si>
  <si>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</si>
  <si>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</si>
  <si>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</si>
  <si>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</si>
  <si>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</si>
  <si>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</si>
  <si>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</si>
  <si>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</si>
  <si>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</si>
  <si>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</si>
  <si>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</si>
  <si>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</si>
  <si>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</si>
  <si>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</si>
  <si>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</si>
  <si>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</si>
  <si>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</si>
  <si>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</si>
  <si>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</si>
  <si>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</si>
  <si>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</si>
  <si>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</si>
  <si>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</si>
  <si>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</si>
  <si>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</si>
  <si>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</si>
  <si>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</si>
  <si>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</si>
  <si>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</si>
  <si>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</si>
  <si>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</si>
  <si>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</si>
  <si>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</si>
  <si>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</si>
  <si>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</si>
  <si>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</si>
  <si>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</si>
  <si>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</si>
  <si>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</si>
  <si>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</si>
  <si>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</si>
  <si>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</si>
  <si>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</si>
  <si>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</si>
  <si>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</si>
  <si>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</si>
  <si>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</si>
  <si>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</si>
  <si>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</si>
  <si>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</si>
  <si>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</si>
  <si>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</si>
  <si>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</si>
  <si>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</si>
  <si>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</si>
  <si>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</si>
  <si>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</si>
  <si>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</si>
  <si>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LVHN Policy</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</si>
  <si>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</si>
  <si>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</si>
  <si>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</si>
  <si>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</si>
  <si>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</si>
  <si>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</si>
  <si>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</si>
  <si>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</si>
  <si>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</si>
  <si>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</si>
  <si>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</si>
  <si>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</si>
  <si>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</si>
  <si>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Loss of availability may cause minor losses or inefficiencies.</t>
  </si>
  <si>
    <t xml:space="preserve">MANAGEMENT OF PERSONALLY IDENTIFIABLE INFORMATION </t>
  </si>
  <si>
    <t>MPII-1</t>
  </si>
  <si>
    <t xml:space="preserve">Can this device display, transmit, store, or modify personally identifiable information (e.g. electronic Protected Health Information (ePHI))? </t>
  </si>
  <si>
    <t>AR-2</t>
  </si>
  <si>
    <t>MPII-2</t>
  </si>
  <si>
    <t xml:space="preserve">Does the device maintain personally identifiable information? </t>
  </si>
  <si>
    <t>MPII-2.1</t>
  </si>
  <si>
    <t xml:space="preserve">Does the device maintain personally identifiable information temporarily in volatile memory (i.e., until cleared by power-off or reset)?  </t>
  </si>
  <si>
    <t>MPII-2.5</t>
  </si>
  <si>
    <t>Does the device allow configuration to automatically delete local personally identifiable information after it is stored to a long term solution?</t>
  </si>
  <si>
    <t>MPII-2.6</t>
  </si>
  <si>
    <t xml:space="preserve">Does the device import/export personally identifiable information with other systems (e.g., a wearable monitoring device might export personally identifiable information to a server)?  </t>
  </si>
  <si>
    <t>MPII-2.7</t>
  </si>
  <si>
    <t xml:space="preserve">Does the device maintain personally identifiable information when powered off, or during power service interruptions? </t>
  </si>
  <si>
    <t>MPII-2.9</t>
  </si>
  <si>
    <t xml:space="preserve">Does the device allow personally identifiable information records be stored in a separate location from the device’s operating system (i.e. secondary internal drive, alternate drive partition, or remote storage location)? </t>
  </si>
  <si>
    <t>MPII-3</t>
  </si>
  <si>
    <t>Does the device have mechanisms used for the transmitting, importing/exporting of personally identifiable information?</t>
  </si>
  <si>
    <t>MPII-3.1</t>
  </si>
  <si>
    <t>Does the device display personally identifiable information (e.g., video display, etc.)?</t>
  </si>
  <si>
    <t>MPII-3.2</t>
  </si>
  <si>
    <t>Does the device generate hardcopy reports or images containing personally identifiable information?</t>
  </si>
  <si>
    <t>MPII-3.3</t>
  </si>
  <si>
    <t>Does the device retrieve personally identifiable information from or record personally identifiable information to removable media (e.g., removable-HDD, USB memory, DVD-R/RW,CD-R/RW, tape, CF/SD card, memory stick, etc.)?</t>
  </si>
  <si>
    <t>MPII-3.4</t>
  </si>
  <si>
    <t>Does the device transmit/receive or import/export personally identifiable information via dedicated cable connection (e.g., RS-232, RS-423, USB, FireWire, etc.)?</t>
  </si>
  <si>
    <t>MPII-3.5</t>
  </si>
  <si>
    <t xml:space="preserve">Does the device transmit/receive personally identifiable information via a wired network connection (e.g., RJ45, fiber optic,  etc.)? </t>
  </si>
  <si>
    <t>MPII-3.6</t>
  </si>
  <si>
    <t>Does the device transmit/receive personally identifiable information via a wireless network connection (e.g., WiFi, Bluetooth, NFC, infrared, cellular, etc.)?</t>
  </si>
  <si>
    <t>MPII-3.7</t>
  </si>
  <si>
    <t>Does the device transmit/receive personally identifiable information over an external network (e.g., Internet)?</t>
  </si>
  <si>
    <t>MPII-3.10</t>
  </si>
  <si>
    <t xml:space="preserve">Does the device use any other mechanism to transmit, import or export personally identifiable information? </t>
  </si>
  <si>
    <t>AUTOMATIC LOGOFF (ALOF)</t>
  </si>
  <si>
    <t>ALOF-1</t>
  </si>
  <si>
    <t>Can the device be configured to force reauthorization of logged-in user(s) after a predetermined length of inactivity (e.g., auto-logoff, session lock, password protected screen saver)?</t>
  </si>
  <si>
    <t>ALOF-2</t>
  </si>
  <si>
    <t>Is the length of inactivity time before auto-logoff/screen lock user or administrator configurable?</t>
  </si>
  <si>
    <t>AUDIT CONTROLS (AUDT)</t>
  </si>
  <si>
    <t>AUDT-1</t>
  </si>
  <si>
    <t>Can the medical device create additional audit logs or reports beyond standard operating system logs?</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</si>
  <si>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</si>
  <si>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</si>
  <si>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</si>
  <si>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</si>
  <si>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</si>
  <si>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</si>
  <si>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</si>
  <si>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</si>
  <si>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</si>
  <si>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</si>
  <si>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</si>
  <si>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</si>
  <si>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</si>
  <si>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</si>
  <si>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</si>
  <si>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</si>
  <si>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</si>
  <si>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</si>
  <si>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</si>
  <si>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</si>
  <si>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</si>
  <si>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</si>
  <si>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</si>
  <si>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</si>
  <si>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</si>
  <si>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</si>
  <si>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</si>
  <si>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</si>
  <si>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</si>
  <si>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</si>
  <si>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</si>
  <si>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</si>
  <si>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</si>
  <si>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</si>
  <si>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</si>
  <si>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</si>
  <si>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</si>
  <si>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</si>
  <si>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</si>
  <si>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</si>
  <si>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AUDT-7</t>
  </si>
  <si>
    <t>Are audit logs protected from modification?</t>
  </si>
  <si>
    <t>AUDT-8</t>
  </si>
  <si>
    <t>Can audit logs be analyzed by the device?</t>
  </si>
  <si>
    <t>AUTHORIZATION (AUTH)</t>
  </si>
  <si>
    <t>AUTH-1</t>
  </si>
  <si>
    <t>Does the device prevent access to unauthorized users through user login requirements or other mechanism?</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</si>
  <si>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</si>
  <si>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</si>
  <si>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</si>
  <si>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</si>
  <si>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</si>
  <si>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Are any special groups, organizational units, or group policies required?</t>
  </si>
  <si>
    <t>AUTH-2</t>
  </si>
  <si>
    <t>Can users be assigned different privilege levels based on 'role' (e.g., user, administrator, and/or service, etc.)?</t>
  </si>
  <si>
    <t>AUTH-3</t>
  </si>
  <si>
    <t xml:space="preserve">Can the device owner/operator grant themselves unrestricted administrative privileges (e.g., access operating system or application via local root or administrator account)?  </t>
  </si>
  <si>
    <t>AUTH-4</t>
  </si>
  <si>
    <t>Does the device authorize or control all API access requests?</t>
  </si>
  <si>
    <t>CYBER SECURITY PRODUCT UPGRADES (CSUP)</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</si>
  <si>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</si>
  <si>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</si>
  <si>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</si>
  <si>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</si>
  <si>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</si>
  <si>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</si>
  <si>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</si>
  <si>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</si>
  <si>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</si>
  <si>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</si>
  <si>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</si>
  <si>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</si>
  <si>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CSUP-3.1</t>
  </si>
  <si>
    <t>CSUP-3.2</t>
  </si>
  <si>
    <t>CSUP-3.3</t>
  </si>
  <si>
    <t>CSUP-3.4</t>
  </si>
  <si>
    <t>CSUP-4</t>
  </si>
  <si>
    <t>CSUP-4.1</t>
  </si>
  <si>
    <t>CSUP-4.2</t>
  </si>
  <si>
    <t>CSUP-4.3</t>
  </si>
  <si>
    <t>CSUP-4.4</t>
  </si>
  <si>
    <t>CSUP-5</t>
  </si>
  <si>
    <t>CSUP-5.1</t>
  </si>
  <si>
    <t>CSUP-5.2</t>
  </si>
  <si>
    <t>CSUP-5.3</t>
  </si>
  <si>
    <t>CSUP-5.4</t>
  </si>
  <si>
    <t>CSUP-6</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</si>
  <si>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</si>
  <si>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</si>
  <si>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</si>
  <si>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</si>
  <si>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</si>
  <si>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</si>
  <si>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</si>
  <si>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</si>
  <si>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</si>
  <si>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</si>
  <si>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</si>
  <si>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</si>
  <si>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</si>
  <si>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</si>
  <si>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</si>
  <si>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</si>
  <si>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</si>
  <si>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</si>
  <si>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</si>
  <si>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</si>
  <si>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DATA BACKUP AND DISASTER RECOVERY (DTBK)</t>
  </si>
  <si>
    <t>DTBK-2</t>
  </si>
  <si>
    <t>Does the device have a “factory reset” function to restore the original device settings as provided by the manufacturer?</t>
  </si>
  <si>
    <t>DTBK-3</t>
  </si>
  <si>
    <t>Does the device have an integral data backup capability to removable media?</t>
  </si>
  <si>
    <t>DTBK-6</t>
  </si>
  <si>
    <t>Does the device provide the capability to check the integrity and authenticity of a backup?</t>
  </si>
  <si>
    <t>EMERGENCY ACCESS (EMRG)</t>
  </si>
  <si>
    <t>EMRG-1</t>
  </si>
  <si>
    <t>Does the device incorporate an emergency access (i.e. “break-glass”) feature?</t>
  </si>
  <si>
    <t>HEALTH DATA INTEGRITY AND AUTHENTICITY (IGAU)</t>
  </si>
  <si>
    <t>IGAU-1</t>
  </si>
  <si>
    <t>Does the device provide data integrity checking mechanisms of stored health data (e.g., hash or digital signature)?</t>
  </si>
  <si>
    <t>IGAU-2</t>
  </si>
  <si>
    <t xml:space="preserve">Does the device provide error/failure protection and recovery mechanisms for stored health data (e.g., RAID-5)? </t>
  </si>
  <si>
    <t>MALWARE DETECTION/PROTECTION (MLDP)</t>
  </si>
  <si>
    <t>MLDP-2</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</si>
  <si>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</si>
  <si>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</si>
  <si>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</si>
  <si>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</si>
  <si>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</si>
  <si>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</si>
  <si>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</si>
  <si>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</si>
  <si>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</si>
  <si>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</si>
  <si>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</si>
  <si>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</si>
  <si>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</si>
  <si>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</si>
  <si>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</si>
  <si>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</si>
  <si>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NODE AUTHENTICATION (NAUT)</t>
  </si>
  <si>
    <t>NAUT-1</t>
  </si>
  <si>
    <t>Does the device provide/support any means of node authentication that assures both the sender and the recipient of data are known to each other and are authorized to receive transferred information (e.g. Web APIs, SMTP, SNMP)?</t>
  </si>
  <si>
    <t>NAUT-2</t>
  </si>
  <si>
    <t>Are network access control mechanisms supported (E.g., does the device have an internal firewall, or use a network connection white list)?</t>
  </si>
  <si>
    <t>PERSON AUTHENTICATION (PAUT)</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</si>
  <si>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</si>
  <si>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</si>
  <si>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</si>
  <si>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</si>
  <si>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</si>
  <si>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</si>
  <si>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</si>
  <si>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</si>
  <si>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</si>
  <si>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</si>
  <si>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PAUT-6</t>
  </si>
  <si>
    <t>Is the device configurable to enforce creation of user account passwords that meet established (organization specific) complexity rules?</t>
  </si>
  <si>
    <t>PAUT-9</t>
  </si>
  <si>
    <t>Does the device support single sign-on (SSO)?</t>
  </si>
  <si>
    <t>PAUT-10</t>
  </si>
  <si>
    <t>Can user accounts be disabled/locked on the device?</t>
  </si>
  <si>
    <t>PAUT-11</t>
  </si>
  <si>
    <t>Does the device support biometric controls?</t>
  </si>
  <si>
    <t>PHYSICAL LOCKS (PLOK)</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</si>
  <si>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</si>
  <si>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</si>
  <si>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</si>
  <si>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</si>
  <si>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</si>
  <si>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</si>
  <si>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</si>
  <si>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</si>
  <si>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RDMP-1</t>
  </si>
  <si>
    <t>Was a secure software development process, such as ISO/IEC 27034 or IEC 62304, followed during product development?</t>
  </si>
  <si>
    <t>RDMP-2</t>
  </si>
  <si>
    <t xml:space="preserve">Does the manufacturer evaluate third-party applications and software components included in the device for secure development practices? </t>
  </si>
  <si>
    <t>RDMP-3</t>
  </si>
  <si>
    <t>Does the manufacturer maintain a web page or other source of information on software support dates and updates?</t>
  </si>
  <si>
    <t>RDMP-4</t>
  </si>
  <si>
    <t>Does the manufacturer have a plan for managing third-party component end-of-life?</t>
  </si>
  <si>
    <t>SYSTEM AND APPLICATION HARDENING (SAHD)</t>
  </si>
  <si>
    <t>SAHD-1</t>
  </si>
  <si>
    <t>Is the device hardened in accordance with any industry standards?</t>
  </si>
  <si>
    <t>SAHD-2</t>
  </si>
  <si>
    <t>Has the device received any cybersecurity certifications?</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</si>
  <si>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</si>
  <si>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</si>
  <si>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</si>
  <si>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</si>
  <si>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</si>
  <si>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</si>
  <si>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</si>
  <si>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</si>
  <si>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</si>
  <si>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</si>
  <si>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</si>
  <si>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</si>
  <si>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</si>
  <si>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</si>
  <si>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</si>
  <si>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</si>
  <si>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</si>
  <si>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</si>
  <si>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</si>
  <si>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</si>
  <si>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</si>
  <si>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</si>
  <si>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SECURITY GUIDANCE (SGUD)</t>
  </si>
  <si>
    <t>SGUD-1</t>
  </si>
  <si>
    <t>Does the device include security documentation for the owner/operator?</t>
  </si>
  <si>
    <t>AT-2/PL-2</t>
  </si>
  <si>
    <t>SGUD-2</t>
  </si>
  <si>
    <t xml:space="preserve">Does the device have the capability, and provide instructions, for the permanent deletion of data from the device or media? </t>
  </si>
  <si>
    <t>SGUD-3</t>
  </si>
  <si>
    <t>Are all access accounts documented?</t>
  </si>
  <si>
    <t>HEALTH DATA STORAGE CONFIDENTIALITY (STCF)</t>
  </si>
  <si>
    <t>STCF-1</t>
  </si>
  <si>
    <t xml:space="preserve">Can the device encrypt data at rest? </t>
  </si>
  <si>
    <t>STCF-2</t>
  </si>
  <si>
    <t>Can the encryption keys be changed or configured?</t>
  </si>
  <si>
    <t>TRANSMISSION CONFIDENTIALITY (TXCF)</t>
  </si>
  <si>
    <t>TXCF-1</t>
  </si>
  <si>
    <t>Can personally identifiable information be transmitted only via a point-to-point dedicated cable?</t>
  </si>
  <si>
    <t>TXCF-2</t>
  </si>
  <si>
    <t xml:space="preserve">Is personally identifiable information encrypted prior to transmission via a network or removable media? </t>
  </si>
  <si>
    <t>TXCF-3</t>
  </si>
  <si>
    <t>Is personally identifiable information transmission restricted to a fixed list of network destinations?</t>
  </si>
  <si>
    <t>TXCF-4</t>
  </si>
  <si>
    <t>Are connections limited to authenticated systems?</t>
  </si>
  <si>
    <t>TRANSMISSION INTEGRITY (TXIG)</t>
  </si>
  <si>
    <t>TXIG-1</t>
  </si>
  <si>
    <t>Does the device support any mechanism (e.g., digital signatures) intended to ensure data is not modified during transmission?</t>
  </si>
  <si>
    <t>REMOTE SERVICE (RMOT)</t>
  </si>
  <si>
    <t>RMOT-1</t>
  </si>
  <si>
    <t>Does the device permit remote service connections for device analysis or repair?</t>
  </si>
  <si>
    <t>RMOT-1.3</t>
  </si>
  <si>
    <t>Can patient data be accessed or viewed from the device during the remote session?</t>
  </si>
  <si>
    <t>Risk Statement</t>
  </si>
  <si>
    <t>MDS Control #</t>
  </si>
  <si>
    <t>LVHN #</t>
  </si>
  <si>
    <t>Comments</t>
  </si>
  <si>
    <t>Yes
No</t>
  </si>
  <si>
    <t>Does the device contain Non-Operating System commercial off-the-shelf components?</t>
  </si>
  <si>
    <t>Does the device contain other software components (e.g., asset management software, license management)?</t>
  </si>
  <si>
    <t>Yes
No
N/A</t>
  </si>
  <si>
    <t>Loss of availability would result in major impairment to the overall operation of the location and/or essential services, and/or cause significant financial loss.</t>
  </si>
  <si>
    <t>Loss of availability would result in moderate financial losses and/or reduced customer service.</t>
  </si>
  <si>
    <t>Humans are prone to make mistakes.  Everyone involved in using, maintaining or operating the system could become a potential threat.</t>
  </si>
  <si>
    <t>Loss of availability poses minimal impact or financial losses.</t>
  </si>
  <si>
    <t>Data that could easily be used for financial fraud, or could cause significant reputational damage.</t>
  </si>
  <si>
    <t>3.3A</t>
  </si>
  <si>
    <t>3.3B</t>
  </si>
  <si>
    <t>3.3C</t>
  </si>
  <si>
    <t>3.3D</t>
  </si>
  <si>
    <t>3.3E</t>
  </si>
  <si>
    <t>3.3F</t>
  </si>
  <si>
    <t>3.3G</t>
  </si>
  <si>
    <t>3.3H</t>
  </si>
  <si>
    <t>3.3I</t>
  </si>
  <si>
    <t>3.3J</t>
  </si>
  <si>
    <t>3.3K</t>
  </si>
  <si>
    <t>3.3L</t>
  </si>
  <si>
    <t>Required / Recommend</t>
  </si>
  <si>
    <t>Does the device support the use of anti-malware software (or other anti-malware mechanism)?</t>
  </si>
  <si>
    <t>4.2A</t>
  </si>
  <si>
    <t>4.2B</t>
  </si>
  <si>
    <t>4.2C</t>
  </si>
  <si>
    <t>4.2D</t>
  </si>
  <si>
    <t>4.3A</t>
  </si>
  <si>
    <t>4.3B</t>
  </si>
  <si>
    <t>4.3C</t>
  </si>
  <si>
    <t>4.3D</t>
  </si>
  <si>
    <t>4.4A</t>
  </si>
  <si>
    <t>4.4B</t>
  </si>
  <si>
    <t>4.4C</t>
  </si>
  <si>
    <t>4.4D</t>
  </si>
  <si>
    <t>Does the device contain an Operating System?  (If Yes answer 4.2A-4.2D)</t>
  </si>
  <si>
    <t>Does the device contain Drivers and Firmware? (If Yes answer 4.3A-4.3D)</t>
  </si>
  <si>
    <t>Does the device contain Anti-Malware Software? (If Yes answer 4.4A-4.4D)</t>
  </si>
  <si>
    <t>4.5A</t>
  </si>
  <si>
    <t>4.B</t>
  </si>
  <si>
    <t>4.5C</t>
  </si>
  <si>
    <t>4.5D</t>
  </si>
  <si>
    <t>4.6A</t>
  </si>
  <si>
    <t>4.6B</t>
  </si>
  <si>
    <t>4.6C</t>
  </si>
  <si>
    <t>4.6D</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</si>
  <si>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</si>
  <si>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</si>
  <si>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</si>
  <si>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</si>
  <si>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</si>
  <si>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</si>
  <si>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</si>
  <si>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</si>
  <si>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</si>
  <si>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</si>
  <si>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</si>
  <si>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</si>
  <si>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</si>
  <si>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</si>
  <si>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</si>
  <si>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</si>
  <si>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</si>
  <si>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</si>
  <si>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</si>
  <si>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</si>
  <si>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</si>
  <si>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</si>
  <si>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</si>
  <si>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</si>
  <si>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</si>
  <si>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</si>
  <si>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</si>
  <si>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</si>
  <si>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</si>
  <si>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</si>
  <si>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</si>
  <si>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</si>
  <si>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</si>
  <si>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</si>
  <si>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</si>
  <si>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</si>
  <si>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</si>
  <si>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</si>
  <si>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</si>
  <si>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</si>
  <si>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</si>
  <si>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</si>
  <si>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</si>
  <si>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</si>
  <si>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</si>
  <si>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</si>
  <si>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</si>
  <si>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</si>
  <si>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</si>
  <si>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</si>
  <si>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</si>
  <si>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</si>
  <si>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</si>
  <si>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</si>
  <si>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</si>
  <si>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</si>
  <si>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</si>
  <si>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</si>
  <si>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</si>
  <si>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</si>
  <si>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</si>
  <si>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</si>
  <si>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</si>
  <si>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</si>
  <si>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</si>
  <si>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</si>
  <si>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</si>
  <si>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</si>
  <si>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</si>
  <si>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</si>
  <si>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</si>
  <si>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</si>
  <si>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</si>
  <si>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</si>
  <si>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</si>
  <si>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</si>
  <si>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</si>
  <si>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</si>
  <si>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</si>
  <si>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</si>
  <si>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</si>
  <si>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</si>
  <si>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</si>
  <si>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</si>
  <si>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</si>
  <si>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</si>
  <si>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</si>
  <si>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</si>
  <si>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</si>
  <si>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</si>
  <si>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</si>
  <si>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</si>
  <si>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</si>
  <si>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</si>
  <si>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</si>
  <si>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</si>
  <si>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</si>
  <si>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</si>
  <si>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</si>
  <si>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</si>
  <si>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</si>
  <si>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</si>
  <si>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</si>
  <si>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</si>
  <si>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</si>
  <si>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</si>
  <si>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</si>
  <si>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</si>
  <si>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</si>
  <si>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SSN, credit card number, mental health information, substance abuse information, sexually transmitted infections. </t>
  </si>
  <si>
    <t xml:space="preserve">Health information, clinical research data, insurance information, human/employee data, board materials. </t>
  </si>
  <si>
    <t xml:space="preserve">Materials published on websites, presentations, and research publications. </t>
  </si>
  <si>
    <t>Departmental Portals/Websites.</t>
  </si>
  <si>
    <t>End user workstations (e.g. Desktops/Laptops).</t>
  </si>
  <si>
    <t>Public Portals/Websites,  File Servers, Time &amp; Attendance, Service Desk Portal.</t>
  </si>
  <si>
    <t>Medical Record Systems, Email Systems, Domain Name Server (DNS), Authentication Systems, Building Access Controls, Network Infrastructure.</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</si>
  <si>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</si>
  <si>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</si>
  <si>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</si>
  <si>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</si>
  <si>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</si>
  <si>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</si>
  <si>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</si>
  <si>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</si>
  <si>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</si>
  <si>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</si>
  <si>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</si>
  <si>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</si>
  <si>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</si>
  <si>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</si>
  <si>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</si>
  <si>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</si>
  <si>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</si>
  <si>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</si>
  <si>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</si>
  <si>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</si>
  <si>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</si>
  <si>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</si>
  <si>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</si>
  <si>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</si>
  <si>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</si>
  <si>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</si>
  <si>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</si>
  <si>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</si>
  <si>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</si>
  <si>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</si>
  <si>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</si>
  <si>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</si>
  <si>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</si>
  <si>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</si>
  <si>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</si>
  <si>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</si>
  <si>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</si>
  <si>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</si>
  <si>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</si>
  <si>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</si>
  <si>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</si>
  <si>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</si>
  <si>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</si>
  <si>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</si>
  <si>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</si>
  <si>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</si>
  <si>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</si>
  <si>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</si>
  <si>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</si>
  <si>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</si>
  <si>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</si>
  <si>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</si>
  <si>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</si>
  <si>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 xml:space="preserve"> - - THIS SECTION IS TO BE COMPLETED BY SECURITY &amp; RISK MANAGEMENT - -</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</si>
  <si>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</si>
  <si>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</si>
  <si>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</si>
  <si>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</si>
  <si>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</si>
  <si>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</si>
  <si>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</si>
  <si>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</si>
  <si>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</si>
  <si>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</si>
  <si>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</si>
  <si>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</si>
  <si>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</si>
  <si>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</si>
  <si>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</si>
  <si>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</si>
  <si>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</si>
  <si>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</si>
  <si>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</si>
  <si>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</si>
  <si>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</si>
  <si>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</si>
  <si>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</si>
  <si>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</si>
  <si>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</si>
  <si>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</si>
  <si>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</si>
  <si>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</si>
  <si>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</si>
  <si>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</si>
  <si>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</si>
  <si>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</si>
  <si>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</si>
  <si>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</si>
  <si>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</si>
  <si>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</si>
  <si>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</si>
  <si>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</si>
  <si>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</si>
  <si>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</si>
  <si>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</si>
  <si>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</si>
  <si>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</si>
  <si>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</si>
  <si>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</si>
  <si>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</si>
  <si>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</si>
  <si>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</si>
  <si>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</si>
  <si>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</si>
  <si>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</si>
  <si>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</si>
  <si>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</si>
  <si>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</si>
  <si>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</si>
  <si>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</si>
  <si>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</si>
  <si>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</si>
  <si>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</si>
  <si>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</si>
  <si>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</si>
  <si>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</si>
  <si>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</si>
  <si>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</si>
  <si>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</si>
  <si>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</si>
  <si>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</si>
  <si>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</si>
  <si>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r>
      <rPr>
        <b/>
        <u/>
        <sz val="14"/>
        <color theme="1"/>
        <rFont val="Calibri"/>
        <family val="2"/>
        <scheme val="minor"/>
      </rPr>
      <t>High level view on the assessment process (diagram shown to the right):</t>
    </r>
    <r>
      <rPr>
        <sz val="12"/>
        <color theme="1"/>
        <rFont val="Calibri"/>
        <family val="2"/>
        <scheme val="minor"/>
      </rPr>
      <t xml:space="preserve">
1) The initial request for new or change of technology is submitted by the customers Application Team/Business Unit, once complete the Technology Assessment Questionnaire is routed to the vendor.
2) The vendor will complete the multiple-choice questionnaire and return the results back to the customer.
3) The customers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customers leadership.
4) The customers Security Team will present their findings to the customers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customers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customers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inherit risk accepted by the customers Leadership team before it can be advanced to Step 8.  
7) The customers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customers Security team is to remain involved during the planning, development, testing and implementation phases to ensure no additional risk is introduced.
9) Once the solution has been implemented it is to be re-assessed/evaluated on a regular basis, the customers Security team will create a reminder to trigger an event at the time defined within organizations policy.</t>
    </r>
  </si>
  <si>
    <t>Supply Chain Risk Assessment Questionnaire</t>
  </si>
  <si>
    <t xml:space="preserve"> - - THE SECTION BELOW IS TO BE COMPLETED BY THE APPLICATION ANALYST - -</t>
  </si>
  <si>
    <t xml:space="preserve">Welcome to the SCRA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</si>
  <si>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Requesting Department/ Cost Center</t>
  </si>
  <si>
    <t>THREAT COVERAGE MAP</t>
  </si>
  <si>
    <t>New Threat Coverage Map is now provided under the Assessment Results tab, this provides a visual for gaps identified in the vendor responses.</t>
  </si>
  <si>
    <t>Supply Chain Risk Assessment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</si>
</sst>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0">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b/>
      <sz val="14"/>
      <name val="Calibri"/>
      <family val="2"/>
    </font>
    <font>
      <sz val="24"/>
      <color rgb="FFFF0000"/>
      <name val="Calibri"/>
      <family val="2"/>
      <scheme val="minor"/>
    </font>
    <font>
      <sz val="22"/>
      <name val="Calibri"/>
      <family val="2"/>
      <scheme val="minor"/>
    </font>
    <font>
      <b/>
      <u/>
      <sz val="14"/>
      <color theme="1"/>
      <name val="Calibri"/>
      <family val="2"/>
      <scheme val="minor"/>
    </font>
    <font>
      <sz val="26"/>
      <color theme="0"/>
      <name val="Calibri"/>
      <family val="2"/>
      <scheme val="minor"/>
    </font>
  </fonts>
  <fills count="3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s>
  <borders count="1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s>
  <cellStyleXfs count="2">
    <xf numFmtId="0" fontId="0" fillId="0" borderId="0"/>
    <xf numFmtId="9" fontId="26" fillId="0" borderId="0" applyFont="0" applyFill="0" applyBorder="0" applyAlignment="0" applyProtection="0"/>
  </cellStyleXfs>
  <cellXfs count="799">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right" vertical="top"/>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2" fontId="0" fillId="0" borderId="1" xfId="0" applyNumberFormat="1" applyBorder="1" applyAlignment="1">
      <alignment horizontal="center" vertical="top"/>
    </xf>
    <xf numFmtId="0" fontId="0" fillId="0" borderId="0" xfId="0" applyBorder="1" applyAlignment="1">
      <alignment horizontal="center" vertical="top"/>
    </xf>
    <xf numFmtId="0" fontId="2" fillId="7" borderId="1" xfId="0" applyFont="1" applyFill="1" applyBorder="1" applyAlignment="1">
      <alignment horizontal="center" vertical="top"/>
    </xf>
    <xf numFmtId="0" fontId="0" fillId="8" borderId="1" xfId="0" applyFill="1" applyBorder="1" applyAlignment="1">
      <alignment horizontal="center" vertical="top"/>
    </xf>
    <xf numFmtId="0" fontId="2" fillId="6" borderId="1" xfId="0" applyFont="1" applyFill="1" applyBorder="1" applyAlignment="1">
      <alignment horizontal="center" vertical="top" wrapText="1"/>
    </xf>
    <xf numFmtId="0" fontId="0" fillId="11" borderId="1" xfId="0" applyFill="1" applyBorder="1" applyAlignment="1">
      <alignment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0" fillId="0" borderId="0" xfId="0" applyFill="1" applyBorder="1" applyAlignment="1">
      <alignment horizontal="center" vertical="top"/>
    </xf>
    <xf numFmtId="0" fontId="2" fillId="9" borderId="1" xfId="0" applyFont="1" applyFill="1" applyBorder="1" applyAlignment="1">
      <alignment horizontal="center" vertical="top" wrapText="1"/>
    </xf>
    <xf numFmtId="0" fontId="0" fillId="10" borderId="1" xfId="0" applyFill="1" applyBorder="1" applyAlignment="1">
      <alignment horizontal="center" vertical="top" wrapText="1"/>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0" fillId="0" borderId="0" xfId="0" applyAlignment="1">
      <alignment wrapText="1"/>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1" xfId="0" applyFont="1" applyBorder="1" applyAlignment="1">
      <alignment horizontal="center" vertical="top"/>
    </xf>
    <xf numFmtId="0" fontId="0" fillId="0" borderId="1" xfId="0" applyFont="1" applyBorder="1" applyAlignment="1">
      <alignment horizontal="left" vertical="top" wrapText="1" indent="1"/>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indent="1"/>
    </xf>
    <xf numFmtId="0" fontId="0" fillId="0" borderId="1" xfId="0" applyFont="1" applyFill="1" applyBorder="1" applyAlignment="1">
      <alignment horizontal="center" vertical="top" wrapText="1"/>
    </xf>
    <xf numFmtId="16" fontId="0" fillId="0" borderId="1" xfId="0" applyNumberFormat="1" applyFont="1" applyBorder="1" applyAlignment="1">
      <alignment horizontal="center" vertical="top"/>
    </xf>
    <xf numFmtId="16" fontId="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xf numFmtId="2" fontId="0" fillId="0" borderId="1" xfId="0" applyNumberFormat="1" applyFont="1" applyBorder="1" applyAlignment="1">
      <alignment horizontal="center" vertical="top"/>
    </xf>
    <xf numFmtId="2" fontId="0" fillId="0" borderId="1" xfId="0" applyNumberFormat="1" applyFont="1" applyBorder="1" applyAlignment="1">
      <alignment horizontal="center" vertical="top" wrapText="1"/>
    </xf>
    <xf numFmtId="2" fontId="0" fillId="0" borderId="1"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horizontal="center" vertical="top" wrapText="1"/>
    </xf>
    <xf numFmtId="164" fontId="0" fillId="0" borderId="1" xfId="0" applyNumberFormat="1" applyFont="1" applyFill="1" applyBorder="1" applyAlignment="1">
      <alignment horizontal="center" vertical="top"/>
    </xf>
    <xf numFmtId="0" fontId="0" fillId="0" borderId="0" xfId="0" applyBorder="1" applyAlignment="1">
      <alignment wrapText="1"/>
    </xf>
    <xf numFmtId="0" fontId="0" fillId="0" borderId="1" xfId="0" applyBorder="1" applyAlignment="1">
      <alignment vertical="top" wrapText="1"/>
    </xf>
    <xf numFmtId="0" fontId="0"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5"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4" borderId="1" xfId="0" applyFont="1" applyFill="1" applyBorder="1" applyAlignment="1">
      <alignment horizontal="center" vertical="center" wrapText="1"/>
    </xf>
    <xf numFmtId="164" fontId="0" fillId="0" borderId="1" xfId="0" applyNumberFormat="1" applyFont="1" applyFill="1" applyBorder="1" applyAlignment="1">
      <alignment horizontal="right" vertical="top"/>
    </xf>
    <xf numFmtId="0" fontId="11" fillId="0" borderId="1" xfId="0" applyFont="1" applyBorder="1" applyAlignment="1">
      <alignment horizontal="center" vertical="top" wrapText="1"/>
    </xf>
    <xf numFmtId="0" fontId="11"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164" fontId="0" fillId="0" borderId="1" xfId="0" applyNumberFormat="1" applyFont="1" applyBorder="1" applyAlignment="1">
      <alignment horizontal="right" vertical="top"/>
    </xf>
    <xf numFmtId="2" fontId="0" fillId="0" borderId="1" xfId="0" applyNumberFormat="1" applyFont="1" applyBorder="1" applyAlignment="1">
      <alignment horizontal="right" vertical="top"/>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20" borderId="29" xfId="0" applyFont="1" applyFill="1" applyBorder="1" applyAlignment="1">
      <alignment horizontal="left" vertical="top" wrapText="1"/>
    </xf>
    <xf numFmtId="0" fontId="0" fillId="20" borderId="29" xfId="0" applyFont="1" applyFill="1" applyBorder="1" applyAlignment="1">
      <alignment horizontal="left"/>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0" fontId="1" fillId="0" borderId="140" xfId="0" applyFont="1" applyBorder="1" applyAlignment="1">
      <alignment horizontal="center" vertical="top"/>
    </xf>
    <xf numFmtId="0" fontId="1" fillId="0" borderId="142" xfId="0" applyFont="1" applyBorder="1" applyAlignment="1">
      <alignment horizontal="center" vertical="top"/>
    </xf>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15" borderId="13" xfId="0" applyFill="1" applyBorder="1" applyAlignment="1">
      <alignment horizontal="center"/>
    </xf>
    <xf numFmtId="0" fontId="0" fillId="15" borderId="14" xfId="0" applyFill="1" applyBorder="1" applyAlignment="1">
      <alignment horizontal="center"/>
    </xf>
    <xf numFmtId="0" fontId="0" fillId="15" borderId="15"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55" fillId="5" borderId="108" xfId="0" applyFont="1" applyFill="1" applyBorder="1" applyAlignment="1">
      <alignment horizontal="left" wrapText="1" indent="1"/>
    </xf>
    <xf numFmtId="0" fontId="10" fillId="21" borderId="137" xfId="0" applyFont="1" applyFill="1" applyBorder="1" applyAlignment="1">
      <alignment horizontal="center"/>
    </xf>
    <xf numFmtId="0" fontId="1" fillId="0" borderId="140" xfId="0" applyFont="1" applyBorder="1" applyAlignment="1">
      <alignment vertical="center"/>
    </xf>
    <xf numFmtId="0" fontId="1" fillId="0" borderId="142" xfId="0" applyFont="1" applyBorder="1" applyAlignment="1">
      <alignment vertic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0" fontId="0" fillId="20" borderId="0" xfId="0" applyFill="1"/>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0" fillId="21" borderId="0" xfId="0" applyFill="1"/>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7" fillId="29" borderId="127" xfId="0" applyFont="1" applyFill="1" applyBorder="1" applyAlignment="1"/>
    <xf numFmtId="0" fontId="57" fillId="29" borderId="128" xfId="0" applyFont="1" applyFill="1" applyBorder="1" applyAlignment="1"/>
    <xf numFmtId="0" fontId="0" fillId="29" borderId="126" xfId="0" applyFill="1" applyBorder="1"/>
    <xf numFmtId="0" fontId="0" fillId="29" borderId="127" xfId="0" applyFill="1" applyBorder="1"/>
    <xf numFmtId="0" fontId="0" fillId="29" borderId="133" xfId="0" applyFill="1" applyBorder="1"/>
    <xf numFmtId="0" fontId="0" fillId="29" borderId="132" xfId="0" applyFill="1" applyBorder="1"/>
    <xf numFmtId="0" fontId="0" fillId="29" borderId="130" xfId="0" applyFill="1" applyBorder="1"/>
    <xf numFmtId="0" fontId="0" fillId="29" borderId="0" xfId="0" applyFill="1" applyBorder="1"/>
    <xf numFmtId="0" fontId="0" fillId="29" borderId="0" xfId="0" applyFill="1" applyBorder="1" applyAlignment="1"/>
    <xf numFmtId="0" fontId="0" fillId="29" borderId="128" xfId="0" applyFill="1" applyBorder="1"/>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0" fillId="20" borderId="47" xfId="0" applyFill="1" applyBorder="1" applyAlignment="1">
      <alignment horizontal="center" vertical="center" textRotation="90" wrapTex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 fillId="19" borderId="29"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50" fillId="15" borderId="1" xfId="0" applyFont="1" applyFill="1" applyBorder="1" applyAlignment="1">
      <alignment horizontal="right" vertical="center" wrapText="1" inden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1" xfId="0" applyFont="1" applyBorder="1" applyAlignment="1" applyProtection="1">
      <alignment vertical="top" wrapTex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0" borderId="1" xfId="0" applyFont="1" applyBorder="1" applyAlignment="1" applyProtection="1">
      <alignment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53" fillId="20" borderId="29" xfId="0" applyFont="1" applyFill="1" applyBorder="1" applyAlignment="1">
      <alignment horizontal="center" vertical="center" wrapText="1"/>
    </xf>
    <xf numFmtId="0" fontId="0" fillId="0" borderId="1" xfId="0" applyFill="1" applyBorder="1" applyAlignment="1" applyProtection="1">
      <alignment horizontal="left" vertical="top" wrapText="1" indent="2"/>
      <protection locked="0"/>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0" fontId="0" fillId="0" borderId="2" xfId="0"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20" borderId="0" xfId="0" applyFont="1" applyFill="1" applyBorder="1" applyAlignment="1">
      <alignment horizontal="left" vertical="center" wrapText="1"/>
    </xf>
    <xf numFmtId="9" fontId="9" fillId="29" borderId="0" xfId="0" applyNumberFormat="1" applyFont="1" applyFill="1" applyBorder="1" applyAlignment="1">
      <alignment horizontal="center" vertical="center"/>
    </xf>
    <xf numFmtId="0" fontId="9" fillId="29" borderId="0" xfId="0" applyFont="1" applyFill="1" applyBorder="1" applyAlignment="1">
      <alignment horizontal="center" vertical="center"/>
    </xf>
    <xf numFmtId="9" fontId="9" fillId="29" borderId="127" xfId="0" applyNumberFormat="1" applyFont="1" applyFill="1" applyBorder="1" applyAlignment="1">
      <alignment horizontal="center" vertical="center"/>
    </xf>
    <xf numFmtId="0" fontId="9" fillId="29" borderId="127" xfId="0" applyFont="1" applyFill="1" applyBorder="1" applyAlignment="1">
      <alignment horizontal="center" vertical="center"/>
    </xf>
    <xf numFmtId="0" fontId="9" fillId="29" borderId="132" xfId="0" applyFont="1" applyFill="1" applyBorder="1" applyAlignment="1">
      <alignment horizontal="center" vertical="center"/>
    </xf>
    <xf numFmtId="0" fontId="59" fillId="21" borderId="126" xfId="0" applyFont="1" applyFill="1" applyBorder="1" applyAlignment="1">
      <alignment horizontal="center" vertical="center" textRotation="90"/>
    </xf>
    <xf numFmtId="0" fontId="59" fillId="21" borderId="129" xfId="0" applyFont="1" applyFill="1" applyBorder="1" applyAlignment="1">
      <alignment horizontal="center" vertical="center" textRotation="90"/>
    </xf>
    <xf numFmtId="0" fontId="59" fillId="21" borderId="131" xfId="0" applyFont="1" applyFill="1" applyBorder="1" applyAlignment="1">
      <alignment horizontal="center" vertical="center" textRotation="90"/>
    </xf>
    <xf numFmtId="0" fontId="0" fillId="0" borderId="1" xfId="0" applyBorder="1" applyAlignment="1">
      <alignment horizontal="center"/>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9" fillId="20" borderId="0" xfId="0" applyFont="1" applyFill="1" applyBorder="1" applyAlignment="1">
      <alignment horizontal="center"/>
    </xf>
    <xf numFmtId="0" fontId="16" fillId="0" borderId="132" xfId="0" applyFont="1" applyBorder="1" applyAlignment="1">
      <alignment horizontal="center" vertical="center"/>
    </xf>
    <xf numFmtId="0" fontId="57" fillId="29" borderId="127" xfId="0" applyFont="1" applyFill="1" applyBorder="1" applyAlignment="1">
      <alignment horizontal="center"/>
    </xf>
    <xf numFmtId="0" fontId="0" fillId="20" borderId="1" xfId="0" applyFill="1" applyBorder="1" applyAlignment="1">
      <alignment horizontal="left" indent="1"/>
    </xf>
    <xf numFmtId="0" fontId="5" fillId="23" borderId="1" xfId="0" applyFont="1" applyFill="1" applyBorder="1" applyAlignment="1">
      <alignment horizontal="center" vertical="center" wrapText="1"/>
    </xf>
    <xf numFmtId="0" fontId="0" fillId="0" borderId="1" xfId="0" applyBorder="1" applyAlignment="1">
      <alignment horizontal="center" vertic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1" fillId="0" borderId="143" xfId="0" applyFont="1" applyBorder="1" applyAlignment="1">
      <alignment horizontal="left" vertical="top" wrapText="1"/>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28" fillId="20" borderId="0" xfId="0" applyFont="1" applyFill="1" applyBorder="1" applyAlignment="1">
      <alignment horizontal="center"/>
    </xf>
    <xf numFmtId="0" fontId="28" fillId="20" borderId="4" xfId="0" applyFont="1" applyFill="1" applyBorder="1" applyAlignment="1">
      <alignment horizont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6"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cellXfs>
  <cellStyles count="2">
    <cellStyle name="Normal" xfId="0" builtinId="0"/>
    <cellStyle name="Percent" xfId="1" builtinId="5"/>
  </cellStyles>
  <dxfs count="128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CCC"/>
        </patternFill>
      </fill>
    </dxf>
    <dxf>
      <fill>
        <patternFill>
          <bgColor theme="7" tint="0.79998168889431442"/>
        </patternFill>
      </fill>
    </dxf>
    <dxf>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b/>
        <i val="0"/>
      </font>
      <fill>
        <patternFill>
          <bgColor rgb="FFFFA7A7"/>
        </patternFill>
      </fill>
    </dxf>
    <dxf>
      <font>
        <b/>
        <i val="0"/>
      </font>
      <fill>
        <patternFill>
          <bgColor theme="7" tint="0.59996337778862885"/>
        </patternFill>
      </fill>
    </dxf>
    <dxf>
      <font>
        <b/>
        <i val="0"/>
      </font>
      <fill>
        <patternFill>
          <bgColor theme="9" tint="0.59996337778862885"/>
        </patternFill>
      </fill>
    </dxf>
    <dxf>
      <font>
        <color theme="8" tint="0.79998168889431442"/>
      </font>
      <fill>
        <patternFill>
          <bgColor theme="8" tint="0.79998168889431442"/>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s>
  <tableStyles count="0" defaultTableStyle="TableStyleMedium2" defaultPivotStyle="PivotStyleLight16"/>
  <colors>
    <mruColors>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54429</xdr:rowOff>
    </xdr:from>
    <xdr:to>
      <xdr:col>4</xdr:col>
      <xdr:colOff>816429</xdr:colOff>
      <xdr:row>0</xdr:row>
      <xdr:rowOff>762001</xdr:rowOff>
    </xdr:to>
    <xdr:pic>
      <xdr:nvPicPr>
        <xdr:cNvPr id="4" name="Picture 3">
          <a:extLst>
            <a:ext uri="{FF2B5EF4-FFF2-40B4-BE49-F238E27FC236}">
              <a16:creationId xmlns:a16="http://schemas.microsoft.com/office/drawing/2014/main" id="{42D76F4A-1CD5-674A-BD66-3A10932CEE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54429"/>
          <a:ext cx="3846286" cy="707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834572</xdr:colOff>
      <xdr:row>0</xdr:row>
      <xdr:rowOff>707572</xdr:rowOff>
    </xdr:to>
    <xdr:pic>
      <xdr:nvPicPr>
        <xdr:cNvPr id="3" name="Picture 2">
          <a:extLst>
            <a:ext uri="{FF2B5EF4-FFF2-40B4-BE49-F238E27FC236}">
              <a16:creationId xmlns:a16="http://schemas.microsoft.com/office/drawing/2014/main" id="{6E84B097-874C-8647-B57E-B9D0E2190AE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0"/>
          <a:ext cx="3846286" cy="707572"/>
        </a:xfrm>
        <a:prstGeom prst="rect">
          <a:avLst/>
        </a:prstGeom>
      </xdr:spPr>
    </xdr:pic>
    <xdr:clientData/>
  </xdr:twoCellAnchor>
  <xdr:oneCellAnchor>
    <xdr:from>
      <xdr:col>5</xdr:col>
      <xdr:colOff>27222</xdr:colOff>
      <xdr:row>102</xdr:row>
      <xdr:rowOff>27213</xdr:rowOff>
    </xdr:from>
    <xdr:ext cx="2514040" cy="3542898"/>
    <xdr:pic>
      <xdr:nvPicPr>
        <xdr:cNvPr id="8" name="Picture 7">
          <a:extLst>
            <a:ext uri="{FF2B5EF4-FFF2-40B4-BE49-F238E27FC236}">
              <a16:creationId xmlns:a16="http://schemas.microsoft.com/office/drawing/2014/main" id="{C9766A94-DEE8-5D43-86FB-33165F4E90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75322" y="22137913"/>
          <a:ext cx="2514040" cy="3542898"/>
        </a:xfrm>
        <a:prstGeom prst="rect">
          <a:avLst/>
        </a:prstGeom>
      </xdr:spPr>
    </xdr:pic>
    <xdr:clientData/>
  </xdr:oneCellAnchor>
  <xdr:oneCellAnchor>
    <xdr:from>
      <xdr:col>11</xdr:col>
      <xdr:colOff>327223</xdr:colOff>
      <xdr:row>100</xdr:row>
      <xdr:rowOff>191142</xdr:rowOff>
    </xdr:from>
    <xdr:ext cx="1233431" cy="4439738"/>
    <xdr:pic>
      <xdr:nvPicPr>
        <xdr:cNvPr id="9" name="Picture 8">
          <a:extLst>
            <a:ext uri="{FF2B5EF4-FFF2-40B4-BE49-F238E27FC236}">
              <a16:creationId xmlns:a16="http://schemas.microsoft.com/office/drawing/2014/main" id="{6CFA4200-D484-134E-BA2E-0A5C207B8AD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58523" y="21920842"/>
          <a:ext cx="1233431" cy="4439738"/>
        </a:xfrm>
        <a:prstGeom prst="rect">
          <a:avLst/>
        </a:prstGeom>
      </xdr:spPr>
    </xdr:pic>
    <xdr:clientData/>
  </xdr:oneCellAnchor>
  <xdr:oneCellAnchor>
    <xdr:from>
      <xdr:col>8</xdr:col>
      <xdr:colOff>-1</xdr:colOff>
      <xdr:row>109</xdr:row>
      <xdr:rowOff>95250</xdr:rowOff>
    </xdr:from>
    <xdr:ext cx="2952253" cy="1082375"/>
    <xdr:pic>
      <xdr:nvPicPr>
        <xdr:cNvPr id="10" name="Picture 9">
          <a:extLst>
            <a:ext uri="{FF2B5EF4-FFF2-40B4-BE49-F238E27FC236}">
              <a16:creationId xmlns:a16="http://schemas.microsoft.com/office/drawing/2014/main" id="{98EC98D0-C36C-3844-8D15-00E61CFF93B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0799" y="23615650"/>
          <a:ext cx="2952253" cy="1082375"/>
        </a:xfrm>
        <a:prstGeom prst="rect">
          <a:avLst/>
        </a:prstGeom>
      </xdr:spPr>
    </xdr:pic>
    <xdr:clientData/>
  </xdr:oneCellAnchor>
  <xdr:oneCellAnchor>
    <xdr:from>
      <xdr:col>12</xdr:col>
      <xdr:colOff>898071</xdr:colOff>
      <xdr:row>103</xdr:row>
      <xdr:rowOff>0</xdr:rowOff>
    </xdr:from>
    <xdr:ext cx="1809548" cy="3447636"/>
    <xdr:pic>
      <xdr:nvPicPr>
        <xdr:cNvPr id="11" name="Picture 10">
          <a:extLst>
            <a:ext uri="{FF2B5EF4-FFF2-40B4-BE49-F238E27FC236}">
              <a16:creationId xmlns:a16="http://schemas.microsoft.com/office/drawing/2014/main" id="{2A17E2CE-57D0-9E47-AD62-2593231409A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69171" y="22301200"/>
          <a:ext cx="1809548" cy="344763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1285" dataDxfId="1284">
  <autoFilter ref="A1:D21" xr:uid="{2F23FDDE-C8E3-4F8E-81F2-F83767650AD3}"/>
  <tableColumns count="4">
    <tableColumn id="1" xr3:uid="{1EE4A7E0-4B5C-4FE6-9B3B-A49ED13E352F}" name="Control Focus" dataDxfId="1283"/>
    <tableColumn id="3" xr3:uid="{51A81C9E-9B02-442D-A4A8-27185B87FEEF}" name="Category" dataDxfId="1282"/>
    <tableColumn id="4" xr3:uid="{8296E944-90B3-40F9-BF44-4481DCAC285B}" name="Description" dataDxfId="1281"/>
    <tableColumn id="2" xr3:uid="{FF7DD3D1-BD49-4918-84FE-53D92E618999}" name="Why is this important?" dataDxfId="128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1279"/>
    <tableColumn id="2" xr3:uid="{1A4E7FCC-4757-4647-8D29-EFF4CDD69834}" name="NIST Control Name" dataDxfId="1278"/>
    <tableColumn id="3" xr3:uid="{96F74BA0-022B-AB46-82CC-5F19F17FDF03}" name="Priority" dataDxfId="1277"/>
    <tableColumn id="4" xr3:uid="{8347725A-5183-254C-8A57-0BAF75FF3393}" name="CSC #1" dataDxfId="1276"/>
    <tableColumn id="5" xr3:uid="{463C06BA-8654-624F-9F76-5A7394FBED29}" name="CSC #2" dataDxfId="1275"/>
    <tableColumn id="6" xr3:uid="{87A5E5E5-87A3-BF4D-913A-D72E767FCF4B}" name="CSC #3" dataDxfId="1274"/>
    <tableColumn id="7" xr3:uid="{00C89A9D-E840-4142-98A2-71075EFC9A00}" name="CSC #4" dataDxfId="1273"/>
    <tableColumn id="8" xr3:uid="{6BD1B85E-DCEC-7A4F-92B6-52A191EC1300}" name="CSC #5" dataDxfId="1272"/>
    <tableColumn id="9" xr3:uid="{543D89C5-F918-A24F-9CEC-9FC654FCA46A}" name="CSC #6" dataDxfId="1271"/>
    <tableColumn id="10" xr3:uid="{6BE089C1-E3F4-BB4D-859F-0D85CD022244}" name="CSC #7" dataDxfId="1270"/>
    <tableColumn id="11" xr3:uid="{DA7A63E7-A36E-504E-B479-1A391184ABE1}" name="CSC #8" dataDxfId="1269"/>
    <tableColumn id="12" xr3:uid="{DD12FECB-2D76-5447-ADEE-C3AAA024555E}" name="CSC #9" dataDxfId="1268"/>
    <tableColumn id="13" xr3:uid="{10DDEF99-C092-044E-AED2-831B5403506F}" name="CSC #10" dataDxfId="1267"/>
    <tableColumn id="14" xr3:uid="{4CCAE864-1248-FB4D-A63E-44D7F30FC08B}" name="CSC #11" dataDxfId="1266"/>
    <tableColumn id="15" xr3:uid="{A9FCBFC8-5FFB-3A40-A8BF-1FA8BA94432B}" name="CSC #12" dataDxfId="1265"/>
    <tableColumn id="16" xr3:uid="{A245D5D8-C652-B340-86C1-973C62E57187}" name="CSC #13" dataDxfId="1264"/>
    <tableColumn id="17" xr3:uid="{B1E05021-273E-454A-84ED-77DAAA969035}" name="CSC #14" dataDxfId="1263"/>
    <tableColumn id="18" xr3:uid="{C4625EB5-E37C-764F-8D3D-7F0AD8393A78}" name="CSC #15" dataDxfId="1262"/>
    <tableColumn id="19" xr3:uid="{56BD6E65-0132-334C-B901-88DB9C292B5C}" name="CSC #16" dataDxfId="1261"/>
    <tableColumn id="20" xr3:uid="{FA4074DD-78B7-464A-8CD9-D6E09187FF05}" name="CSC #17" dataDxfId="1260"/>
    <tableColumn id="21" xr3:uid="{FA2AD999-398B-ED4B-9E16-763F793E2798}" name="CSC #18" dataDxfId="1259"/>
    <tableColumn id="22" xr3:uid="{A596A9EE-9757-8448-9852-64F56DC1EAA5}" name="CSC #19" dataDxfId="1258"/>
    <tableColumn id="23" xr3:uid="{B43C159D-89F4-454D-9E67-8EEAA0B6753D}" name="CSC #20" dataDxfId="1257"/>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1256" dataDxfId="1255">
  <autoFilter ref="A3:FR45" xr:uid="{2A0A23BA-6889-4946-9D32-BF9CDFB618FB}"/>
  <tableColumns count="174">
    <tableColumn id="1" xr3:uid="{B2B2B209-AC76-6342-83FB-71DC408DA210}" name="HIPAA Control Area" dataDxfId="1254"/>
    <tableColumn id="2" xr3:uid="{716B27B5-5A73-9A49-80ED-8AF53FAB1DCA}" name="CFR" dataDxfId="1253"/>
    <tableColumn id="174" xr3:uid="{BB25C32A-9F7F-7545-BA9A-198BFD0C91A2}" name="Enforcement" dataDxfId="1252"/>
    <tableColumn id="3" xr3:uid="{9D30DE28-89AE-514E-A0BE-C376201E7AB9}" name="Utilize an active discovery tool to identify devices connected to the organization's network and update the hardware asset inventory." dataDxfId="1251"/>
    <tableColumn id="4" xr3:uid="{F3A5F3E4-D656-C745-B5B0-7310E76A91DC}" name="Utilize a passive discovery tool to identify devices connected to the organization's network and automatically update the organization's hardware asset inventory." dataDxfId="1250"/>
    <tableColumn id="5" xr3:uid="{23CA6520-8617-0546-9617-5AB815CB3D59}" name="Use Dynamic Host Configuration Protocol (DHCP) logging on all DHCP servers or IP address management tools to update the organization's hardware asset inventory." dataDxfId="1249"/>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1248"/>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1247"/>
    <tableColumn id="8" xr3:uid="{40070879-BAF1-F14E-9DDE-6DEC0A14924E}" name="Ensure that unauthorized assets are either removed from the network, quarantined or the inventory is updated in a timely manner." dataDxfId="1246"/>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1245"/>
    <tableColumn id="10" xr3:uid="{686355F6-5723-EB49-A1BD-6E82DEBF4476}" name="Use client certificates to authenticate hardware assets connecting to the organization's trusted network." dataDxfId="1244"/>
    <tableColumn id="11" xr3:uid="{9D06AC35-BC7B-974D-91BB-5EDAEDCE2E8B}" name="Maintain an up-to-date list of all authorized software that is required in the enterprise for any business purpose on any business system." dataDxfId="1243"/>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1242"/>
    <tableColumn id="13" xr3:uid="{CD7EBEF7-45D0-1340-A57C-82FC7796DE79}" name="Utilize software inventory tools throughout the organization to automate the documentation of all software on business systems." dataDxfId="1241"/>
    <tableColumn id="14" xr3:uid="{6C6C359D-13A0-EE42-975F-C1EC002EFC29}" name="The software inventory system should track the name, version, publisher, and install date for all software, including operating systems authorized by the organization." dataDxfId="1240"/>
    <tableColumn id="15" xr3:uid="{E8494057-6D69-0C4A-842B-460787C65968}" name="The software inventory system should be tied into the hardware asset inventory so all devices and associated software are tracked from a single location." dataDxfId="1239"/>
    <tableColumn id="16" xr3:uid="{C083F14E-2A88-934B-80E9-782A6E78CAF8}" name="Ensure that unauthorized software is either removed or the inventory is updated in a timely manner." dataDxfId="1238"/>
    <tableColumn id="17" xr3:uid="{577F5523-946A-6048-8A6A-EDC9539DB655}" name="Utilize application whitelisting technology on all assets to ensure that only authorized software executes and all unauthorized software is blocked from executing on assets." dataDxfId="1237"/>
    <tableColumn id="18" xr3:uid="{21CE8478-CA1C-8149-897D-2014270FB4AA}" name="The organization's application whitelisting software must ensure that only authorized software libraries (such as *.dll, *.ocx, *.so, etc.) are allowed to load into a system process." dataDxfId="1236"/>
    <tableColumn id="19" xr3:uid="{947141AC-59D2-1941-BB1C-588EF36B76DD}" name="The organization's application whitelisting software must ensure that only authorized, digitally signed scripts (such as *.ps1,*.py, macros, etc.) are allowed to run on a system." dataDxfId="1235"/>
    <tableColumn id="20" xr3:uid="{82BC6E65-A352-E44D-9A8D-AC98CB41B18B}" name="Physically or logically segregated systems should be used to isolate and run software that is required for business operations but incurs higher risk for the organization." dataDxfId="1234"/>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1233"/>
    <tableColumn id="22" xr3:uid="{3727E704-B1E6-C04F-8FFC-F448F2D52C42}" name="Perform authenticated vulnerability scanning with agents running locally on each system or with remote scanners that are configured with elevated rights on the system being tested." dataDxfId="1232"/>
    <tableColumn id="23" xr3:uid="{74B8EDF7-A44D-4F42-B214-3A005AB626F2}" name="Use a dedicated account for authenticated vulnerability scans, which should not be used for any other administrative activities and should be tied to specific machines at specific IP addresses." dataDxfId="1231"/>
    <tableColumn id="24" xr3:uid="{2DDF82B0-9906-7B45-90FE-2E7796BE317F}" name="Deploy automated software update tools in order to ensure that the operating systems are running the most recent security updates provided by the software vendor." dataDxfId="1230"/>
    <tableColumn id="25" xr3:uid="{DC9774F1-292E-464E-A9C4-2260E52C7307}" name="Deploy automated software update tools in order to ensure that third-party software on all systems is running the most recent security updates provided by the software vendor." dataDxfId="1229"/>
    <tableColumn id="26" xr3:uid="{BFE60F97-F7AE-404E-8B72-123EFCA3B12C}" name="Regularly compare the results from consecutive vulnerability scans to verify that vulnerabilities have been remediated in a timely manner." dataDxfId="1228"/>
    <tableColumn id="27" xr3:uid="{93413460-8CBC-344C-AEFE-49502C74DA33}" name="Utilize a risk-rating process to prioritize the remediation of discovered vulnerabilities." dataDxfId="1227"/>
    <tableColumn id="28" xr3:uid="{16E14C5F-476C-B744-8A55-E06DA27D5491}" name="Use automated tools to inventory all administrative accounts, including domain and local accounts, to ensure that only authorized individuals have elevated privileges." dataDxfId="1226"/>
    <tableColumn id="29" xr3:uid="{A4367EC8-B913-1846-8298-6FCE9AB5E471}" name="Before deploying any new asset, change all default passwords to have values consistent with administrative level accounts." dataDxfId="1225"/>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1224"/>
    <tableColumn id="31" xr3:uid="{49B2BEFE-D8F7-CD4A-BFE1-22181E89EBB5}" name="Where multi-factor authentication is not supported (such as local administrator, root, or service accounts), accounts will use passwords that are unique to that system." dataDxfId="1223"/>
    <tableColumn id="32" xr3:uid="{CD5F8FFC-B94A-7C40-AE9D-CB27CFF16932}" name="Use multi-factor authentication and encrypted channels for all administrative account access." dataDxfId="1222"/>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1221"/>
    <tableColumn id="34" xr3:uid="{A95284B1-CE9F-6F47-9D16-620A33C9C40D}" name="Limit access to scripting tools (such as Microsoft® PowerShell and Python) to only administrative or development users with the need to access those capabilities." dataDxfId="1220"/>
    <tableColumn id="35" xr3:uid="{0C741668-8CF5-8F4D-9470-52C16646A10D}" name="Configure systems to issue a log entry and alert when an account is added to or removed from any group assigned administrative privileges." dataDxfId="1219"/>
    <tableColumn id="36" xr3:uid="{58ADE753-D1A1-9443-99CC-7999C5B0FF54}" name="Configure systems to issue a log entry and alert on unsuccessful logins to an administrative account." dataDxfId="1218"/>
    <tableColumn id="37" xr3:uid="{75B5C75D-1623-6944-B7D6-B172E4F6954A}" name="Maintain documented security configuration standards for all authorized operating systems and software." dataDxfId="1217"/>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1216"/>
    <tableColumn id="39" xr3:uid="{A25C7099-9089-914C-8F14-CE4DBDDD3C17}" name="Store the master images and templates on securely configured servers, validated with integrity monitoring tools, to ensure that only authorized changes to the images are possible." dataDxfId="1215"/>
    <tableColumn id="40" xr3:uid="{D3CB84DE-40A2-4148-BEB4-44BF68E2C0D6}" name="Deploy system configuration management tools that will automatically enforce and redeploy configuration settings to systems at regularly scheduled intervals." dataDxfId="1214"/>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1213"/>
    <tableColumn id="42" xr3:uid="{B09EFA75-D722-6D48-80A4-687334002145}" name="Use at least three synchronized time sources from which all servers and network devices retrieve time information on a regular basis so that timestamps in logs are consistent." dataDxfId="1212"/>
    <tableColumn id="43" xr3:uid="{400C6A34-08FC-0F43-B6D6-0772AB7742A6}" name="Ensure that local logging has been enabled on all systems and networking devices." dataDxfId="1211"/>
    <tableColumn id="44" xr3:uid="{BEB95C86-D6D2-2946-B67D-EA2F69BEB78E}" name="Enable system logging to include detailed information such as an event source, date, user, timestamp, source addresses, destination addresses, and other useful elements." dataDxfId="1210"/>
    <tableColumn id="45" xr3:uid="{7C38DDB9-8D50-0747-A1A4-E639A607C2B4}" name="Ensure that all systems that store logs have adequate storage space for the logs generated." dataDxfId="1209"/>
    <tableColumn id="46" xr3:uid="{1F0CA551-1C4F-3B4A-9095-481AF0718478}" name="Ensure that appropriate logs are being aggregated to a central log management system for analysis and review." dataDxfId="1208"/>
    <tableColumn id="47" xr3:uid="{2603EF74-6062-834D-97CA-735F15BD5E74}" name="Deploy Security Information and Event Management (SIEM) or log analytic tools for log correlation and analysis" dataDxfId="1207"/>
    <tableColumn id="48" xr3:uid="{9CC09B28-4AD4-E54F-B0B9-97F2C04E55F1}" name="On a regular basis, review logs to identify anomalies or abnormal events." dataDxfId="1206"/>
    <tableColumn id="49" xr3:uid="{8DFD0968-4801-BF43-9C23-1878493EAECE}" name="On a regular basis, tune your SIEM system to better identify actionable events and decrease event noise." dataDxfId="1205"/>
    <tableColumn id="50" xr3:uid="{BF316DC6-1FB5-7648-9BD9-30D52E85ADE8}" name="Ensure that only fully supported web browsers and email clients are allowed to execute in the organization, ideally only using the latest version of the browsers and email clients provided by the vendor." dataDxfId="1204"/>
    <tableColumn id="51" xr3:uid="{9AE50414-C6D1-BC47-BC49-502C06C7CA1B}" name="Uninstall or disable any unauthorized browser or email client plugins or add-on applications." dataDxfId="1203"/>
    <tableColumn id="52" xr3:uid="{086C2D5C-FEE5-0145-91C3-EC170A4C0FEE}" name="Ensure that only authorized scripting languages are able to run in all web browsers and email clients." dataDxfId="1202"/>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1201"/>
    <tableColumn id="54" xr3:uid="{D544A087-3691-BF4C-9D0B-F637E4193C2A}" name="Subscribe to URL-categorization services to ensure that they are up-to-date with the most recent website category definitions available. Uncategorized sites shall be blocked by default." dataDxfId="1200"/>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1199"/>
    <tableColumn id="56" xr3:uid="{A901FA38-48E6-B840-B94C-A470375A7437}" name="Use Domain Name System (DNS) filtering services to help block access to known malicious domains." dataDxfId="1198"/>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1197"/>
    <tableColumn id="58" xr3:uid="{0B37013A-4B4C-CF40-9DC5-96485AA36CD2}" name="Block all email attachments entering the organization's email gateway if the file types are unnecessary for the organization's business." dataDxfId="1196"/>
    <tableColumn id="59" xr3:uid="{EC73303E-F054-FD45-9D2B-46359BFFB485}" name="Use sandboxing to analyze and block inbound email attachments with malicious behavior." dataDxfId="1195"/>
    <tableColumn id="60" xr3:uid="{76D037ED-07FE-A444-A5A4-A2C2128965D0}" name="Utilize centrally managed anti-malware software to continuously monitor and defend each of the organization's workstations and servers." dataDxfId="1194"/>
    <tableColumn id="61" xr3:uid="{5D1307D7-227D-694A-AA31-859DDAD6148D}" name="Ensure that the organization's anti-malware software updates its scanning engine and signature database on a regular basis." dataDxfId="1193"/>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1192"/>
    <tableColumn id="63" xr3:uid="{E8817927-6C23-4E42-91FF-66874271F788}" name="Configure devices so that they automatically conduct an anti-malware scan of removable media when inserted or connected." dataDxfId="1191"/>
    <tableColumn id="64" xr3:uid="{61DDEB3B-CD3A-D946-9152-3267CFD04662}" name="Configure devices to not auto-run content from removable media." dataDxfId="1190"/>
    <tableColumn id="65" xr3:uid="{E6F40358-AF0B-F945-9EA1-957CDCA7A68C}" name="Send all malware detection events to enterprise anti-malware administration tools and event log servers for analysis and alerting." dataDxfId="1189"/>
    <tableColumn id="66" xr3:uid="{4D59398B-8F62-674B-A62E-41352B48A10E}" name="Enable Domain Name System (DNS) query logging to detect hostname lookups for known malicious domains." dataDxfId="1188"/>
    <tableColumn id="67" xr3:uid="{3371615C-93B2-3B4C-BBFA-02065EC481F0}" name="Enable command-line audit logging for command shells, such as Microsoft PowerShell and Bash." dataDxfId="1187"/>
    <tableColumn id="68" xr3:uid="{5AA9D3F9-6BCF-AD41-A37A-33B365CB1935}" name="Associate active ports, services, and protocols to the hardware assets in the asset inventory." dataDxfId="1186"/>
    <tableColumn id="69" xr3:uid="{9B8FB814-BCD5-D84B-8F49-0C30B83D9A58}" name="Ensure that only network ports, protocols, and services listening on a system with validated business needs are running on each system." dataDxfId="1185"/>
    <tableColumn id="70" xr3:uid="{1B9D82A8-5E6A-A74D-B51D-9FB5A2C62518}" name="Perform automated port scans on a regular basis against all systems and alert if unauthorized ports are detected on a system." dataDxfId="1184"/>
    <tableColumn id="71" xr3:uid="{CCA360D3-C518-7841-B35F-ED6429C8EA4F}" name="Apply host-based firewalls or port-filtering tools on end systems, with a default-deny rule that drops all traffic except those services and ports that are explicitly allowed." dataDxfId="1183"/>
    <tableColumn id="72" xr3:uid="{F975A88A-37FB-654E-BEC8-3156CA2BBBCC}" name="Place application firewalls in front of any critical servers to verify and validate the traffic going to the server. Any unauthorized traffic should be blocked and logged." dataDxfId="1182"/>
    <tableColumn id="73" xr3:uid="{ED2A7538-B1E1-DA4D-BFF8-B4FB363ACB49}" name="Ensure that all system data is automatically backed up on a regular basis." dataDxfId="1181"/>
    <tableColumn id="74" xr3:uid="{46B117DF-EBC2-5241-881B-F5B09D7310B0}" name="Ensure that all of the organization's key systems are backed up as a complete system, through processes such as imaging, to enable the quick recovery of an entire system." dataDxfId="1180"/>
    <tableColumn id="75" xr3:uid="{5F53FF60-7679-A24C-A25F-27410BFD2F71}" name="Test data integrity on backup media on a regular basis by performing a data restoration process to ensure that the backup is properly working." dataDxfId="1179"/>
    <tableColumn id="76" xr3:uid="{FD85A2C5-012B-1E42-8610-7B215DBD0614}" name="Ensure that backups are properly protected via physical security or encryption when they are stored, as well as when they are moved across the network. This includes remote backups and cloud services." dataDxfId="1178"/>
    <tableColumn id="77" xr3:uid="{071FFAB7-9DED-2845-A135-5279D31891D3}" name="Ensure that all backups have at least one offline (i.e., not accessible via a network connection) backup destination." dataDxfId="1177"/>
    <tableColumn id="78" xr3:uid="{37389DF7-6754-934D-9363-487AA4874417}" name="Maintain documented security configuration standards for all authorized network devices." dataDxfId="1176"/>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1175"/>
    <tableColumn id="80" xr3:uid="{F930AC53-FF34-884F-A93E-B744355B8D81}" name="Compare all network device configurations against approved security configurations defined for each network device in use, and alert when any deviations are discovered." dataDxfId="1174"/>
    <tableColumn id="81" xr3:uid="{D7B4980F-06E3-3B43-86A8-E8FF02E79826}" name="Install the latest stable version of any security-related updates on all network devices." dataDxfId="1173"/>
    <tableColumn id="82" xr3:uid="{09B4A818-C8F9-5A4A-B1E8-C2A7CB4599B6}" name="Manage all network devices using multi-factor authentication and encrypted sessions." dataDxfId="1172"/>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1171"/>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1170"/>
    <tableColumn id="85" xr3:uid="{CB3AE501-0843-F34F-A42E-54A13FD5D110}" name="Maintain an up-to-date inventory of all of the organization's network boundaries." dataDxfId="1169"/>
    <tableColumn id="86" xr3:uid="{A5586A56-A5A6-2548-BB11-B043D25CC99A}" name="Perform regular scans from outside each trusted network boundary to detect any unauthorized connections which are accessible across the boundary." dataDxfId="1168"/>
    <tableColumn id="87" xr3:uid="{6FDF262F-FFBE-9F49-8E8C-6366A6CDFB84}" name="Deny communications with known malicious or unused Internet IP addresses and limit access only to trusted and necessary IP address ranges at each of the organization's network boundaries." dataDxfId="1167"/>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1166"/>
    <tableColumn id="89" xr3:uid="{2D921449-B33D-594A-89A5-A49A68539CC1}" name="Configure monitoring systems to record network packets passing through the boundary at each of the organization's network boundaries." dataDxfId="1165"/>
    <tableColumn id="90" xr3:uid="{CC2C1BC0-B78A-464B-9AA7-AC364D7167F2}" name="Deploy network-based Intrusion Detection Systems (IDS) sensors to look for unusual attack mechanisms and detect compromise of these systems at each of the organization's network boundaries." dataDxfId="1164"/>
    <tableColumn id="91" xr3:uid="{D48ACA26-3C75-7C4A-A028-C403129D4072}" name="Deploy network-based Intrusion Prevention Systems (IPS) to block malicious network traffic at each of the organization's network boundaries." dataDxfId="1163"/>
    <tableColumn id="92" xr3:uid="{67E8EBB1-EC4F-C74A-80FB-B3FE79F37541}" name="Enable the collection of NetFlow and logging data on all network boundary devices." dataDxfId="1162"/>
    <tableColumn id="93" xr3:uid="{B8E87F46-CCE1-BA44-86CD-49E5DF42C1C4}" name="Ensure that all network traffic to or from the Internet passes through an authenticated application layer proxy that is configured to filter unauthorized connections." dataDxfId="1161"/>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1160"/>
    <tableColumn id="95" xr3:uid="{893C965C-DA1E-B847-BE42-5549A02344F2}" name="Require all remote login access to the organization's network to encrypt data in transit and use multi-factor authentication." dataDxfId="1159"/>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1158"/>
    <tableColumn id="97" xr3:uid="{002FE4BF-E9EF-4E42-A65D-2B6411F21386}" name="Maintain an inventory of all sensitive information stored, processed, or transmitted by the organization's technology systems, including those located on-site or at a remote service provider." dataDxfId="1157"/>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1156"/>
    <tableColumn id="99" xr3:uid="{637E2A47-3250-0343-8F50-A8DECF36E0E0}" name="Deploy an automated tool on network perimeters that monitors for unauthorized transfer of sensitive information and blocks such transfers while alerting information security professionals." dataDxfId="1155"/>
    <tableColumn id="100" xr3:uid="{E9E3734B-33E2-EA43-A8BF-CFE1DDA92CA7}" name="Only allow access to authorized cloud storage or email providers." dataDxfId="1154"/>
    <tableColumn id="101" xr3:uid="{61D118D9-49FF-6547-96D8-8E3CD5048783}" name="Monitor all traffic leaving the organization and detect any unauthorized use of encryption." dataDxfId="1153"/>
    <tableColumn id="102" xr3:uid="{CA923AE6-0157-BE40-B16D-F02E100681F0}" name="Utilize approved cryptographic mechanisms to protect enterprise data stored on all mobile devices." dataDxfId="1152"/>
    <tableColumn id="103" xr3:uid="{4E5D9326-456F-0B40-849A-087D9639E786}" name="If USB storage devices are required, enterprise software should be used that can configure systems to allow the use of specific devices. An inventory of such devices should be maintained." dataDxfId="1151"/>
    <tableColumn id="104" xr3:uid="{3C91BCE8-FD5A-3341-87FC-BD1E8027E4BA}" name="Configure systems not to write data to external removable media, if there is no business need for supporting such devices." dataDxfId="1150"/>
    <tableColumn id="105" xr3:uid="{F407A6EF-69DA-5244-B61A-0E5E1E902CD0}" name="If USB storage devices are required, all data stored on such devices must be encrypted while at rest." dataDxfId="1149"/>
    <tableColumn id="106" xr3:uid="{8BDC8A2C-9A7E-7B4A-9F98-4A7BA587DD00}" name="Segment the network based on the label or classification level of the information stored on the servers, locate all sensitive information on separated Virtual Local Area Networks (VLANs)." dataDxfId="1148"/>
    <tableColumn id="107" xr3:uid="{FEA237DD-27F2-6D43-8EB8-4D0784B2254F}" name="Enable firewall filtering between VLANs to ensure that only authorized systems are able to communicate with other systems necessary to fulfill their specific responsibilities." dataDxfId="1147"/>
    <tableColumn id="108" xr3:uid="{BB1746C1-7632-6944-AC93-FB1B6FFC4613}" name="Disable all workstation-to-workstation communication to limit an attacker's ability to move laterally and compromise neighboring systems, through technologies such as private VLANs or micro segmentation." dataDxfId="1146"/>
    <tableColumn id="109" xr3:uid="{AC654A61-B07B-6D4D-B7FA-9935D6E99213}" name="Encrypt all sensitive information in transit." dataDxfId="1145"/>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1144"/>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1143"/>
    <tableColumn id="112" xr3:uid="{1650611C-105E-074B-92A7-9C289825733A}" name="Use an automated tool, such as host-based Data Loss Prevention, to enforce access controls to data even when the data is copied off a system." dataDxfId="1142"/>
    <tableColumn id="113" xr3:uid="{C4AC0793-8304-1A47-AB8E-35753596DC9E}" name="Encrypt all sensitive information at rest using a tool that requires a secondary authentication mechanism not integrated into the operating system, in order to access the information." dataDxfId="1141"/>
    <tableColumn id="114" xr3:uid="{777FD23C-D475-DB44-BACF-1C0466554AC4}" name="Enforce detailed audit logging for access to sensitive data or changes to sensitive data (utilizing tools such as File Integrity Monitoring or Security Information and Event Monitoring)." dataDxfId="1140"/>
    <tableColumn id="115" xr3:uid="{90B2815D-CC39-BF49-8D8E-AE53DB08720C}" name="Maintain an inventory of authorized wireless access points connected to the wired network." dataDxfId="1139"/>
    <tableColumn id="116" xr3:uid="{07B5698E-07F9-C54C-9374-31FE2394D6F3}" name="Configure network vulnerability scanning tools to detect and alert on unauthorized wireless access points connected to the wired network." dataDxfId="1138"/>
    <tableColumn id="117" xr3:uid="{7BEF7C5C-04A2-BF41-96FB-076053410B80}" name="Use a wireless intrusion detection system (WIDS) to detect and alert on unauthorized wireless access points connected to the network." dataDxfId="1137"/>
    <tableColumn id="118" xr3:uid="{538BECD9-4E3A-BC49-9535-A7BDAE294410}" name="Disable wireless access on devices that do not have a business purpose for wireless access." dataDxfId="1136"/>
    <tableColumn id="119" xr3:uid="{D69311D3-E2C9-F04F-8645-8D3111DD787C}" name="Configure wireless access on client machines that do have an essential wireless business purpose, to allow access only to authorized wireless networks and to restrict access to other wireless networks." dataDxfId="1135"/>
    <tableColumn id="120" xr3:uid="{B153232F-8867-184D-A76E-7D99E72F0C80}" name="Disable peer-to-peer (ad hoc) wireless network capabilities on wireless clients." dataDxfId="1134"/>
    <tableColumn id="121" xr3:uid="{F6F329A2-E043-1D4B-A32B-E3FFF66372D9}" name="Leverage the Advanced Encryption Standard (AES) to encrypt wireless data in transit." dataDxfId="1133"/>
    <tableColumn id="122" xr3:uid="{F733FD3C-8BB0-F143-9DAD-BB98352A5DE5}" name="Ensure that wireless networks use authentication protocols such as Extensible Authentication Protocol-Transport Layer Security (EAP/TLS), that requires mutual, multi-factor authentication." dataDxfId="1132"/>
    <tableColumn id="123" xr3:uid="{8635FB04-157A-0643-B30C-14C4A1707EBD}" name="Disable wireless peripheral access of devices [such as Bluetooth and Near Field Communication (NFC)], unless such access is required for a business purpose." dataDxfId="1131"/>
    <tableColumn id="124" xr3:uid="{6D635E68-D236-FC41-A064-EDE73A055E1B}" name="Create a separate wireless network for personal or untrusted devices. Enterprise access from this network should be treated as untrusted and filtered and audited accordingly." dataDxfId="1130"/>
    <tableColumn id="125" xr3:uid="{B1F75558-167D-394F-B0D2-97CB71ABCF38}" name="Maintain an inventory of each of the organization's authentication systems, including those located on-site or at a remote service provider." dataDxfId="1129"/>
    <tableColumn id="126" xr3:uid="{114DFE9B-0ACE-7F47-B555-66AA7FA328A6}" name="Configure access for all accounts through as few centralized points of authentication as possible, including network, security, and cloud systems." dataDxfId="1128"/>
    <tableColumn id="127" xr3:uid="{5353EC48-8BC5-684A-BF5A-A9086349E1A7}" name="Require multi-factor authentication for all user accounts, on all systems, whether managed on-site or by a third-party provider." dataDxfId="1127"/>
    <tableColumn id="128" xr3:uid="{97E0ABBD-8113-464F-A1E0-38F6701854D4}" name="Encrypt or hash with a salt all authentication credentials when stored." dataDxfId="1126"/>
    <tableColumn id="129" xr3:uid="{C55D3D7E-E0D3-B94F-92A0-ED6E3C34371F}" name="Ensure that all account usernames and authentication credentials are transmitted across networks using encrypted channels." dataDxfId="1125"/>
    <tableColumn id="130" xr3:uid="{A0025035-E189-874D-86B4-895766B8BC27}" name="Maintain an inventory of all accounts organized by authentication system." dataDxfId="1124"/>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1123"/>
    <tableColumn id="132" xr3:uid="{34B64755-0237-E842-A5D1-1E8D66D81BE8}" name="Disable any account that cannot be associated with a business process or business owner." dataDxfId="1122"/>
    <tableColumn id="133" xr3:uid="{9CF7B214-6D1D-194D-8209-7E48C4CF8713}" name="Automatically disable dormant accounts after a set period of inactivity." dataDxfId="1121"/>
    <tableColumn id="134" xr3:uid="{EC4917CE-57DF-D64D-A1ED-432723837D11}" name="Ensure that all accounts have an expiration date that is monitored and enforced." dataDxfId="1120"/>
    <tableColumn id="135" xr3:uid="{C00C732B-F5CF-C940-BE59-72379D9F0B95}" name="Automatically lock workstation sessions after a standard period of inactivity." dataDxfId="1119"/>
    <tableColumn id="136" xr3:uid="{E8F3EA29-32B4-DE4C-901F-D02B2C259111}" name="Monitor attempts to access deactivated accounts through audit logging." dataDxfId="1118"/>
    <tableColumn id="137" xr3:uid="{2E2A4995-10B0-6446-81E3-A1F890FA0409}" name="Alert when users deviate from normal login behavior, such as time-of-day, workstation location, and duration." dataDxfId="1117"/>
    <tableColumn id="138" xr3:uid="{AAC76DC3-D4C8-7541-8E06-A21C0280097B}" name="Perform a skills gap analysis to understand the skills and behaviors workforce members are not adhering to, using this information to build a baseline education roadmap." dataDxfId="1116"/>
    <tableColumn id="139" xr3:uid="{3DC73896-4B91-194A-8B03-2D85047BFADB}" name="Deliver training to address the skills gap identified to positively impact workforce members' security behavior." dataDxfId="1115"/>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1114"/>
    <tableColumn id="141" xr3:uid="{B6CBF6B3-C342-D347-9B4D-4FAF84DCF9CB}" name="Ensure that the organization's security awareness program is updated frequently (at least annually) to address new technologies, threats, standards, and business requirements." dataDxfId="1113"/>
    <tableColumn id="142" xr3:uid="{79B242FA-65D9-3742-AF09-415E184D1D4A}" name="Train workforce members on the importance of enabling and utilizing secure authentication." dataDxfId="1112"/>
    <tableColumn id="143" xr3:uid="{A65B1ADF-9C74-2C49-ACBB-1A07005DE636}" name="Train the workforce on how to identify different forms of social engineering attacks, such as phishing, phone scams, and impersonation calls." dataDxfId="1111"/>
    <tableColumn id="144" xr3:uid="{0B4F0354-AE67-504B-89E3-BD4CDD8AD15F}" name="Train workforce members on how to identify and properly store, transfer, archive, and destroy sensitive information." dataDxfId="1110"/>
    <tableColumn id="145" xr3:uid="{8E132A92-E2F6-4C4C-AC85-BEA749E43C92}" name="Train workforce members to be aware of causes for unintentional data exposures, such as losing their mobile devices or emailing the wrong person due to autocomplete in email." dataDxfId="1109"/>
    <tableColumn id="146" xr3:uid="{9CBA4ED5-7E0F-7346-B225-184919ABC940}" name="Train workforce members to be able to identify the most common indicators of an incident and be able to report such an incident." dataDxfId="1108"/>
    <tableColumn id="147" xr3:uid="{3CA6C795-145B-F441-93D4-A0B6E727EAE6}" name="Establish secure coding practices appropriate to the programming language and development environment being used." dataDxfId="1107"/>
    <tableColumn id="148" xr3:uid="{415E3BAE-1B76-0D41-8371-BF3CB6FA3731}" name="For in-house developed software, ensure that explicit error checking is performed and documented for all input, including for size, data type, and acceptable ranges or formats." dataDxfId="1106"/>
    <tableColumn id="149" xr3:uid="{696FF511-C06C-7345-94A1-392BBB9BC9B3}" name="Verify that the version of all software acquired from outside your organization is still supported by the developer or appropriately hardened based on developer security recommendations." dataDxfId="1105"/>
    <tableColumn id="150" xr3:uid="{A206EC50-10EA-CF44-B51E-267453739F8C}" name="Only use up-to-date and trusted third-party components for the software developed by the organization." dataDxfId="1104"/>
    <tableColumn id="151" xr3:uid="{85B70E22-A724-7A41-AFEC-5B1DD17545E2}" name="Use only standardized, currently accepted, and extensively reviewed encryption algorithms." dataDxfId="1103"/>
    <tableColumn id="152" xr3:uid="{37A79560-76F3-354D-8433-71D07D11A10E}" name="Ensure that all software development personnel receive training in writing secure code for their specific development environment and responsibilities." dataDxfId="1102"/>
    <tableColumn id="153" xr3:uid="{BCCE9FF7-F039-0441-90E3-6E21CAA5D4C2}" name="Apply static and dynamic analysis tools to verify that secure coding practices are being adhered to for internally developed software." dataDxfId="1101"/>
    <tableColumn id="154" xr3:uid="{45C21279-BE9A-AE4A-A286-4D7B4F553FB2}" name="Establish a process to accept and address reports of software vulnerabilities, including providing a means for external entities to contact your security group." dataDxfId="1100"/>
    <tableColumn id="155" xr3:uid="{E913B8F4-FCCF-864F-878E-3C295913551C}" name="Maintain separate environments for production and non-production systems. Developers should not have unmonitored access to production environments." dataDxfId="1099"/>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1098"/>
    <tableColumn id="157" xr3:uid="{CCABBBF4-FB77-544D-9FF3-93D9BA236AC2}" name="For applications that rely on a database, use standard hardening configuration templates. All systems that are part of critical business processes should also be tested." dataDxfId="1097"/>
    <tableColumn id="158" xr3:uid="{A01723CC-E4CF-B743-9035-DEE4BA438B42}" name="Ensure that there are written incident response plans that define roles of personnel as well as phases of incident handling/management." dataDxfId="1096"/>
    <tableColumn id="159" xr3:uid="{A75ABBF1-4BA0-B041-9834-A1ECA5058B39}" name="Assign job titles and duties for handling computer and network incidents to specific individuals, and ensure tracking and documentation throughout the incident through resolution." dataDxfId="1095"/>
    <tableColumn id="160" xr3:uid="{AEC6ED85-4B41-4C4A-8FA2-04411C90E081}" name="Designate management personnel, as well as backups, who will support the incident handling process by acting in key decision-making roles." dataDxfId="1094"/>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1093"/>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1092"/>
    <tableColumn id="163" xr3:uid="{D847A83A-AFA4-5A47-AFB8-B6E2B5FE6FC9}" name="Publish information for all workforce members, regarding reporting computer anomalies and incidents, to the incident handling team. Such information should be included in routine employee awareness activities." dataDxfId="1091"/>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1090"/>
    <tableColumn id="165" xr3:uid="{F47F5BA7-E154-3447-9ED4-AE4DF77D6CDA}" name="Create incident scoring and prioritization schema based on known or potential impact to your organization. Utilize score to define frequency of status updates and escalation procedures." dataDxfId="1089"/>
    <tableColumn id="166" xr3:uid="{409C49FB-5A16-9E41-85FA-F7B9FD3F699D}" name="Establish a program for penetration tests that includes a full scope of blended attacks, such as wireless, client-based, and web application attacks." dataDxfId="1088"/>
    <tableColumn id="167" xr3:uid="{787C2A56-307D-DE48-BBAE-31B2461464C1}" name="Conduct regular external and internal penetration tests to identify vulnerabilities and attack vectors that can be used to exploit enterprise systems successfully." dataDxfId="1087"/>
    <tableColumn id="168" xr3:uid="{6AC9004B-3A40-014B-913E-3A677BB04005}" name="Perform periodic Red Team exercises to test organizational readiness to identify and stop attacks or to respond quickly and effectively." dataDxfId="1086"/>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1085"/>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1084"/>
    <tableColumn id="171" xr3:uid="{3A1E7631-3E54-5F45-85A9-2371533AE056}" name="Use vulnerability scanning and penetration testing tools in concert. The results of vulnerability scanning assessments should be used as a starting point to guide and focus penetration testing efforts." dataDxfId="1083"/>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1082"/>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108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1080" dataDxfId="1079">
  <autoFilter ref="A3:FQ83" xr:uid="{19543A7A-12EB-2040-9774-A596BA2F96F5}"/>
  <tableColumns count="173">
    <tableColumn id="1" xr3:uid="{33A87E68-0F67-2746-9F50-52D8F6613F7A}" name="PCI Control Description" dataDxfId="1078"/>
    <tableColumn id="2" xr3:uid="{C48DE31C-FCA3-1641-83CD-F83B66DFE4F4}" name="Control #" dataDxfId="1077"/>
    <tableColumn id="3" xr3:uid="{3A9C0B08-8C3E-D04B-891D-1B41AB511D7A}" name="Utilize an active discovery tool to identify devices connected to the organization's network and update the hardware asset inventory." dataDxfId="1076"/>
    <tableColumn id="4" xr3:uid="{DB18BD8A-06AD-B143-8D63-2D9A862D1127}" name="Utilize a passive discovery tool to identify devices connected to the organization's network and automatically update the organization's hardware asset inventory." dataDxfId="1075"/>
    <tableColumn id="5" xr3:uid="{356E5CD3-5500-7844-813D-D41CB1142BB8}" name="Use Dynamic Host Configuration Protocol (DHCP) logging on all DHCP servers or IP address management tools to update the organization's hardware asset inventory." dataDxfId="1074"/>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1073"/>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1072"/>
    <tableColumn id="8" xr3:uid="{F0858F4E-3C44-3B4D-A297-58C33A1189B2}" name="Ensure that unauthorized assets are either removed from the network, quarantined or the inventory is updated in a timely manner." dataDxfId="1071"/>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1070"/>
    <tableColumn id="10" xr3:uid="{9362CD7B-836A-CE43-8B95-62EA56EA3077}" name="Use client certificates to authenticate hardware assets connecting to the organization's trusted network." dataDxfId="1069"/>
    <tableColumn id="11" xr3:uid="{A16543A8-B6D3-E746-8D8B-CF58D41EC5F0}" name="Maintain an up-to-date list of all authorized software that is required in the enterprise for any business purpose on any business system." dataDxfId="1068"/>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1067"/>
    <tableColumn id="13" xr3:uid="{AEA0DE8A-7D8A-1246-939F-742DE33A70DB}" name="Utilize software inventory tools throughout the organization to automate the documentation of all software on business systems." dataDxfId="1066"/>
    <tableColumn id="14" xr3:uid="{E0A8BA13-E450-E240-9057-CF1AEFDFA7D4}" name="The software inventory system should track the name, version, publisher, and install date for all software, including operating systems authorized by the organization." dataDxfId="1065"/>
    <tableColumn id="15" xr3:uid="{E245E010-D8A6-624D-B7E5-CA588C1E12AF}" name="The software inventory system should be tied into the hardware asset inventory so all devices and associated software are tracked from a single location." dataDxfId="1064"/>
    <tableColumn id="16" xr3:uid="{AA7D39B7-A89F-A241-B8CF-B69FA0D22D1C}" name="Ensure that unauthorized software is either removed or the inventory is updated in a timely manner." dataDxfId="1063"/>
    <tableColumn id="17" xr3:uid="{A6A60BB1-2143-8048-9F27-5EECEBE03833}" name="Utilize application whitelisting technology on all assets to ensure that only authorized software executes and all unauthorized software is blocked from executing on assets." dataDxfId="1062"/>
    <tableColumn id="18" xr3:uid="{3AC71534-E1FC-E54C-93FD-C9DCF79A824F}" name="The organization's application whitelisting software must ensure that only authorized software libraries (such as *.dll, *.ocx, *.so, etc.) are allowed to load into a system process." dataDxfId="1061"/>
    <tableColumn id="19" xr3:uid="{BB435CC0-0986-C04D-9299-BD5C11C7CA9E}" name="The organization's application whitelisting software must ensure that only authorized, digitally signed scripts (such as *.ps1,*.py, macros, etc.) are allowed to run on a system." dataDxfId="1060"/>
    <tableColumn id="20" xr3:uid="{A4CFEC1B-2C3D-EC48-BA92-C04DAC6D4E26}" name="Physically or logically segregated systems should be used to isolate and run software that is required for business operations but incurs higher risk for the organization." dataDxfId="1059"/>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1058"/>
    <tableColumn id="22" xr3:uid="{90DBDF02-A96D-0945-83E7-E117651287C8}" name="Perform authenticated vulnerability scanning with agents running locally on each system or with remote scanners that are configured with elevated rights on the system being tested." dataDxfId="1057"/>
    <tableColumn id="23" xr3:uid="{489113FA-AB80-7A4D-8474-06922E6398D4}" name="Use a dedicated account for authenticated vulnerability scans, which should not be used for any other administrative activities and should be tied to specific machines at specific IP addresses." dataDxfId="1056"/>
    <tableColumn id="24" xr3:uid="{49C71001-5EA7-FF49-B5D9-C09FE134779F}" name="Deploy automated software update tools in order to ensure that the operating systems are running the most recent security updates provided by the software vendor." dataDxfId="1055"/>
    <tableColumn id="25" xr3:uid="{6A66CC57-FE1C-7648-9062-7502C65BE559}" name="Deploy automated software update tools in order to ensure that third-party software on all systems is running the most recent security updates provided by the software vendor." dataDxfId="1054"/>
    <tableColumn id="26" xr3:uid="{459AFC5A-07B7-8443-BA77-4C894F5BBC5F}" name="Regularly compare the results from consecutive vulnerability scans to verify that vulnerabilities have been remediated in a timely manner." dataDxfId="1053"/>
    <tableColumn id="27" xr3:uid="{EEF0C024-3E99-7F4E-8F8A-A23DC8642DF5}" name="Utilize a risk-rating process to prioritize the remediation of discovered vulnerabilities." dataDxfId="1052"/>
    <tableColumn id="28" xr3:uid="{EB85F7A7-1CE7-744C-A566-3E40DB3511D0}" name="Use automated tools to inventory all administrative accounts, including domain and local accounts, to ensure that only authorized individuals have elevated privileges." dataDxfId="1051"/>
    <tableColumn id="29" xr3:uid="{22851DA5-31EC-4B4E-A2D1-394989A1D1A8}" name="Before deploying any new asset, change all default passwords to have values consistent with administrative level accounts." dataDxfId="1050"/>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1049"/>
    <tableColumn id="31" xr3:uid="{F362CE95-E36E-AF41-8F0C-DCB85BED63D5}" name="Where multi-factor authentication is not supported (such as local administrator, root, or service accounts), accounts will use passwords that are unique to that system." dataDxfId="1048"/>
    <tableColumn id="32" xr3:uid="{70B5A256-6440-2043-AEC9-B660217B4969}" name="Use multi-factor authentication and encrypted channels for all administrative account access." dataDxfId="1047"/>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1046"/>
    <tableColumn id="34" xr3:uid="{D760C72D-2C8D-E14C-9AD2-F3790BCC530C}" name="Limit access to scripting tools (such as Microsoft® PowerShell and Python) to only administrative or development users with the need to access those capabilities." dataDxfId="1045"/>
    <tableColumn id="35" xr3:uid="{8D5839EA-A080-0E41-ABC6-ACDAA579644E}" name="Configure systems to issue a log entry and alert when an account is added to or removed from any group assigned administrative privileges." dataDxfId="1044"/>
    <tableColumn id="36" xr3:uid="{F23A395F-03EC-FA45-80B7-D6A5F1B91CBF}" name="Configure systems to issue a log entry and alert on unsuccessful logins to an administrative account." dataDxfId="1043"/>
    <tableColumn id="37" xr3:uid="{ECF06445-BF09-084E-9AD3-57E1DE568DCB}" name="Maintain documented security configuration standards for all authorized operating systems and software." dataDxfId="1042"/>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1041"/>
    <tableColumn id="39" xr3:uid="{D0A5D21E-E6FF-464E-AE82-9BF684C9FAD2}" name="Store the master images and templates on securely configured servers, validated with integrity monitoring tools, to ensure that only authorized changes to the images are possible." dataDxfId="1040"/>
    <tableColumn id="40" xr3:uid="{9263FE47-3492-4A41-9E49-D57EDFB5A46A}" name="Deploy system configuration management tools that will automatically enforce and redeploy configuration settings to systems at regularly scheduled intervals." dataDxfId="1039"/>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1038"/>
    <tableColumn id="42" xr3:uid="{2583E4D5-0880-B44B-B28D-01CF4396DA47}" name="Use at least three synchronized time sources from which all servers and network devices retrieve time information on a regular basis so that timestamps in logs are consistent." dataDxfId="1037"/>
    <tableColumn id="43" xr3:uid="{B259DBCF-CDD4-FA41-80D6-7C751EAE3466}" name="Ensure that local logging has been enabled on all systems and networking devices." dataDxfId="1036"/>
    <tableColumn id="44" xr3:uid="{A3746724-5821-4E4A-A2FE-6289B74BE6E3}" name="Enable system logging to include detailed information such as an event source, date, user, timestamp, source addresses, destination addresses, and other useful elements." dataDxfId="1035"/>
    <tableColumn id="45" xr3:uid="{CD7FB87C-A8B7-C646-8F74-ACF0FEEFFAF7}" name="Ensure that all systems that store logs have adequate storage space for the logs generated." dataDxfId="1034"/>
    <tableColumn id="46" xr3:uid="{866A5B48-C95F-E64C-A8A0-5A1763DF011C}" name="Ensure that appropriate logs are being aggregated to a central log management system for analysis and review." dataDxfId="1033"/>
    <tableColumn id="47" xr3:uid="{7A614A2F-03B6-9642-8FAC-C6485D344ED4}" name="Deploy Security Information and Event Management (SIEM) or log analytic tools for log correlation and analysis" dataDxfId="1032"/>
    <tableColumn id="48" xr3:uid="{F0D53B20-FCF2-FC4D-9352-70E2ADD959FD}" name="On a regular basis, review logs to identify anomalies or abnormal events." dataDxfId="1031"/>
    <tableColumn id="49" xr3:uid="{9D3FA08B-15DB-CA41-A11E-55E0E11A44DD}" name="On a regular basis, tune your SIEM system to better identify actionable events and decrease event noise." dataDxfId="1030"/>
    <tableColumn id="50" xr3:uid="{B38184BB-6139-6847-9A32-8B4E4D2D4686}" name="Ensure that only fully supported web browsers and email clients are allowed to execute in the organization, ideally only using the latest version of the browsers and email clients provided by the vendor." dataDxfId="1029"/>
    <tableColumn id="51" xr3:uid="{203D5F7F-3A14-604D-A778-5F87D2B8B449}" name="Uninstall or disable any unauthorized browser or email client plugins or add-on applications." dataDxfId="1028"/>
    <tableColumn id="52" xr3:uid="{2F2998F6-D55F-1345-8CF2-157365474A96}" name="Ensure that only authorized scripting languages are able to run in all web browsers and email clients." dataDxfId="1027"/>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1026"/>
    <tableColumn id="54" xr3:uid="{6CA11685-232C-4E44-A7E5-10E2A42BD345}" name="Subscribe to URL-categorization services to ensure that they are up-to-date with the most recent website category definitions available. Uncategorized sites shall be blocked by default." dataDxfId="1025"/>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1024"/>
    <tableColumn id="56" xr3:uid="{16400273-F2F4-8F41-B824-9321FEA8F4B2}" name="Use Domain Name System (DNS) filtering services to help block access to known malicious domains." dataDxfId="1023"/>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1022"/>
    <tableColumn id="58" xr3:uid="{D4F534E1-7F80-7240-B011-2BC1C16913BB}" name="Block all email attachments entering the organization's email gateway if the file types are unnecessary for the organization's business." dataDxfId="1021"/>
    <tableColumn id="59" xr3:uid="{E9A489FF-6D4C-9E42-AA07-E31A4515F0BC}" name="Use sandboxing to analyze and block inbound email attachments with malicious behavior." dataDxfId="1020"/>
    <tableColumn id="60" xr3:uid="{E8384A97-FB77-D44D-A80D-9BC85034CF3F}" name="Utilize centrally managed anti-malware software to continuously monitor and defend each of the organization's workstations and servers." dataDxfId="1019"/>
    <tableColumn id="61" xr3:uid="{886FEBFB-3F4E-D745-900C-189AC81D638D}" name="Ensure that the organization's anti-malware software updates its scanning engine and signature database on a regular basis." dataDxfId="1018"/>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1017"/>
    <tableColumn id="63" xr3:uid="{1E7C6850-1803-2C45-8BDA-78C8D03A9C96}" name="Configure devices so that they automatically conduct an anti-malware scan of removable media when inserted or connected." dataDxfId="1016"/>
    <tableColumn id="64" xr3:uid="{C18E314D-2507-114B-B61C-09D525317F01}" name="Configure devices to not auto-run content from removable media." dataDxfId="1015"/>
    <tableColumn id="65" xr3:uid="{61F35686-A822-DE42-8E82-5BF1EC2D9D8A}" name="Send all malware detection events to enterprise anti-malware administration tools and event log servers for analysis and alerting." dataDxfId="1014"/>
    <tableColumn id="66" xr3:uid="{C1E03AA1-AB45-914D-BB60-CE772F9D7478}" name="Enable Domain Name System (DNS) query logging to detect hostname lookups for known malicious domains." dataDxfId="1013"/>
    <tableColumn id="67" xr3:uid="{962CC465-DBB1-6441-960D-262D3D65594F}" name="Enable command-line audit logging for command shells, such as Microsoft PowerShell and Bash." dataDxfId="1012"/>
    <tableColumn id="68" xr3:uid="{884D2E5B-DDB8-754A-A233-6474739F0DDB}" name="Associate active ports, services, and protocols to the hardware assets in the asset inventory." dataDxfId="1011"/>
    <tableColumn id="69" xr3:uid="{360AFD8D-3F38-CD49-AAE0-933FD03D27DF}" name="Ensure that only network ports, protocols, and services listening on a system with validated business needs are running on each system." dataDxfId="1010"/>
    <tableColumn id="70" xr3:uid="{F1D2C1D2-AC57-0F43-8602-FD714BB00020}" name="Perform automated port scans on a regular basis against all systems and alert if unauthorized ports are detected on a system." dataDxfId="1009"/>
    <tableColumn id="71" xr3:uid="{B199D8FF-C202-6344-AC87-1472846B55CC}" name="Apply host-based firewalls or port-filtering tools on end systems, with a default-deny rule that drops all traffic except those services and ports that are explicitly allowed." dataDxfId="1008"/>
    <tableColumn id="72" xr3:uid="{97DC8EFF-B328-8642-A1B3-5F287B740317}" name="Place application firewalls in front of any critical servers to verify and validate the traffic going to the server. Any unauthorized traffic should be blocked and logged." dataDxfId="1007"/>
    <tableColumn id="73" xr3:uid="{866EE81D-C860-6344-8F7C-B01A025F835B}" name="Ensure that all system data is automatically backed up on a regular basis." dataDxfId="1006"/>
    <tableColumn id="74" xr3:uid="{DB4FDC87-8F31-C14D-9EB8-7162E5A2AFB7}" name="Ensure that all of the organization's key systems are backed up as a complete system, through processes such as imaging, to enable the quick recovery of an entire system." dataDxfId="1005"/>
    <tableColumn id="75" xr3:uid="{6E7C34CB-3C2D-0749-8D92-EA682303D80D}" name="Test data integrity on backup media on a regular basis by performing a data restoration process to ensure that the backup is properly working." dataDxfId="1004"/>
    <tableColumn id="76" xr3:uid="{5BB8F1B3-0582-9848-B2E5-F3FF229BD5B0}" name="Ensure that backups are properly protected via physical security or encryption when they are stored, as well as when they are moved across the network. This includes remote backups and cloud services." dataDxfId="1003"/>
    <tableColumn id="77" xr3:uid="{7FFDEE24-7D5A-7040-91CE-1D77C76F366C}" name="Ensure that all backups have at least one offline (i.e., not accessible via a network connection) backup destination." dataDxfId="1002"/>
    <tableColumn id="78" xr3:uid="{F0076CB2-65BE-FD43-AAE9-DCF6370722C4}" name="Maintain documented security configuration standards for all authorized network devices." dataDxfId="1001"/>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1000"/>
    <tableColumn id="80" xr3:uid="{C5DEBC5E-4733-BD40-A5D1-00F8356BBFE5}" name="Compare all network device configurations against approved security configurations defined for each network device in use, and alert when any deviations are discovered." dataDxfId="999"/>
    <tableColumn id="81" xr3:uid="{C4572020-5EBF-7648-86F5-019212E0F8DE}" name="Install the latest stable version of any security-related updates on all network devices." dataDxfId="998"/>
    <tableColumn id="82" xr3:uid="{646FF647-CE7C-9C42-B301-F9ECB1C2FBA0}" name="Manage all network devices using multi-factor authentication and encrypted sessions." dataDxfId="997"/>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996"/>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995"/>
    <tableColumn id="85" xr3:uid="{5A3EA8DC-0977-3341-8E49-2C5901ECB0B3}" name="Maintain an up-to-date inventory of all of the organization's network boundaries." dataDxfId="994"/>
    <tableColumn id="86" xr3:uid="{BFB0808D-28C1-A444-9102-8DF4377BFF83}" name="Perform regular scans from outside each trusted network boundary to detect any unauthorized connections which are accessible across the boundary." dataDxfId="993"/>
    <tableColumn id="87" xr3:uid="{24D286A5-660A-104E-8E7E-15401213572B}" name="Deny communications with known malicious or unused Internet IP addresses and limit access only to trusted and necessary IP address ranges at each of the organization's network boundaries." dataDxfId="992"/>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991"/>
    <tableColumn id="89" xr3:uid="{1F0D7C31-1BC3-BE4A-947C-EC5F98074C7F}" name="Configure monitoring systems to record network packets passing through the boundary at each of the organization's network boundaries." dataDxfId="990"/>
    <tableColumn id="90" xr3:uid="{D9DAD665-65F0-994D-9021-37E4A877333F}" name="Deploy network-based Intrusion Detection Systems (IDS) sensors to look for unusual attack mechanisms and detect compromise of these systems at each of the organization's network boundaries." dataDxfId="989"/>
    <tableColumn id="91" xr3:uid="{0F5755C2-C806-684D-A038-CB1A157D2D10}" name="Deploy network-based Intrusion Prevention Systems (IPS) to block malicious network traffic at each of the organization's network boundaries." dataDxfId="988"/>
    <tableColumn id="92" xr3:uid="{B06C93D2-D0FA-2747-8632-4792ABA65529}" name="Enable the collection of NetFlow and logging data on all network boundary devices." dataDxfId="987"/>
    <tableColumn id="93" xr3:uid="{481316CF-B408-614D-B318-534E5C540E8C}" name="Ensure that all network traffic to or from the Internet passes through an authenticated application layer proxy that is configured to filter unauthorized connections." dataDxfId="986"/>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985"/>
    <tableColumn id="95" xr3:uid="{3D1A8659-BE71-C243-981A-004BECBB6852}" name="Require all remote login access to the organization's network to encrypt data in transit and use multi-factor authentication." dataDxfId="984"/>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983"/>
    <tableColumn id="97" xr3:uid="{F1B2B706-DB00-344D-AE30-440DDDD073CA}" name="Maintain an inventory of all sensitive information stored, processed, or transmitted by the organization's technology systems, including those located on-site or at a remote service provider." dataDxfId="982"/>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981"/>
    <tableColumn id="99" xr3:uid="{C6917176-9FF7-CF46-8651-345FAC6394DF}" name="Deploy an automated tool on network perimeters that monitors for unauthorized transfer of sensitive information and blocks such transfers while alerting information security professionals." dataDxfId="980"/>
    <tableColumn id="100" xr3:uid="{E4474C19-6E16-7B49-B9DB-8264DA630232}" name="Only allow access to authorized cloud storage or email providers." dataDxfId="979"/>
    <tableColumn id="101" xr3:uid="{21B37481-DCFF-3548-8EA7-739557453CD5}" name="Monitor all traffic leaving the organization and detect any unauthorized use of encryption." dataDxfId="978"/>
    <tableColumn id="102" xr3:uid="{FC77C3AD-664D-1E4E-9E2E-2D70D1EA4415}" name="Utilize approved cryptographic mechanisms to protect enterprise data stored on all mobile devices." dataDxfId="977"/>
    <tableColumn id="103" xr3:uid="{8F89C18D-01BE-7D48-AF3B-2E9923FB52C8}" name="If USB storage devices are required, enterprise software should be used that can configure systems to allow the use of specific devices. An inventory of such devices should be maintained." dataDxfId="976"/>
    <tableColumn id="104" xr3:uid="{C2C330E8-07B1-224B-8C6A-62CECBC78668}" name="Configure systems not to write data to external removable media, if there is no business need for supporting such devices." dataDxfId="975"/>
    <tableColumn id="105" xr3:uid="{AAC06D23-B164-F940-B3CC-82DC3899B70E}" name="If USB storage devices are required, all data stored on such devices must be encrypted while at rest." dataDxfId="974"/>
    <tableColumn id="106" xr3:uid="{ECF4FCC9-0803-9543-B7BC-84626F166D34}" name="Segment the network based on the label or classification level of the information stored on the servers, locate all sensitive information on separated Virtual Local Area Networks (VLANs)." dataDxfId="973"/>
    <tableColumn id="107" xr3:uid="{9266C558-EA57-A746-BF4C-A4A17389382B}" name="Enable firewall filtering between VLANs to ensure that only authorized systems are able to communicate with other systems necessary to fulfill their specific responsibilities." dataDxfId="972"/>
    <tableColumn id="108" xr3:uid="{452D39A8-98D2-8647-B6A1-704AB7206A4C}" name="Disable all workstation-to-workstation communication to limit an attacker's ability to move laterally and compromise neighboring systems, through technologies such as private VLANs or micro segmentation." dataDxfId="971"/>
    <tableColumn id="109" xr3:uid="{BB12A661-6224-594C-BD52-847C4F5796B1}" name="Encrypt all sensitive information in transit." dataDxfId="970"/>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969"/>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968"/>
    <tableColumn id="112" xr3:uid="{DF2AEB7A-83B9-144E-AFA1-B3ABE0BDF60A}" name="Use an automated tool, such as host-based Data Loss Prevention, to enforce access controls to data even when the data is copied off a system." dataDxfId="967"/>
    <tableColumn id="113" xr3:uid="{95B3D8F3-76FD-1B47-9A61-5E3709365A79}" name="Encrypt all sensitive information at rest using a tool that requires a secondary authentication mechanism not integrated into the operating system, in order to access the information." dataDxfId="966"/>
    <tableColumn id="114" xr3:uid="{05B493AF-3E3E-B646-AC35-9DF29323A7CC}" name="Enforce detailed audit logging for access to sensitive data or changes to sensitive data (utilizing tools such as File Integrity Monitoring or Security Information and Event Monitoring)." dataDxfId="965"/>
    <tableColumn id="115" xr3:uid="{F9AB721B-8360-EA40-9E6C-8B6051BCB4C4}" name="Maintain an inventory of authorized wireless access points connected to the wired network." dataDxfId="964"/>
    <tableColumn id="116" xr3:uid="{0F3D5879-F38E-2846-9ED0-7CD1066A6D0D}" name="Configure network vulnerability scanning tools to detect and alert on unauthorized wireless access points connected to the wired network." dataDxfId="963"/>
    <tableColumn id="117" xr3:uid="{71AB876E-0734-AE40-A654-EEF3B978AC82}" name="Use a wireless intrusion detection system (WIDS) to detect and alert on unauthorized wireless access points connected to the network." dataDxfId="962"/>
    <tableColumn id="118" xr3:uid="{8480E631-161C-1949-BE80-AE2F2834F5C6}" name="Disable wireless access on devices that do not have a business purpose for wireless access." dataDxfId="961"/>
    <tableColumn id="119" xr3:uid="{D7B7093B-F28D-8845-B021-AB8B9503E9DA}" name="Configure wireless access on client machines that do have an essential wireless business purpose, to allow access only to authorized wireless networks and to restrict access to other wireless networks." dataDxfId="960"/>
    <tableColumn id="120" xr3:uid="{D283AE11-E52C-6F4D-9C5A-0CB0CFE8E322}" name="Disable peer-to-peer (ad hoc) wireless network capabilities on wireless clients." dataDxfId="959"/>
    <tableColumn id="121" xr3:uid="{B51F1F4D-5CE5-BF4E-B423-8205C199AAC2}" name="Leverage the Advanced Encryption Standard (AES) to encrypt wireless data in transit." dataDxfId="958"/>
    <tableColumn id="122" xr3:uid="{6313B2DE-0B01-F24C-B96A-A1B80F0EB634}" name="Ensure that wireless networks use authentication protocols such as Extensible Authentication Protocol-Transport Layer Security (EAP/TLS), that requires mutual, multi-factor authentication." dataDxfId="957"/>
    <tableColumn id="123" xr3:uid="{F2C29E84-36E9-1B45-ACA4-7D01349CD42E}" name="Disable wireless peripheral access of devices [such as Bluetooth and Near Field Communication (NFC)], unless such access is required for a business purpose." dataDxfId="956"/>
    <tableColumn id="124" xr3:uid="{7A94DE3D-68B0-7944-A5E2-1676D3CBC667}" name="Create a separate wireless network for personal or untrusted devices. Enterprise access from this network should be treated as untrusted and filtered and audited accordingly." dataDxfId="955"/>
    <tableColumn id="125" xr3:uid="{CF8D0D82-7167-3746-AFF6-8EB06E65C799}" name="Maintain an inventory of each of the organization's authentication systems, including those located on-site or at a remote service provider." dataDxfId="954"/>
    <tableColumn id="126" xr3:uid="{BF9BAD33-7CF7-D54F-9AE2-1344FD80E824}" name="Configure access for all accounts through as few centralized points of authentication as possible, including network, security, and cloud systems." dataDxfId="953"/>
    <tableColumn id="127" xr3:uid="{55152F59-F1EB-064C-BB43-809CFF9DED42}" name="Require multi-factor authentication for all user accounts, on all systems, whether managed on-site or by a third-party provider." dataDxfId="952"/>
    <tableColumn id="128" xr3:uid="{AC41100A-0CCC-4140-B580-366F570D7413}" name="Encrypt or hash with a salt all authentication credentials when stored." dataDxfId="951"/>
    <tableColumn id="129" xr3:uid="{1256195A-F53C-0545-82D2-10EDE4F7AB48}" name="Ensure that all account usernames and authentication credentials are transmitted across networks using encrypted channels." dataDxfId="950"/>
    <tableColumn id="130" xr3:uid="{3DCF5D6B-8BBE-CA4A-A592-3596F622115F}" name="Maintain an inventory of all accounts organized by authentication system." dataDxfId="949"/>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948"/>
    <tableColumn id="132" xr3:uid="{4A1EAEF4-AD4C-6F4E-845C-7DCB73E64197}" name="Disable any account that cannot be associated with a business process or business owner." dataDxfId="947"/>
    <tableColumn id="133" xr3:uid="{E953B14F-47A7-8342-84DD-DBBC9B6D51B3}" name="Automatically disable dormant accounts after a set period of inactivity." dataDxfId="946"/>
    <tableColumn id="134" xr3:uid="{57BB72DA-CADA-C045-90E8-D991ED058024}" name="Ensure that all accounts have an expiration date that is monitored and enforced." dataDxfId="945"/>
    <tableColumn id="135" xr3:uid="{69377FD6-5BA7-F345-A1DD-0CE91DB06C97}" name="Automatically lock workstation sessions after a standard period of inactivity." dataDxfId="944"/>
    <tableColumn id="136" xr3:uid="{999C1E5A-211E-E743-9779-AA7B68F6371B}" name="Monitor attempts to access deactivated accounts through audit logging." dataDxfId="943"/>
    <tableColumn id="137" xr3:uid="{53EBD0E5-58DE-A444-AC48-4829CC22DECF}" name="Alert when users deviate from normal login behavior, such as time-of-day, workstation location, and duration." dataDxfId="942"/>
    <tableColumn id="138" xr3:uid="{56F44031-A129-5546-857B-AAAD8848AA27}" name="Perform a skills gap analysis to understand the skills and behaviors workforce members are not adhering to, using this information to build a baseline education roadmap." dataDxfId="941"/>
    <tableColumn id="139" xr3:uid="{360B96E3-DD82-AB4D-B2C8-C0341E63C29A}" name="Deliver training to address the skills gap identified to positively impact workforce members' security behavior." dataDxfId="940"/>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939"/>
    <tableColumn id="141" xr3:uid="{C3781F9D-A406-E644-831E-09A6D193AF6A}" name="Ensure that the organization's security awareness program is updated frequently (at least annually) to address new technologies, threats, standards, and business requirements." dataDxfId="938"/>
    <tableColumn id="142" xr3:uid="{EA133BC4-A2A8-B742-8EAC-63645786C4EA}" name="Train workforce members on the importance of enabling and utilizing secure authentication." dataDxfId="937"/>
    <tableColumn id="143" xr3:uid="{7597E348-569F-3C4D-99A9-22901CA322FF}" name="Train the workforce on how to identify different forms of social engineering attacks, such as phishing, phone scams, and impersonation calls." dataDxfId="936"/>
    <tableColumn id="144" xr3:uid="{787DA7B0-F101-0041-94D7-DD3BBE32639C}" name="Train workforce members on how to identify and properly store, transfer, archive, and destroy sensitive information." dataDxfId="935"/>
    <tableColumn id="145" xr3:uid="{8A3D6051-0B02-F74F-AAF8-9BBE07178535}" name="Train workforce members to be aware of causes for unintentional data exposures, such as losing their mobile devices or emailing the wrong person due to autocomplete in email." dataDxfId="934"/>
    <tableColumn id="146" xr3:uid="{7B74C2ED-5034-2B40-9240-453A7875669E}" name="Train workforce members to be able to identify the most common indicators of an incident and be able to report such an incident." dataDxfId="933"/>
    <tableColumn id="147" xr3:uid="{F1B3C2AC-DEE0-9847-88FB-E4B995820BA7}" name="Establish secure coding practices appropriate to the programming language and development environment being used." dataDxfId="932"/>
    <tableColumn id="148" xr3:uid="{9298A8BD-DC63-F646-8A68-F621A94A1B10}" name="For in-house developed software, ensure that explicit error checking is performed and documented for all input, including for size, data type, and acceptable ranges or formats." dataDxfId="931"/>
    <tableColumn id="149" xr3:uid="{21132511-8342-CE48-A4F1-F422AEDD82DD}" name="Verify that the version of all software acquired from outside your organization is still supported by the developer or appropriately hardened based on developer security recommendations." dataDxfId="930"/>
    <tableColumn id="150" xr3:uid="{A1DC81CB-ACEA-3C49-85F8-50535697F507}" name="Only use up-to-date and trusted third-party components for the software developed by the organization." dataDxfId="929"/>
    <tableColumn id="151" xr3:uid="{3C8E1BD5-AA9E-6F4A-B149-B6085688240F}" name="Use only standardized, currently accepted, and extensively reviewed encryption algorithms." dataDxfId="928"/>
    <tableColumn id="152" xr3:uid="{34DCD173-815A-1448-82FF-31C6700F4A0D}" name="Ensure that all software development personnel receive training in writing secure code for their specific development environment and responsibilities." dataDxfId="927"/>
    <tableColumn id="153" xr3:uid="{F8BABC28-6A6D-694E-99D0-9574F4982A58}" name="Apply static and dynamic analysis tools to verify that secure coding practices are being adhered to for internally developed software." dataDxfId="926"/>
    <tableColumn id="154" xr3:uid="{ADF826D4-96E4-254F-8C4A-009111B5D731}" name="Establish a process to accept and address reports of software vulnerabilities, including providing a means for external entities to contact your security group." dataDxfId="925"/>
    <tableColumn id="155" xr3:uid="{E9FEA6C4-E50A-2C4E-8CCA-5BE7D3EC21CA}" name="Maintain separate environments for production and non-production systems. Developers should not have unmonitored access to production environments." dataDxfId="924"/>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923"/>
    <tableColumn id="157" xr3:uid="{7BF0A7BE-F094-F443-BC74-6614A31AE644}" name="For applications that rely on a database, use standard hardening configuration templates. All systems that are part of critical business processes should also be tested." dataDxfId="922"/>
    <tableColumn id="158" xr3:uid="{33963563-5A4D-2B4F-9959-9DD9A36742AD}" name="Ensure that there are written incident response plans that define roles of personnel as well as phases of incident handling/management." dataDxfId="921"/>
    <tableColumn id="159" xr3:uid="{A187F876-2BB6-C348-BD59-FCE7869DDA36}" name="Assign job titles and duties for handling computer and network incidents to specific individuals, and ensure tracking and documentation throughout the incident through resolution." dataDxfId="920"/>
    <tableColumn id="160" xr3:uid="{7472442C-3EBB-3048-8005-F33473EC7D1C}" name="Designate management personnel, as well as backups, who will support the incident handling process by acting in key decision-making roles." dataDxfId="919"/>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918"/>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917"/>
    <tableColumn id="163" xr3:uid="{B60C85F6-66F4-0C4B-9212-C4384694197E}" name="Publish information for all workforce members, regarding reporting computer anomalies and incidents, to the incident handling team. Such information should be included in routine employee awareness activities." dataDxfId="916"/>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915"/>
    <tableColumn id="165" xr3:uid="{67CFC728-BF77-7D49-9EC2-2639A3E1212E}" name="Create incident scoring and prioritization schema based on known or potential impact to your organization. Utilize score to define frequency of status updates and escalation procedures." dataDxfId="914"/>
    <tableColumn id="166" xr3:uid="{7827FC37-0002-2A44-82C1-6A55EA1FE062}" name="Establish a program for penetration tests that includes a full scope of blended attacks, such as wireless, client-based, and web application attacks." dataDxfId="913"/>
    <tableColumn id="167" xr3:uid="{500A8170-95FB-F341-9919-B07CF8379330}" name="Conduct regular external and internal penetration tests to identify vulnerabilities and attack vectors that can be used to exploit enterprise systems successfully." dataDxfId="912"/>
    <tableColumn id="168" xr3:uid="{06C14040-4B35-1A4C-95F1-451A37317ADF}" name="Perform periodic Red Team exercises to test organizational readiness to identify and stop attacks or to respond quickly and effectively." dataDxfId="911"/>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910"/>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909"/>
    <tableColumn id="171" xr3:uid="{106E65F4-0970-4C41-9FBA-338D9C1EEB3B}" name="Use vulnerability scanning and penetration testing tools in concert. The results of vulnerability scanning assessments should be used as a starting point to guide and focus penetration testing efforts." dataDxfId="908"/>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907"/>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906"/>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tabSelected="1" zoomScale="70" zoomScaleNormal="70" workbookViewId="0">
      <pane ySplit="1" topLeftCell="A2" activePane="bottomLeft" state="frozen"/>
      <selection pane="bottomLeft"/>
    </sheetView>
  </sheetViews>
  <sheetFormatPr baseColWidth="10" defaultColWidth="11.1640625" defaultRowHeight="21"/>
  <cols>
    <col min="1" max="1" width="4.6640625" customWidth="1"/>
    <col min="2" max="2" width="13.6640625" style="258" customWidth="1"/>
    <col min="3" max="3" width="10.1640625" style="1" bestFit="1" customWidth="1"/>
    <col min="4" max="4" width="11.1640625" style="255"/>
    <col min="5" max="11" width="11.1640625" style="4"/>
    <col min="12" max="13" width="11.1640625" style="260"/>
    <col min="14" max="14" width="11.1640625" style="4"/>
    <col min="15" max="17" width="11.1640625" style="47"/>
    <col min="18" max="22" width="11.1640625" style="49" hidden="1" customWidth="1"/>
    <col min="23" max="23" width="4.6640625" customWidth="1"/>
  </cols>
  <sheetData>
    <row r="1" spans="1:23" ht="66" customHeight="1" thickBot="1">
      <c r="D1" s="490" t="s">
        <v>2149</v>
      </c>
      <c r="E1" s="490"/>
      <c r="F1" s="490"/>
      <c r="G1" s="490"/>
      <c r="H1" s="490"/>
      <c r="I1" s="490"/>
      <c r="J1" s="490"/>
      <c r="K1" s="490"/>
      <c r="L1" s="490"/>
      <c r="M1" s="490"/>
      <c r="N1" s="488" t="s">
        <v>2011</v>
      </c>
      <c r="O1" s="489"/>
      <c r="P1" s="486">
        <f>(COUNTIF(L58:L181,"")-19)+(COUNTIF(L45:L53,""))</f>
        <v>114</v>
      </c>
      <c r="Q1" s="487"/>
      <c r="R1" s="304"/>
      <c r="S1" s="304"/>
      <c r="T1" s="304"/>
      <c r="U1" s="304"/>
      <c r="V1" s="304"/>
    </row>
    <row r="2" spans="1:23" ht="22" thickBot="1"/>
    <row r="3" spans="1:23" ht="27" thickTop="1">
      <c r="A3" s="492" t="s">
        <v>2150</v>
      </c>
      <c r="B3" s="493"/>
      <c r="C3" s="493"/>
      <c r="D3" s="493"/>
      <c r="E3" s="493"/>
      <c r="F3" s="493"/>
      <c r="G3" s="493"/>
      <c r="H3" s="493"/>
      <c r="I3" s="493"/>
      <c r="J3" s="493"/>
      <c r="K3" s="493"/>
      <c r="L3" s="493"/>
      <c r="M3" s="493"/>
      <c r="N3" s="493"/>
      <c r="O3" s="493"/>
      <c r="P3" s="493"/>
      <c r="Q3" s="493"/>
      <c r="R3" s="493"/>
      <c r="S3" s="493"/>
      <c r="T3" s="493"/>
      <c r="U3" s="493"/>
      <c r="V3" s="493"/>
      <c r="W3" s="494"/>
    </row>
    <row r="4" spans="1:23">
      <c r="A4" s="274"/>
      <c r="B4" s="359"/>
      <c r="C4" s="269"/>
      <c r="D4" s="270"/>
      <c r="E4" s="360"/>
      <c r="F4" s="360"/>
      <c r="G4" s="360"/>
      <c r="H4" s="360"/>
      <c r="I4" s="360"/>
      <c r="J4" s="360"/>
      <c r="K4" s="360"/>
      <c r="L4" s="272"/>
      <c r="M4" s="272"/>
      <c r="N4" s="360"/>
      <c r="O4" s="361"/>
      <c r="P4" s="361"/>
      <c r="Q4" s="361"/>
      <c r="R4" s="317"/>
      <c r="S4" s="317"/>
      <c r="T4" s="317"/>
      <c r="U4" s="317"/>
      <c r="V4" s="317"/>
      <c r="W4" s="275"/>
    </row>
    <row r="5" spans="1:23" ht="20.25" customHeight="1">
      <c r="A5" s="274"/>
      <c r="B5" s="467" t="s">
        <v>2012</v>
      </c>
      <c r="C5" s="468"/>
      <c r="D5" s="468"/>
      <c r="E5" s="468"/>
      <c r="F5" s="468"/>
      <c r="G5" s="468"/>
      <c r="H5" s="468"/>
      <c r="I5" s="468"/>
      <c r="J5" s="468"/>
      <c r="K5" s="468"/>
      <c r="L5" s="468"/>
      <c r="M5" s="468"/>
      <c r="N5" s="468"/>
      <c r="O5" s="468"/>
      <c r="P5" s="468"/>
      <c r="Q5" s="469"/>
      <c r="R5" s="314"/>
      <c r="S5" s="314"/>
      <c r="T5" s="314"/>
      <c r="U5" s="314"/>
      <c r="V5" s="314"/>
      <c r="W5" s="275"/>
    </row>
    <row r="6" spans="1:23" ht="20.25" customHeight="1">
      <c r="A6" s="274"/>
      <c r="B6" s="484" t="s">
        <v>1480</v>
      </c>
      <c r="C6" s="484"/>
      <c r="D6" s="484"/>
      <c r="E6" s="478"/>
      <c r="F6" s="479"/>
      <c r="G6" s="479"/>
      <c r="H6" s="479"/>
      <c r="I6" s="479"/>
      <c r="J6" s="479"/>
      <c r="K6" s="479"/>
      <c r="L6" s="480"/>
      <c r="M6" s="266"/>
      <c r="N6" s="474" t="s">
        <v>2074</v>
      </c>
      <c r="O6" s="474"/>
      <c r="P6" s="503"/>
      <c r="Q6" s="504"/>
      <c r="R6" s="266"/>
      <c r="S6" s="266"/>
      <c r="T6" s="266"/>
      <c r="U6" s="266"/>
      <c r="V6" s="266"/>
      <c r="W6" s="275"/>
    </row>
    <row r="7" spans="1:23" ht="20.25" customHeight="1">
      <c r="A7" s="274"/>
      <c r="B7" s="484" t="s">
        <v>1484</v>
      </c>
      <c r="C7" s="484"/>
      <c r="D7" s="484"/>
      <c r="E7" s="475"/>
      <c r="F7" s="475"/>
      <c r="G7" s="475"/>
      <c r="H7" s="475"/>
      <c r="I7" s="475"/>
      <c r="J7" s="475"/>
      <c r="K7" s="475"/>
      <c r="L7" s="475"/>
      <c r="M7" s="266"/>
      <c r="N7" s="265"/>
      <c r="O7" s="267"/>
      <c r="P7" s="267"/>
      <c r="Q7" s="320"/>
      <c r="R7" s="266"/>
      <c r="S7" s="266"/>
      <c r="T7" s="266"/>
      <c r="U7" s="266"/>
      <c r="V7" s="266"/>
      <c r="W7" s="275"/>
    </row>
    <row r="8" spans="1:23" ht="20.25" customHeight="1">
      <c r="A8" s="274"/>
      <c r="B8" s="484" t="s">
        <v>2045</v>
      </c>
      <c r="C8" s="484"/>
      <c r="D8" s="484"/>
      <c r="E8" s="475"/>
      <c r="F8" s="475"/>
      <c r="G8" s="475"/>
      <c r="H8" s="475"/>
      <c r="I8" s="288"/>
      <c r="J8" s="288"/>
      <c r="K8" s="288"/>
      <c r="L8" s="289"/>
      <c r="M8" s="266"/>
      <c r="N8" s="265"/>
      <c r="O8" s="267"/>
      <c r="P8" s="267"/>
      <c r="Q8" s="320"/>
      <c r="R8" s="266"/>
      <c r="S8" s="266"/>
      <c r="T8" s="266"/>
      <c r="U8" s="266"/>
      <c r="V8" s="266"/>
      <c r="W8" s="275"/>
    </row>
    <row r="9" spans="1:23" ht="20.25" customHeight="1">
      <c r="A9" s="274"/>
      <c r="B9" s="484" t="s">
        <v>2152</v>
      </c>
      <c r="C9" s="484"/>
      <c r="D9" s="484"/>
      <c r="E9" s="475"/>
      <c r="F9" s="475"/>
      <c r="G9" s="475"/>
      <c r="H9" s="475"/>
      <c r="I9" s="322"/>
      <c r="J9" s="322"/>
      <c r="K9" s="322"/>
      <c r="L9" s="323"/>
      <c r="M9" s="324"/>
      <c r="N9" s="325"/>
      <c r="O9" s="326"/>
      <c r="P9" s="326"/>
      <c r="Q9" s="321"/>
      <c r="R9" s="266"/>
      <c r="S9" s="266"/>
      <c r="T9" s="266"/>
      <c r="U9" s="266"/>
      <c r="V9" s="266"/>
      <c r="W9" s="275"/>
    </row>
    <row r="10" spans="1:23" ht="20.25" customHeight="1">
      <c r="A10" s="274"/>
      <c r="B10" s="290"/>
      <c r="C10" s="263"/>
      <c r="D10" s="264"/>
      <c r="E10" s="265"/>
      <c r="F10" s="265"/>
      <c r="G10" s="265"/>
      <c r="H10" s="265"/>
      <c r="I10" s="265"/>
      <c r="J10" s="265"/>
      <c r="K10" s="265"/>
      <c r="L10" s="266"/>
      <c r="M10" s="266"/>
      <c r="N10" s="265"/>
      <c r="O10" s="267"/>
      <c r="P10" s="267"/>
      <c r="Q10" s="267"/>
      <c r="R10" s="266"/>
      <c r="S10" s="266"/>
      <c r="T10" s="266"/>
      <c r="U10" s="266"/>
      <c r="V10" s="266"/>
      <c r="W10" s="275"/>
    </row>
    <row r="11" spans="1:23" ht="20.25" customHeight="1">
      <c r="A11" s="274"/>
      <c r="B11" s="467" t="s">
        <v>2014</v>
      </c>
      <c r="C11" s="468"/>
      <c r="D11" s="468"/>
      <c r="E11" s="468"/>
      <c r="F11" s="468"/>
      <c r="G11" s="468"/>
      <c r="H11" s="468"/>
      <c r="I11" s="468"/>
      <c r="J11" s="468"/>
      <c r="K11" s="468"/>
      <c r="L11" s="468"/>
      <c r="M11" s="468"/>
      <c r="N11" s="468"/>
      <c r="O11" s="468"/>
      <c r="P11" s="468"/>
      <c r="Q11" s="469"/>
      <c r="R11" s="305"/>
      <c r="S11" s="305"/>
      <c r="T11" s="305"/>
      <c r="U11" s="305"/>
      <c r="V11" s="305"/>
      <c r="W11" s="275"/>
    </row>
    <row r="12" spans="1:23" ht="20.25" customHeight="1">
      <c r="A12" s="274"/>
      <c r="B12" s="491" t="s">
        <v>1495</v>
      </c>
      <c r="C12" s="491"/>
      <c r="D12" s="491"/>
      <c r="E12" s="491"/>
      <c r="F12" s="485" t="s">
        <v>1485</v>
      </c>
      <c r="G12" s="485"/>
      <c r="H12" s="485"/>
      <c r="I12" s="485"/>
      <c r="J12" s="485" t="s">
        <v>2013</v>
      </c>
      <c r="K12" s="485"/>
      <c r="L12" s="485"/>
      <c r="M12" s="485"/>
      <c r="N12" s="485" t="s">
        <v>1486</v>
      </c>
      <c r="O12" s="485"/>
      <c r="P12" s="485"/>
      <c r="Q12" s="485"/>
      <c r="R12" s="290"/>
      <c r="S12" s="290"/>
      <c r="T12" s="290"/>
      <c r="U12" s="290"/>
      <c r="V12" s="290"/>
      <c r="W12" s="275"/>
    </row>
    <row r="13" spans="1:23" ht="20.25" customHeight="1">
      <c r="A13" s="274"/>
      <c r="B13" s="483" t="s">
        <v>2043</v>
      </c>
      <c r="C13" s="483"/>
      <c r="D13" s="483"/>
      <c r="E13" s="483"/>
      <c r="F13" s="481"/>
      <c r="G13" s="481"/>
      <c r="H13" s="481"/>
      <c r="I13" s="481"/>
      <c r="J13" s="481"/>
      <c r="K13" s="481"/>
      <c r="L13" s="481"/>
      <c r="M13" s="481"/>
      <c r="N13" s="481"/>
      <c r="O13" s="481"/>
      <c r="P13" s="481"/>
      <c r="Q13" s="481"/>
      <c r="R13" s="290"/>
      <c r="S13" s="290"/>
      <c r="T13" s="290"/>
      <c r="U13" s="290"/>
      <c r="V13" s="290"/>
      <c r="W13" s="275"/>
    </row>
    <row r="14" spans="1:23" ht="20.25" customHeight="1">
      <c r="A14" s="274"/>
      <c r="B14" s="483" t="s">
        <v>1482</v>
      </c>
      <c r="C14" s="483"/>
      <c r="D14" s="483"/>
      <c r="E14" s="483"/>
      <c r="F14" s="481"/>
      <c r="G14" s="481"/>
      <c r="H14" s="481"/>
      <c r="I14" s="481"/>
      <c r="J14" s="481"/>
      <c r="K14" s="481"/>
      <c r="L14" s="481"/>
      <c r="M14" s="481"/>
      <c r="N14" s="481"/>
      <c r="O14" s="481"/>
      <c r="P14" s="481"/>
      <c r="Q14" s="481"/>
      <c r="R14" s="290"/>
      <c r="S14" s="290"/>
      <c r="T14" s="290"/>
      <c r="U14" s="290"/>
      <c r="V14" s="290"/>
      <c r="W14" s="275"/>
    </row>
    <row r="15" spans="1:23" ht="20.25" customHeight="1">
      <c r="A15" s="274"/>
      <c r="B15" s="483" t="s">
        <v>1481</v>
      </c>
      <c r="C15" s="483"/>
      <c r="D15" s="483"/>
      <c r="E15" s="483"/>
      <c r="F15" s="481"/>
      <c r="G15" s="481"/>
      <c r="H15" s="481"/>
      <c r="I15" s="481"/>
      <c r="J15" s="481"/>
      <c r="K15" s="481"/>
      <c r="L15" s="481"/>
      <c r="M15" s="481"/>
      <c r="N15" s="481"/>
      <c r="O15" s="481"/>
      <c r="P15" s="481"/>
      <c r="Q15" s="481"/>
      <c r="R15" s="290"/>
      <c r="S15" s="290"/>
      <c r="T15" s="290"/>
      <c r="U15" s="290"/>
      <c r="V15" s="290"/>
      <c r="W15" s="275"/>
    </row>
    <row r="16" spans="1:23" ht="20.25" customHeight="1">
      <c r="A16" s="274"/>
      <c r="B16" s="483" t="s">
        <v>2044</v>
      </c>
      <c r="C16" s="483"/>
      <c r="D16" s="483"/>
      <c r="E16" s="483"/>
      <c r="F16" s="481"/>
      <c r="G16" s="481"/>
      <c r="H16" s="481"/>
      <c r="I16" s="481"/>
      <c r="J16" s="481"/>
      <c r="K16" s="481"/>
      <c r="L16" s="481"/>
      <c r="M16" s="481"/>
      <c r="N16" s="481"/>
      <c r="O16" s="481"/>
      <c r="P16" s="481"/>
      <c r="Q16" s="481"/>
      <c r="R16" s="290"/>
      <c r="S16" s="290"/>
      <c r="T16" s="290"/>
      <c r="U16" s="290"/>
      <c r="V16" s="290"/>
      <c r="W16" s="275"/>
    </row>
    <row r="17" spans="1:23" ht="20.25" customHeight="1">
      <c r="A17" s="274"/>
      <c r="B17" s="483" t="s">
        <v>1483</v>
      </c>
      <c r="C17" s="483"/>
      <c r="D17" s="483"/>
      <c r="E17" s="483"/>
      <c r="F17" s="481"/>
      <c r="G17" s="481"/>
      <c r="H17" s="481"/>
      <c r="I17" s="481"/>
      <c r="J17" s="481"/>
      <c r="K17" s="481"/>
      <c r="L17" s="481"/>
      <c r="M17" s="481"/>
      <c r="N17" s="481"/>
      <c r="O17" s="481"/>
      <c r="P17" s="481"/>
      <c r="Q17" s="481"/>
      <c r="R17" s="290"/>
      <c r="S17" s="290"/>
      <c r="T17" s="290"/>
      <c r="U17" s="290"/>
      <c r="V17" s="290"/>
      <c r="W17" s="275"/>
    </row>
    <row r="18" spans="1:23" ht="20.25" customHeight="1">
      <c r="A18" s="274"/>
      <c r="B18" s="483"/>
      <c r="C18" s="483"/>
      <c r="D18" s="483"/>
      <c r="E18" s="483"/>
      <c r="F18" s="481"/>
      <c r="G18" s="481"/>
      <c r="H18" s="481"/>
      <c r="I18" s="481"/>
      <c r="J18" s="481"/>
      <c r="K18" s="481"/>
      <c r="L18" s="481"/>
      <c r="M18" s="481"/>
      <c r="N18" s="481"/>
      <c r="O18" s="481"/>
      <c r="P18" s="481"/>
      <c r="Q18" s="481"/>
      <c r="R18" s="290"/>
      <c r="S18" s="290"/>
      <c r="T18" s="290"/>
      <c r="U18" s="290"/>
      <c r="V18" s="290"/>
      <c r="W18" s="275"/>
    </row>
    <row r="19" spans="1:23" ht="20.25" customHeight="1">
      <c r="A19" s="274"/>
      <c r="B19" s="457"/>
      <c r="C19" s="457"/>
      <c r="D19" s="457"/>
      <c r="E19" s="457"/>
      <c r="F19" s="482"/>
      <c r="G19" s="482"/>
      <c r="H19" s="482"/>
      <c r="I19" s="482"/>
      <c r="J19" s="482"/>
      <c r="K19" s="482"/>
      <c r="L19" s="482"/>
      <c r="M19" s="482"/>
      <c r="N19" s="482"/>
      <c r="O19" s="482"/>
      <c r="P19" s="482"/>
      <c r="Q19" s="482"/>
      <c r="R19" s="290"/>
      <c r="S19" s="290"/>
      <c r="T19" s="290"/>
      <c r="U19" s="290"/>
      <c r="V19" s="290"/>
      <c r="W19" s="275"/>
    </row>
    <row r="20" spans="1:23" ht="20.25" customHeight="1">
      <c r="A20" s="274"/>
      <c r="B20" s="467" t="s">
        <v>2015</v>
      </c>
      <c r="C20" s="468"/>
      <c r="D20" s="468"/>
      <c r="E20" s="468"/>
      <c r="F20" s="468"/>
      <c r="G20" s="468"/>
      <c r="H20" s="468"/>
      <c r="I20" s="468"/>
      <c r="J20" s="468"/>
      <c r="K20" s="468"/>
      <c r="L20" s="468"/>
      <c r="M20" s="468"/>
      <c r="N20" s="468"/>
      <c r="O20" s="468"/>
      <c r="P20" s="468"/>
      <c r="Q20" s="469"/>
      <c r="R20" s="306"/>
      <c r="S20" s="306"/>
      <c r="T20" s="306"/>
      <c r="U20" s="306"/>
      <c r="V20" s="306"/>
      <c r="W20" s="275"/>
    </row>
    <row r="21" spans="1:23" ht="20.25" customHeight="1">
      <c r="A21" s="274"/>
      <c r="B21" s="473" t="s">
        <v>1489</v>
      </c>
      <c r="C21" s="473"/>
      <c r="D21" s="473"/>
      <c r="E21" s="475"/>
      <c r="F21" s="475"/>
      <c r="G21" s="475"/>
      <c r="H21" s="475"/>
      <c r="I21" s="475"/>
      <c r="J21" s="475"/>
      <c r="K21" s="475"/>
      <c r="L21" s="266"/>
      <c r="M21" s="266"/>
      <c r="N21" s="265"/>
      <c r="O21" s="267"/>
      <c r="P21" s="267"/>
      <c r="Q21" s="320"/>
      <c r="R21" s="266"/>
      <c r="S21" s="266"/>
      <c r="T21" s="266"/>
      <c r="U21" s="266"/>
      <c r="V21" s="266"/>
      <c r="W21" s="275"/>
    </row>
    <row r="22" spans="1:23" ht="20.25" customHeight="1">
      <c r="A22" s="274"/>
      <c r="B22" s="473" t="s">
        <v>1490</v>
      </c>
      <c r="C22" s="473"/>
      <c r="D22" s="473"/>
      <c r="E22" s="475"/>
      <c r="F22" s="475"/>
      <c r="G22" s="475"/>
      <c r="H22" s="475"/>
      <c r="I22" s="475"/>
      <c r="J22" s="475"/>
      <c r="K22" s="475"/>
      <c r="L22" s="291"/>
      <c r="M22" s="266"/>
      <c r="N22" s="265"/>
      <c r="O22" s="267"/>
      <c r="P22" s="267"/>
      <c r="Q22" s="320"/>
      <c r="R22" s="266"/>
      <c r="S22" s="266"/>
      <c r="T22" s="266"/>
      <c r="U22" s="266"/>
      <c r="V22" s="266"/>
      <c r="W22" s="275"/>
    </row>
    <row r="23" spans="1:23" ht="20.25" customHeight="1">
      <c r="A23" s="274"/>
      <c r="B23" s="473" t="s">
        <v>1488</v>
      </c>
      <c r="C23" s="473"/>
      <c r="D23" s="473"/>
      <c r="E23" s="476"/>
      <c r="F23" s="476"/>
      <c r="G23" s="476"/>
      <c r="H23" s="476"/>
      <c r="I23" s="476"/>
      <c r="J23" s="476"/>
      <c r="K23" s="476"/>
      <c r="L23" s="266"/>
      <c r="M23" s="266"/>
      <c r="N23" s="265"/>
      <c r="O23" s="267"/>
      <c r="P23" s="267"/>
      <c r="Q23" s="320"/>
      <c r="R23" s="266"/>
      <c r="S23" s="266"/>
      <c r="T23" s="266"/>
      <c r="U23" s="266"/>
      <c r="V23" s="266"/>
      <c r="W23" s="275"/>
    </row>
    <row r="24" spans="1:23" ht="48" customHeight="1">
      <c r="A24" s="274"/>
      <c r="B24" s="474" t="s">
        <v>1487</v>
      </c>
      <c r="C24" s="474"/>
      <c r="D24" s="474"/>
      <c r="E24" s="477"/>
      <c r="F24" s="477"/>
      <c r="G24" s="477"/>
      <c r="H24" s="477"/>
      <c r="I24" s="477"/>
      <c r="J24" s="477"/>
      <c r="K24" s="477"/>
      <c r="L24" s="477"/>
      <c r="M24" s="477"/>
      <c r="N24" s="477"/>
      <c r="O24" s="477"/>
      <c r="P24" s="477"/>
      <c r="Q24" s="321"/>
      <c r="R24" s="266"/>
      <c r="S24" s="266"/>
      <c r="T24" s="266"/>
      <c r="U24" s="266"/>
      <c r="V24" s="266"/>
      <c r="W24" s="275"/>
    </row>
    <row r="25" spans="1:23" ht="16">
      <c r="A25" s="274"/>
      <c r="B25" s="290"/>
      <c r="C25" s="263"/>
      <c r="D25" s="264"/>
      <c r="E25" s="265"/>
      <c r="F25" s="265"/>
      <c r="G25" s="265"/>
      <c r="H25" s="265"/>
      <c r="I25" s="265"/>
      <c r="J25" s="265"/>
      <c r="K25" s="265"/>
      <c r="L25" s="266"/>
      <c r="M25" s="266"/>
      <c r="N25" s="265"/>
      <c r="O25" s="267"/>
      <c r="P25" s="267"/>
      <c r="Q25" s="267"/>
      <c r="R25" s="266"/>
      <c r="S25" s="266"/>
      <c r="T25" s="266"/>
      <c r="U25" s="266"/>
      <c r="V25" s="266"/>
      <c r="W25" s="275"/>
    </row>
    <row r="26" spans="1:23" ht="21" customHeight="1">
      <c r="A26" s="274"/>
      <c r="B26" s="467" t="s">
        <v>2046</v>
      </c>
      <c r="C26" s="468"/>
      <c r="D26" s="468"/>
      <c r="E26" s="468"/>
      <c r="F26" s="468"/>
      <c r="G26" s="468"/>
      <c r="H26" s="468"/>
      <c r="I26" s="468"/>
      <c r="J26" s="468"/>
      <c r="K26" s="468"/>
      <c r="L26" s="468"/>
      <c r="M26" s="468"/>
      <c r="N26" s="468"/>
      <c r="O26" s="468"/>
      <c r="P26" s="468"/>
      <c r="Q26" s="469"/>
      <c r="R26" s="305"/>
      <c r="S26" s="305"/>
      <c r="T26" s="305"/>
      <c r="U26" s="305"/>
      <c r="V26" s="305"/>
      <c r="W26" s="275"/>
    </row>
    <row r="27" spans="1:23" ht="21" customHeight="1">
      <c r="A27" s="274"/>
      <c r="B27" s="470" t="s">
        <v>1491</v>
      </c>
      <c r="C27" s="471"/>
      <c r="D27" s="471"/>
      <c r="E27" s="472"/>
      <c r="F27" s="470" t="s">
        <v>1493</v>
      </c>
      <c r="G27" s="471"/>
      <c r="H27" s="471"/>
      <c r="I27" s="472"/>
      <c r="J27" s="470" t="s">
        <v>1494</v>
      </c>
      <c r="K27" s="471"/>
      <c r="L27" s="471"/>
      <c r="M27" s="472"/>
      <c r="N27" s="470" t="s">
        <v>1528</v>
      </c>
      <c r="O27" s="471"/>
      <c r="P27" s="471"/>
      <c r="Q27" s="472"/>
      <c r="R27" s="307"/>
      <c r="S27" s="307"/>
      <c r="T27" s="307"/>
      <c r="U27" s="307"/>
      <c r="V27" s="307"/>
      <c r="W27" s="275"/>
    </row>
    <row r="28" spans="1:23" ht="21" customHeight="1">
      <c r="A28" s="274"/>
      <c r="B28" s="454"/>
      <c r="C28" s="455"/>
      <c r="D28" s="455"/>
      <c r="E28" s="456"/>
      <c r="F28" s="454"/>
      <c r="G28" s="455"/>
      <c r="H28" s="455"/>
      <c r="I28" s="456"/>
      <c r="J28" s="454"/>
      <c r="K28" s="455"/>
      <c r="L28" s="455"/>
      <c r="M28" s="456"/>
      <c r="N28" s="458" t="str">
        <f>('Risk Calc'!U14)</f>
        <v>Unknown</v>
      </c>
      <c r="O28" s="459"/>
      <c r="P28" s="459"/>
      <c r="Q28" s="460"/>
      <c r="R28" s="308"/>
      <c r="S28" s="308"/>
      <c r="T28" s="308"/>
      <c r="U28" s="308"/>
      <c r="V28" s="308"/>
      <c r="W28" s="275"/>
    </row>
    <row r="29" spans="1:23" ht="21" customHeight="1">
      <c r="A29" s="274"/>
      <c r="B29" s="454"/>
      <c r="C29" s="455"/>
      <c r="D29" s="455"/>
      <c r="E29" s="456"/>
      <c r="F29" s="454"/>
      <c r="G29" s="455"/>
      <c r="H29" s="455"/>
      <c r="I29" s="456"/>
      <c r="J29" s="454"/>
      <c r="K29" s="455"/>
      <c r="L29" s="455"/>
      <c r="M29" s="456"/>
      <c r="N29" s="461"/>
      <c r="O29" s="462"/>
      <c r="P29" s="462"/>
      <c r="Q29" s="463"/>
      <c r="R29" s="308"/>
      <c r="S29" s="308"/>
      <c r="T29" s="308"/>
      <c r="U29" s="308"/>
      <c r="V29" s="308"/>
      <c r="W29" s="275"/>
    </row>
    <row r="30" spans="1:23" ht="21" customHeight="1">
      <c r="A30" s="274"/>
      <c r="B30" s="454"/>
      <c r="C30" s="455"/>
      <c r="D30" s="455"/>
      <c r="E30" s="456"/>
      <c r="F30" s="454"/>
      <c r="G30" s="455"/>
      <c r="H30" s="455"/>
      <c r="I30" s="456"/>
      <c r="J30" s="454"/>
      <c r="K30" s="455"/>
      <c r="L30" s="455"/>
      <c r="M30" s="456"/>
      <c r="N30" s="461"/>
      <c r="O30" s="462"/>
      <c r="P30" s="462"/>
      <c r="Q30" s="463"/>
      <c r="R30" s="308"/>
      <c r="S30" s="308"/>
      <c r="T30" s="308"/>
      <c r="U30" s="308"/>
      <c r="V30" s="308"/>
      <c r="W30" s="275"/>
    </row>
    <row r="31" spans="1:23" ht="21" customHeight="1">
      <c r="A31" s="274"/>
      <c r="B31" s="454"/>
      <c r="C31" s="455"/>
      <c r="D31" s="455"/>
      <c r="E31" s="456"/>
      <c r="F31" s="454"/>
      <c r="G31" s="455"/>
      <c r="H31" s="455"/>
      <c r="I31" s="456"/>
      <c r="J31" s="454"/>
      <c r="K31" s="455"/>
      <c r="L31" s="455"/>
      <c r="M31" s="456"/>
      <c r="N31" s="461"/>
      <c r="O31" s="462"/>
      <c r="P31" s="462"/>
      <c r="Q31" s="463"/>
      <c r="R31" s="308"/>
      <c r="S31" s="308"/>
      <c r="T31" s="308"/>
      <c r="U31" s="308"/>
      <c r="V31" s="308"/>
      <c r="W31" s="275"/>
    </row>
    <row r="32" spans="1:23" ht="21" customHeight="1">
      <c r="A32" s="274"/>
      <c r="B32" s="454"/>
      <c r="C32" s="455"/>
      <c r="D32" s="455"/>
      <c r="E32" s="456"/>
      <c r="F32" s="454"/>
      <c r="G32" s="455"/>
      <c r="H32" s="455"/>
      <c r="I32" s="456"/>
      <c r="J32" s="454"/>
      <c r="K32" s="455"/>
      <c r="L32" s="455"/>
      <c r="M32" s="456"/>
      <c r="N32" s="464"/>
      <c r="O32" s="465"/>
      <c r="P32" s="465"/>
      <c r="Q32" s="466"/>
      <c r="R32" s="308"/>
      <c r="S32" s="308"/>
      <c r="T32" s="308"/>
      <c r="U32" s="308"/>
      <c r="V32" s="308"/>
      <c r="W32" s="275"/>
    </row>
    <row r="33" spans="1:23" ht="16">
      <c r="A33" s="274"/>
      <c r="B33" s="457"/>
      <c r="C33" s="457"/>
      <c r="D33" s="457"/>
      <c r="E33" s="457"/>
      <c r="F33" s="457"/>
      <c r="G33" s="457"/>
      <c r="H33" s="457"/>
      <c r="I33" s="457"/>
      <c r="J33" s="457"/>
      <c r="K33" s="457"/>
      <c r="L33" s="457"/>
      <c r="M33" s="457"/>
      <c r="N33" s="457"/>
      <c r="O33" s="457"/>
      <c r="P33" s="457"/>
      <c r="Q33" s="457"/>
      <c r="R33" s="290"/>
      <c r="S33" s="290"/>
      <c r="T33" s="290"/>
      <c r="U33" s="290"/>
      <c r="V33" s="290"/>
      <c r="W33" s="275"/>
    </row>
    <row r="34" spans="1:23" ht="16">
      <c r="A34" s="274"/>
      <c r="B34" s="416" t="s">
        <v>1577</v>
      </c>
      <c r="C34" s="417"/>
      <c r="D34" s="417"/>
      <c r="E34" s="417"/>
      <c r="F34" s="417"/>
      <c r="G34" s="417"/>
      <c r="H34" s="417"/>
      <c r="I34" s="417"/>
      <c r="J34" s="418" t="s">
        <v>1578</v>
      </c>
      <c r="K34" s="419"/>
      <c r="L34" s="419"/>
      <c r="M34" s="419"/>
      <c r="N34" s="419"/>
      <c r="O34" s="419"/>
      <c r="P34" s="419"/>
      <c r="Q34" s="420"/>
      <c r="R34" s="306"/>
      <c r="S34" s="306"/>
      <c r="T34" s="306"/>
      <c r="U34" s="306"/>
      <c r="V34" s="306"/>
      <c r="W34" s="275"/>
    </row>
    <row r="35" spans="1:23" ht="16">
      <c r="A35" s="274"/>
      <c r="B35" s="421" t="s">
        <v>1492</v>
      </c>
      <c r="C35" s="422"/>
      <c r="D35" s="422" t="s">
        <v>1418</v>
      </c>
      <c r="E35" s="422"/>
      <c r="F35" s="422"/>
      <c r="G35" s="422" t="s">
        <v>1573</v>
      </c>
      <c r="H35" s="422"/>
      <c r="I35" s="422"/>
      <c r="J35" s="423" t="s">
        <v>1508</v>
      </c>
      <c r="K35" s="413"/>
      <c r="L35" s="413" t="s">
        <v>1418</v>
      </c>
      <c r="M35" s="413"/>
      <c r="N35" s="413"/>
      <c r="O35" s="413" t="s">
        <v>1573</v>
      </c>
      <c r="P35" s="413"/>
      <c r="Q35" s="414"/>
      <c r="R35" s="305"/>
      <c r="S35" s="305"/>
      <c r="T35" s="305"/>
      <c r="U35" s="305"/>
      <c r="V35" s="305"/>
      <c r="W35" s="275"/>
    </row>
    <row r="36" spans="1:23" ht="50.25" customHeight="1">
      <c r="A36" s="274"/>
      <c r="B36" s="407" t="s">
        <v>1574</v>
      </c>
      <c r="C36" s="408"/>
      <c r="D36" s="409" t="s">
        <v>1872</v>
      </c>
      <c r="E36" s="409"/>
      <c r="F36" s="409"/>
      <c r="G36" s="409" t="s">
        <v>2019</v>
      </c>
      <c r="H36" s="409"/>
      <c r="I36" s="410"/>
      <c r="J36" s="411" t="s">
        <v>1497</v>
      </c>
      <c r="K36" s="408"/>
      <c r="L36" s="409" t="s">
        <v>1868</v>
      </c>
      <c r="M36" s="409"/>
      <c r="N36" s="409"/>
      <c r="O36" s="409" t="s">
        <v>2025</v>
      </c>
      <c r="P36" s="409"/>
      <c r="Q36" s="412"/>
      <c r="R36" s="309"/>
      <c r="S36" s="309"/>
      <c r="T36" s="309"/>
      <c r="U36" s="309"/>
      <c r="V36" s="309"/>
      <c r="W36" s="275"/>
    </row>
    <row r="37" spans="1:23" ht="50.25" customHeight="1">
      <c r="A37" s="274"/>
      <c r="B37" s="407" t="s">
        <v>1575</v>
      </c>
      <c r="C37" s="408"/>
      <c r="D37" s="409" t="s">
        <v>2018</v>
      </c>
      <c r="E37" s="409"/>
      <c r="F37" s="409"/>
      <c r="G37" s="409" t="s">
        <v>2020</v>
      </c>
      <c r="H37" s="409"/>
      <c r="I37" s="410"/>
      <c r="J37" s="411" t="s">
        <v>1498</v>
      </c>
      <c r="K37" s="408"/>
      <c r="L37" s="409" t="s">
        <v>1869</v>
      </c>
      <c r="M37" s="409"/>
      <c r="N37" s="409"/>
      <c r="O37" s="409" t="s">
        <v>2024</v>
      </c>
      <c r="P37" s="409"/>
      <c r="Q37" s="412"/>
      <c r="R37" s="309"/>
      <c r="S37" s="309"/>
      <c r="T37" s="309"/>
      <c r="U37" s="309"/>
      <c r="V37" s="309"/>
      <c r="W37" s="275"/>
    </row>
    <row r="38" spans="1:23" ht="50.25" customHeight="1">
      <c r="A38" s="274"/>
      <c r="B38" s="407" t="s">
        <v>1576</v>
      </c>
      <c r="C38" s="408"/>
      <c r="D38" s="409" t="s">
        <v>2017</v>
      </c>
      <c r="E38" s="409"/>
      <c r="F38" s="409"/>
      <c r="G38" s="409" t="s">
        <v>2026</v>
      </c>
      <c r="H38" s="409"/>
      <c r="I38" s="410"/>
      <c r="J38" s="411" t="s">
        <v>1499</v>
      </c>
      <c r="K38" s="408"/>
      <c r="L38" s="409" t="s">
        <v>1579</v>
      </c>
      <c r="M38" s="409"/>
      <c r="N38" s="409"/>
      <c r="O38" s="409" t="s">
        <v>2022</v>
      </c>
      <c r="P38" s="409"/>
      <c r="Q38" s="412"/>
      <c r="R38" s="309"/>
      <c r="S38" s="309"/>
      <c r="T38" s="309"/>
      <c r="U38" s="309"/>
      <c r="V38" s="309"/>
      <c r="W38" s="275"/>
    </row>
    <row r="39" spans="1:23" ht="50.25" customHeight="1">
      <c r="A39" s="274"/>
      <c r="B39" s="401" t="s">
        <v>1496</v>
      </c>
      <c r="C39" s="402"/>
      <c r="D39" s="403" t="s">
        <v>2016</v>
      </c>
      <c r="E39" s="403"/>
      <c r="F39" s="403"/>
      <c r="G39" s="403" t="s">
        <v>2021</v>
      </c>
      <c r="H39" s="403"/>
      <c r="I39" s="404"/>
      <c r="J39" s="405" t="s">
        <v>1500</v>
      </c>
      <c r="K39" s="402"/>
      <c r="L39" s="403" t="s">
        <v>1871</v>
      </c>
      <c r="M39" s="403"/>
      <c r="N39" s="403"/>
      <c r="O39" s="403" t="s">
        <v>2023</v>
      </c>
      <c r="P39" s="403"/>
      <c r="Q39" s="406"/>
      <c r="R39" s="309"/>
      <c r="S39" s="309"/>
      <c r="T39" s="309"/>
      <c r="U39" s="309"/>
      <c r="V39" s="309"/>
      <c r="W39" s="275"/>
    </row>
    <row r="40" spans="1:23" ht="17" thickBot="1">
      <c r="A40" s="292"/>
      <c r="B40" s="293"/>
      <c r="C40" s="294"/>
      <c r="D40" s="295"/>
      <c r="E40" s="296"/>
      <c r="F40" s="296"/>
      <c r="G40" s="296"/>
      <c r="H40" s="296"/>
      <c r="I40" s="296"/>
      <c r="J40" s="296"/>
      <c r="K40" s="296"/>
      <c r="L40" s="297"/>
      <c r="M40" s="297"/>
      <c r="N40" s="296"/>
      <c r="O40" s="298"/>
      <c r="P40" s="298"/>
      <c r="Q40" s="298"/>
      <c r="R40" s="297"/>
      <c r="S40" s="297"/>
      <c r="T40" s="297"/>
      <c r="U40" s="297"/>
      <c r="V40" s="297"/>
      <c r="W40" s="287"/>
    </row>
    <row r="41" spans="1:23" ht="27" customHeight="1" thickTop="1">
      <c r="A41" s="492" t="s">
        <v>2085</v>
      </c>
      <c r="B41" s="493"/>
      <c r="C41" s="493"/>
      <c r="D41" s="493"/>
      <c r="E41" s="493"/>
      <c r="F41" s="493"/>
      <c r="G41" s="493"/>
      <c r="H41" s="493"/>
      <c r="I41" s="493"/>
      <c r="J41" s="493"/>
      <c r="K41" s="493"/>
      <c r="L41" s="493"/>
      <c r="M41" s="493"/>
      <c r="N41" s="493"/>
      <c r="O41" s="493"/>
      <c r="P41" s="493"/>
      <c r="Q41" s="493"/>
      <c r="R41" s="493"/>
      <c r="S41" s="493"/>
      <c r="T41" s="493"/>
      <c r="U41" s="493"/>
      <c r="V41" s="493"/>
      <c r="W41" s="494"/>
    </row>
    <row r="42" spans="1:23" ht="48" customHeight="1">
      <c r="A42" s="274"/>
      <c r="B42" s="506" t="s">
        <v>2151</v>
      </c>
      <c r="C42" s="506"/>
      <c r="D42" s="506"/>
      <c r="E42" s="506"/>
      <c r="F42" s="506"/>
      <c r="G42" s="506"/>
      <c r="H42" s="506"/>
      <c r="I42" s="506"/>
      <c r="J42" s="506"/>
      <c r="K42" s="506"/>
      <c r="L42" s="506"/>
      <c r="M42" s="506"/>
      <c r="N42" s="506"/>
      <c r="O42" s="506"/>
      <c r="P42" s="506"/>
      <c r="Q42" s="506"/>
      <c r="R42" s="266"/>
      <c r="S42" s="266"/>
      <c r="T42" s="266"/>
      <c r="U42" s="266"/>
      <c r="V42" s="266"/>
      <c r="W42" s="275"/>
    </row>
    <row r="43" spans="1:23" ht="30.75" customHeight="1">
      <c r="A43" s="274"/>
      <c r="B43" s="499" t="s">
        <v>2083</v>
      </c>
      <c r="C43" s="499"/>
      <c r="D43" s="499"/>
      <c r="E43" s="499"/>
      <c r="F43" s="499"/>
      <c r="G43" s="499"/>
      <c r="H43" s="499"/>
      <c r="I43" s="499"/>
      <c r="J43" s="499"/>
      <c r="K43" s="499"/>
      <c r="L43" s="499"/>
      <c r="M43" s="499"/>
      <c r="N43" s="499"/>
      <c r="O43" s="499"/>
      <c r="P43" s="499"/>
      <c r="Q43" s="499"/>
      <c r="R43" s="266"/>
      <c r="S43" s="266"/>
      <c r="T43" s="266"/>
      <c r="U43" s="266"/>
      <c r="V43" s="266"/>
      <c r="W43" s="275"/>
    </row>
    <row r="44" spans="1:23" ht="36.75" customHeight="1">
      <c r="A44" s="274"/>
      <c r="B44" s="394"/>
      <c r="C44" s="395"/>
      <c r="D44" s="436"/>
      <c r="E44" s="437"/>
      <c r="F44" s="437"/>
      <c r="G44" s="437"/>
      <c r="H44" s="437"/>
      <c r="I44" s="437"/>
      <c r="J44" s="437"/>
      <c r="K44" s="438"/>
      <c r="L44" s="440" t="s">
        <v>209</v>
      </c>
      <c r="M44" s="440"/>
      <c r="N44" s="441" t="s">
        <v>2084</v>
      </c>
      <c r="O44" s="441"/>
      <c r="P44" s="441"/>
      <c r="Q44" s="441"/>
      <c r="R44" s="310"/>
      <c r="S44" s="310"/>
      <c r="T44" s="310"/>
      <c r="U44" s="310"/>
      <c r="V44" s="310"/>
      <c r="W44" s="275"/>
    </row>
    <row r="45" spans="1:23" ht="48" customHeight="1">
      <c r="A45" s="274"/>
      <c r="B45" s="445" t="s">
        <v>2080</v>
      </c>
      <c r="C45" s="56" t="s">
        <v>2027</v>
      </c>
      <c r="D45" s="442" t="s">
        <v>2040</v>
      </c>
      <c r="E45" s="442"/>
      <c r="F45" s="442"/>
      <c r="G45" s="442"/>
      <c r="H45" s="442"/>
      <c r="I45" s="442"/>
      <c r="J45" s="442"/>
      <c r="K45" s="442"/>
      <c r="L45" s="443"/>
      <c r="M45" s="443"/>
      <c r="N45" s="433"/>
      <c r="O45" s="434"/>
      <c r="P45" s="434"/>
      <c r="Q45" s="435"/>
      <c r="R45" s="290"/>
      <c r="S45" s="290"/>
      <c r="T45" s="290"/>
      <c r="U45" s="290"/>
      <c r="V45" s="290"/>
      <c r="W45" s="275"/>
    </row>
    <row r="46" spans="1:23" ht="48" customHeight="1">
      <c r="A46" s="274"/>
      <c r="B46" s="446"/>
      <c r="C46" s="56" t="s">
        <v>2028</v>
      </c>
      <c r="D46" s="442" t="s">
        <v>2041</v>
      </c>
      <c r="E46" s="442"/>
      <c r="F46" s="442"/>
      <c r="G46" s="442"/>
      <c r="H46" s="442"/>
      <c r="I46" s="442"/>
      <c r="J46" s="442"/>
      <c r="K46" s="442"/>
      <c r="L46" s="443"/>
      <c r="M46" s="443"/>
      <c r="N46" s="433"/>
      <c r="O46" s="434"/>
      <c r="P46" s="434"/>
      <c r="Q46" s="435"/>
      <c r="R46" s="290"/>
      <c r="S46" s="290"/>
      <c r="T46" s="290"/>
      <c r="U46" s="290"/>
      <c r="V46" s="290"/>
      <c r="W46" s="275"/>
    </row>
    <row r="47" spans="1:23" ht="48" customHeight="1">
      <c r="A47" s="274"/>
      <c r="B47" s="446"/>
      <c r="C47" s="56" t="s">
        <v>2029</v>
      </c>
      <c r="D47" s="442" t="s">
        <v>2047</v>
      </c>
      <c r="E47" s="442"/>
      <c r="F47" s="442"/>
      <c r="G47" s="442"/>
      <c r="H47" s="442"/>
      <c r="I47" s="442"/>
      <c r="J47" s="442"/>
      <c r="K47" s="442"/>
      <c r="L47" s="443"/>
      <c r="M47" s="443"/>
      <c r="N47" s="433"/>
      <c r="O47" s="434"/>
      <c r="P47" s="434"/>
      <c r="Q47" s="435"/>
      <c r="R47" s="290"/>
      <c r="S47" s="290"/>
      <c r="T47" s="290"/>
      <c r="U47" s="290"/>
      <c r="V47" s="290"/>
      <c r="W47" s="275"/>
    </row>
    <row r="48" spans="1:23" ht="48" customHeight="1">
      <c r="A48" s="274"/>
      <c r="B48" s="446"/>
      <c r="C48" s="56" t="s">
        <v>2030</v>
      </c>
      <c r="D48" s="442" t="s">
        <v>2042</v>
      </c>
      <c r="E48" s="442"/>
      <c r="F48" s="442"/>
      <c r="G48" s="442"/>
      <c r="H48" s="442"/>
      <c r="I48" s="442"/>
      <c r="J48" s="442"/>
      <c r="K48" s="442"/>
      <c r="L48" s="443"/>
      <c r="M48" s="443"/>
      <c r="N48" s="433"/>
      <c r="O48" s="434"/>
      <c r="P48" s="434"/>
      <c r="Q48" s="435"/>
      <c r="R48" s="290"/>
      <c r="S48" s="290"/>
      <c r="T48" s="290"/>
      <c r="U48" s="290"/>
      <c r="V48" s="290"/>
      <c r="W48" s="275"/>
    </row>
    <row r="49" spans="1:23" ht="48" customHeight="1">
      <c r="A49" s="274"/>
      <c r="B49" s="446"/>
      <c r="C49" s="56" t="s">
        <v>2031</v>
      </c>
      <c r="D49" s="442" t="s">
        <v>2037</v>
      </c>
      <c r="E49" s="442"/>
      <c r="F49" s="442"/>
      <c r="G49" s="442"/>
      <c r="H49" s="442"/>
      <c r="I49" s="442"/>
      <c r="J49" s="442"/>
      <c r="K49" s="442"/>
      <c r="L49" s="443"/>
      <c r="M49" s="443"/>
      <c r="N49" s="433"/>
      <c r="O49" s="434"/>
      <c r="P49" s="434"/>
      <c r="Q49" s="435"/>
      <c r="R49" s="290"/>
      <c r="S49" s="290"/>
      <c r="T49" s="290"/>
      <c r="U49" s="290"/>
      <c r="V49" s="290"/>
      <c r="W49" s="275"/>
    </row>
    <row r="50" spans="1:23" ht="48" customHeight="1">
      <c r="A50" s="274"/>
      <c r="B50" s="446"/>
      <c r="C50" s="56" t="s">
        <v>2032</v>
      </c>
      <c r="D50" s="448" t="s">
        <v>2036</v>
      </c>
      <c r="E50" s="449"/>
      <c r="F50" s="449"/>
      <c r="G50" s="449"/>
      <c r="H50" s="449"/>
      <c r="I50" s="449"/>
      <c r="J50" s="449"/>
      <c r="K50" s="450"/>
      <c r="L50" s="443"/>
      <c r="M50" s="443"/>
      <c r="N50" s="433"/>
      <c r="O50" s="434"/>
      <c r="P50" s="434"/>
      <c r="Q50" s="435"/>
      <c r="R50" s="290"/>
      <c r="S50" s="290"/>
      <c r="T50" s="290"/>
      <c r="U50" s="290"/>
      <c r="V50" s="290"/>
      <c r="W50" s="275"/>
    </row>
    <row r="51" spans="1:23" ht="48" customHeight="1">
      <c r="A51" s="274"/>
      <c r="B51" s="446"/>
      <c r="C51" s="56" t="s">
        <v>2033</v>
      </c>
      <c r="D51" s="442" t="s">
        <v>2039</v>
      </c>
      <c r="E51" s="442"/>
      <c r="F51" s="442"/>
      <c r="G51" s="442"/>
      <c r="H51" s="442"/>
      <c r="I51" s="442"/>
      <c r="J51" s="442"/>
      <c r="K51" s="442"/>
      <c r="L51" s="443"/>
      <c r="M51" s="443"/>
      <c r="N51" s="433"/>
      <c r="O51" s="434"/>
      <c r="P51" s="434"/>
      <c r="Q51" s="435"/>
      <c r="R51" s="290"/>
      <c r="S51" s="290"/>
      <c r="T51" s="290"/>
      <c r="U51" s="290"/>
      <c r="V51" s="290"/>
      <c r="W51" s="275"/>
    </row>
    <row r="52" spans="1:23" ht="48" customHeight="1">
      <c r="A52" s="274"/>
      <c r="B52" s="446"/>
      <c r="C52" s="56" t="s">
        <v>2034</v>
      </c>
      <c r="D52" s="442" t="s">
        <v>2048</v>
      </c>
      <c r="E52" s="442"/>
      <c r="F52" s="442"/>
      <c r="G52" s="442"/>
      <c r="H52" s="442"/>
      <c r="I52" s="442"/>
      <c r="J52" s="442"/>
      <c r="K52" s="442"/>
      <c r="L52" s="443"/>
      <c r="M52" s="443"/>
      <c r="N52" s="433"/>
      <c r="O52" s="434"/>
      <c r="P52" s="434"/>
      <c r="Q52" s="435"/>
      <c r="R52" s="290"/>
      <c r="S52" s="290"/>
      <c r="T52" s="290"/>
      <c r="U52" s="290"/>
      <c r="V52" s="290"/>
      <c r="W52" s="275"/>
    </row>
    <row r="53" spans="1:23" ht="48" customHeight="1">
      <c r="A53" s="274"/>
      <c r="B53" s="447"/>
      <c r="C53" s="56" t="s">
        <v>2035</v>
      </c>
      <c r="D53" s="442" t="s">
        <v>2038</v>
      </c>
      <c r="E53" s="442"/>
      <c r="F53" s="442"/>
      <c r="G53" s="442"/>
      <c r="H53" s="442"/>
      <c r="I53" s="442"/>
      <c r="J53" s="442"/>
      <c r="K53" s="442"/>
      <c r="L53" s="443"/>
      <c r="M53" s="443"/>
      <c r="N53" s="433"/>
      <c r="O53" s="434"/>
      <c r="P53" s="434"/>
      <c r="Q53" s="435"/>
      <c r="R53" s="290"/>
      <c r="S53" s="290"/>
      <c r="T53" s="290"/>
      <c r="U53" s="290"/>
      <c r="V53" s="290"/>
      <c r="W53" s="275"/>
    </row>
    <row r="54" spans="1:23" ht="16">
      <c r="A54" s="274"/>
      <c r="B54" s="290"/>
      <c r="C54" s="263"/>
      <c r="D54" s="264"/>
      <c r="E54" s="265"/>
      <c r="F54" s="265"/>
      <c r="G54" s="265"/>
      <c r="H54" s="265"/>
      <c r="I54" s="265"/>
      <c r="J54" s="265"/>
      <c r="K54" s="265"/>
      <c r="L54" s="266"/>
      <c r="M54" s="266"/>
      <c r="N54" s="265"/>
      <c r="O54" s="267"/>
      <c r="P54" s="267"/>
      <c r="Q54" s="267"/>
      <c r="R54" s="266"/>
      <c r="S54" s="266"/>
      <c r="T54" s="266"/>
      <c r="U54" s="266"/>
      <c r="V54" s="266"/>
      <c r="W54" s="275"/>
    </row>
    <row r="55" spans="1:23" ht="105" customHeight="1">
      <c r="A55" s="274"/>
      <c r="B55" s="444" t="s">
        <v>2082</v>
      </c>
      <c r="C55" s="444"/>
      <c r="D55" s="444"/>
      <c r="E55" s="444"/>
      <c r="F55" s="444"/>
      <c r="G55" s="444"/>
      <c r="H55" s="444"/>
      <c r="I55" s="444"/>
      <c r="J55" s="444"/>
      <c r="K55" s="444"/>
      <c r="L55" s="444"/>
      <c r="M55" s="444"/>
      <c r="N55" s="444"/>
      <c r="O55" s="444"/>
      <c r="P55" s="444"/>
      <c r="Q55" s="444"/>
      <c r="R55" s="290"/>
      <c r="S55" s="290"/>
      <c r="T55" s="290"/>
      <c r="U55" s="290"/>
      <c r="V55" s="290"/>
      <c r="W55" s="275"/>
    </row>
    <row r="56" spans="1:23" ht="29.25" customHeight="1">
      <c r="A56" s="274"/>
      <c r="B56" s="499" t="s">
        <v>2081</v>
      </c>
      <c r="C56" s="499"/>
      <c r="D56" s="499"/>
      <c r="E56" s="499"/>
      <c r="F56" s="499"/>
      <c r="G56" s="499"/>
      <c r="H56" s="499"/>
      <c r="I56" s="499"/>
      <c r="J56" s="499"/>
      <c r="K56" s="499"/>
      <c r="L56" s="499"/>
      <c r="M56" s="499"/>
      <c r="N56" s="499"/>
      <c r="O56" s="499"/>
      <c r="P56" s="499"/>
      <c r="Q56" s="499"/>
      <c r="R56" s="317"/>
      <c r="S56" s="317"/>
      <c r="T56" s="317"/>
      <c r="U56" s="317"/>
      <c r="V56" s="317"/>
      <c r="W56" s="275"/>
    </row>
    <row r="57" spans="1:23" s="257" customFormat="1" ht="56.25" customHeight="1">
      <c r="A57" s="276"/>
      <c r="B57" s="261" t="s">
        <v>1420</v>
      </c>
      <c r="C57" s="261" t="s">
        <v>5</v>
      </c>
      <c r="D57" s="440" t="s">
        <v>211</v>
      </c>
      <c r="E57" s="440"/>
      <c r="F57" s="440"/>
      <c r="G57" s="440"/>
      <c r="H57" s="440"/>
      <c r="I57" s="440"/>
      <c r="J57" s="440"/>
      <c r="K57" s="440"/>
      <c r="L57" s="440" t="s">
        <v>209</v>
      </c>
      <c r="M57" s="440"/>
      <c r="N57" s="441" t="s">
        <v>2084</v>
      </c>
      <c r="O57" s="441"/>
      <c r="P57" s="441"/>
      <c r="Q57" s="441"/>
      <c r="R57" s="311" t="s">
        <v>1420</v>
      </c>
      <c r="S57" s="311" t="s">
        <v>1432</v>
      </c>
      <c r="T57" s="311" t="s">
        <v>2056</v>
      </c>
      <c r="U57" s="311" t="s">
        <v>1860</v>
      </c>
      <c r="V57" s="311" t="s">
        <v>1507</v>
      </c>
      <c r="W57" s="277"/>
    </row>
    <row r="58" spans="1:23" ht="48" customHeight="1">
      <c r="A58" s="274"/>
      <c r="B58" s="505" t="s">
        <v>43</v>
      </c>
      <c r="C58" s="56">
        <v>1.1000000000000001</v>
      </c>
      <c r="D58" s="442" t="str">
        <f>VLOOKUP(C58,'Technology MASTER'!$B$3:$Q$107,5,FALSE)</f>
        <v>Do you maintain an accurate and up-to-date inventory of all technology assets with the potential to store or process Customer information?</v>
      </c>
      <c r="E58" s="442"/>
      <c r="F58" s="442"/>
      <c r="G58" s="442"/>
      <c r="H58" s="442"/>
      <c r="I58" s="442"/>
      <c r="J58" s="442"/>
      <c r="K58" s="442"/>
      <c r="L58" s="443"/>
      <c r="M58" s="443"/>
      <c r="N58" s="500"/>
      <c r="O58" s="500"/>
      <c r="P58" s="500"/>
      <c r="Q58" s="500"/>
      <c r="R58" s="318" t="str">
        <f>VLOOKUP(C58,'Technology MASTER'!$B$3:$Q$107,3,FALSE)</f>
        <v>Inventory of Authorized and Unauthorized Devices</v>
      </c>
      <c r="S58" s="318" t="str">
        <f>VLOOKUP(C58,'Technology MASTER'!$B$3:$Q$107,4,FALSE)</f>
        <v>Identify</v>
      </c>
      <c r="T58" s="318" t="e">
        <f>HLOOKUP($N$28,'Technology MASTER'!$G$2:$I$107,2,FALSE)</f>
        <v>#N/A</v>
      </c>
      <c r="U58" s="318" t="str">
        <f>VLOOKUP(C58,'Technology MASTER'!$B$3:$Q$107,13,FALSE)</f>
        <v>Inaccurate or improper inventory of
authorized and unauthorized devices could result in a data breach.</v>
      </c>
      <c r="V58" s="318" t="str">
        <f>VLOOKUP(C58,'Technology MASTER'!$B$3:$Q$107,16,FALSE)</f>
        <v>Unauthorized Access to Systems or Data</v>
      </c>
      <c r="W58" s="275"/>
    </row>
    <row r="59" spans="1:23" ht="48" customHeight="1">
      <c r="A59" s="274"/>
      <c r="B59" s="505"/>
      <c r="C59" s="56">
        <v>1.2</v>
      </c>
      <c r="D59" s="442" t="str">
        <f>VLOOKUP(C59,'Technology MASTER'!$B$3:$Q$107,5,FALSE)</f>
        <v>Does the asset inventory include the hardware address, machine name, data asset owner, and department for each asset and whether the hardware asset has been approved to connect to the network.</v>
      </c>
      <c r="E59" s="442"/>
      <c r="F59" s="442"/>
      <c r="G59" s="442"/>
      <c r="H59" s="442"/>
      <c r="I59" s="442"/>
      <c r="J59" s="442"/>
      <c r="K59" s="442"/>
      <c r="L59" s="443"/>
      <c r="M59" s="443"/>
      <c r="N59" s="500"/>
      <c r="O59" s="500"/>
      <c r="P59" s="500"/>
      <c r="Q59" s="500"/>
      <c r="R59" s="318" t="str">
        <f>VLOOKUP(C59,'Technology MASTER'!$B$3:$Q$107,3,FALSE)</f>
        <v>Inventory of Authorized and Unauthorized Devices</v>
      </c>
      <c r="S59" s="318" t="str">
        <f>VLOOKUP(C59,'Technology MASTER'!$B$3:$Q$107,4,FALSE)</f>
        <v>Identify</v>
      </c>
      <c r="T59" s="318" t="e">
        <f>HLOOKUP($N$28,'Technology MASTER'!$G$2:$I$107,3,FALSE)</f>
        <v>#N/A</v>
      </c>
      <c r="U59" s="318" t="str">
        <f>VLOOKUP(C59,'Technology MASTER'!$B$3:$Q$107,13,FALSE)</f>
        <v>Inaccurate or improper inventory of
authorized and unauthorized devices could result in a data breach.</v>
      </c>
      <c r="V59" s="318" t="str">
        <f>VLOOKUP(C59,'Technology MASTER'!$B$3:$Q$107,16,FALSE)</f>
        <v>Unauthorized Access to Systems or Data</v>
      </c>
      <c r="W59" s="275"/>
    </row>
    <row r="60" spans="1:23" ht="48" customHeight="1">
      <c r="A60" s="274"/>
      <c r="B60" s="505"/>
      <c r="C60" s="56">
        <v>1.3</v>
      </c>
      <c r="D60" s="442" t="str">
        <f>VLOOKUP(C60,'Technology MASTER'!$B$3:$Q$107,5,FALSE)</f>
        <v xml:space="preserve">Do you have an active discovery tool that is used to build an inventory of systems connected to an organization’s public and private network(s)?  </v>
      </c>
      <c r="E60" s="442"/>
      <c r="F60" s="442"/>
      <c r="G60" s="442"/>
      <c r="H60" s="442"/>
      <c r="I60" s="442"/>
      <c r="J60" s="442"/>
      <c r="K60" s="442"/>
      <c r="L60" s="443"/>
      <c r="M60" s="443"/>
      <c r="N60" s="500"/>
      <c r="O60" s="500"/>
      <c r="P60" s="500"/>
      <c r="Q60" s="500"/>
      <c r="R60" s="318" t="str">
        <f>VLOOKUP(C60,'Technology MASTER'!$B$3:$Q$107,3,FALSE)</f>
        <v>Inventory of Authorized and Unauthorized Devices</v>
      </c>
      <c r="S60" s="318" t="str">
        <f>VLOOKUP(C60,'Technology MASTER'!$B$3:$Q$107,4,FALSE)</f>
        <v>Identify</v>
      </c>
      <c r="T60" s="318" t="e">
        <f>HLOOKUP($N$28,'Technology MASTER'!$G$2:$I$107,4,FALSE)</f>
        <v>#N/A</v>
      </c>
      <c r="U60" s="318" t="str">
        <f>VLOOKUP(C60,'Technology MASTER'!$B$3:$Q$107,13,FALSE)</f>
        <v>Information and assets associated with information processing facilities are not owned by a designated part of the organization.</v>
      </c>
      <c r="V60" s="318" t="str">
        <f>VLOOKUP(C60,'Technology MASTER'!$B$3:$Q$107,16,FALSE)</f>
        <v>Unauthorized Access to Systems or Data</v>
      </c>
      <c r="W60" s="275"/>
    </row>
    <row r="61" spans="1:23" ht="48" customHeight="1">
      <c r="A61" s="274"/>
      <c r="B61" s="505"/>
      <c r="C61" s="56">
        <v>1.4</v>
      </c>
      <c r="D61" s="442" t="str">
        <f>VLOOKUP(C61,'Technology MASTER'!$B$3:$Q$107,5,FALSE)</f>
        <v>Do you use utilize port level access control, following 802.1x standards, to control which devices can authenticate to the network?</v>
      </c>
      <c r="E61" s="442"/>
      <c r="F61" s="442"/>
      <c r="G61" s="442"/>
      <c r="H61" s="442"/>
      <c r="I61" s="442"/>
      <c r="J61" s="442"/>
      <c r="K61" s="442"/>
      <c r="L61" s="443"/>
      <c r="M61" s="443"/>
      <c r="N61" s="500"/>
      <c r="O61" s="500"/>
      <c r="P61" s="500"/>
      <c r="Q61" s="500"/>
      <c r="R61" s="318" t="str">
        <f>VLOOKUP(C61,'Technology MASTER'!$B$3:$Q$107,3,FALSE)</f>
        <v>Inventory of Authorized and Unauthorized Devices</v>
      </c>
      <c r="S61" s="318" t="str">
        <f>VLOOKUP(C61,'Technology MASTER'!$B$3:$Q$107,4,FALSE)</f>
        <v>Protect</v>
      </c>
      <c r="T61" s="318" t="e">
        <f>HLOOKUP($N$28,'Technology MASTER'!$G$2:$I$107,5,FALSE)</f>
        <v>#N/A</v>
      </c>
      <c r="U61" s="318" t="str">
        <f>VLOOKUP(C61,'Technology MASTER'!$B$3:$Q$107,13,FALSE)</f>
        <v>Incapable of denying or restricting network access to noncompliant devices.  This may allow an insecure system to infect the entire network.</v>
      </c>
      <c r="V61" s="318" t="str">
        <f>VLOOKUP(C61,'Technology MASTER'!$B$3:$Q$107,16,FALSE)</f>
        <v>Unauthorized Access to Systems or Data</v>
      </c>
      <c r="W61" s="275"/>
    </row>
    <row r="62" spans="1:23" ht="48" customHeight="1">
      <c r="A62" s="274"/>
      <c r="B62" s="505"/>
      <c r="C62" s="56">
        <v>1.5</v>
      </c>
      <c r="D62" s="442" t="str">
        <f>VLOOKUP(C62,'Technology MASTER'!$B$3:$Q$107,5,FALSE)</f>
        <v>Do you ensure that unauthorized assets are either removed from the network, quarantined or the inventory is updated in a timely manner?</v>
      </c>
      <c r="E62" s="442"/>
      <c r="F62" s="442"/>
      <c r="G62" s="442"/>
      <c r="H62" s="442"/>
      <c r="I62" s="442"/>
      <c r="J62" s="442"/>
      <c r="K62" s="442"/>
      <c r="L62" s="443"/>
      <c r="M62" s="443"/>
      <c r="N62" s="500"/>
      <c r="O62" s="500"/>
      <c r="P62" s="500"/>
      <c r="Q62" s="500"/>
      <c r="R62" s="318" t="str">
        <f>VLOOKUP(C62,'Technology MASTER'!$B$3:$Q$107,3,FALSE)</f>
        <v>Inventory of Authorized and Unauthorized Devices</v>
      </c>
      <c r="S62" s="318" t="str">
        <f>VLOOKUP(C62,'Technology MASTER'!$B$3:$Q$107,4,FALSE)</f>
        <v>Respond</v>
      </c>
      <c r="T62" s="318" t="e">
        <f>HLOOKUP($N$28,'Technology MASTER'!$G$2:$I$107,6,FALSE)</f>
        <v>#N/A</v>
      </c>
      <c r="U62" s="318" t="str">
        <f>VLOOKUP(C62,'Technology MASTER'!$B$3:$Q$107,13,FALSE)</f>
        <v>Incapable of denying or restricting network access to noncompliant devices.  This may allow an insecure system to infect the entire network.</v>
      </c>
      <c r="V62" s="318" t="str">
        <f>VLOOKUP(C62,'Technology MASTER'!$B$3:$Q$107,16,FALSE)</f>
        <v>Unauthorized Access to Systems or Data</v>
      </c>
      <c r="W62" s="275"/>
    </row>
    <row r="63" spans="1:23" ht="16">
      <c r="A63" s="274"/>
      <c r="B63" s="400"/>
      <c r="C63" s="400"/>
      <c r="D63" s="400"/>
      <c r="E63" s="400"/>
      <c r="F63" s="400"/>
      <c r="G63" s="400"/>
      <c r="H63" s="400"/>
      <c r="I63" s="400"/>
      <c r="J63" s="400"/>
      <c r="K63" s="400"/>
      <c r="L63" s="400"/>
      <c r="M63" s="400"/>
      <c r="N63" s="400"/>
      <c r="O63" s="400"/>
      <c r="P63" s="400"/>
      <c r="Q63" s="400"/>
      <c r="R63" s="256"/>
      <c r="S63" s="256"/>
      <c r="T63" s="256"/>
      <c r="U63" s="256"/>
      <c r="V63" s="256"/>
      <c r="W63" s="275"/>
    </row>
    <row r="64" spans="1:23" ht="48" customHeight="1">
      <c r="A64" s="274"/>
      <c r="B64" s="445" t="s">
        <v>44</v>
      </c>
      <c r="C64" s="56">
        <v>2.1</v>
      </c>
      <c r="D64" s="442" t="str">
        <f>VLOOKUP(C64,'Technology MASTER'!$B$3:$Q$107,5,FALSE)</f>
        <v>Do you maintain an up-to-date list of all authorized software that is required in the enterprise for any business purpose on any business system?</v>
      </c>
      <c r="E64" s="442"/>
      <c r="F64" s="442"/>
      <c r="G64" s="442"/>
      <c r="H64" s="442"/>
      <c r="I64" s="442"/>
      <c r="J64" s="442"/>
      <c r="K64" s="442"/>
      <c r="L64" s="443"/>
      <c r="M64" s="443"/>
      <c r="N64" s="496"/>
      <c r="O64" s="497"/>
      <c r="P64" s="497"/>
      <c r="Q64" s="498"/>
      <c r="R64" s="318" t="str">
        <f>VLOOKUP(C64,'Technology MASTER'!$B$3:$Q$107,3,FALSE)</f>
        <v>Inventory of Authorized and Unauthorized Software</v>
      </c>
      <c r="S64" s="318" t="str">
        <f>VLOOKUP(C64,'Technology MASTER'!$B$3:$Q$107,4,FALSE)</f>
        <v>Identify</v>
      </c>
      <c r="T64" s="318" t="e">
        <f>HLOOKUP($N$28,'Technology MASTER'!$G$2:$I$107,7,FALSE)</f>
        <v>#N/A</v>
      </c>
      <c r="U64" s="318" t="str">
        <f>VLOOKUP(C64,'Technology MASTER'!$B$3:$Q$107,13,FALSE)</f>
        <v>Inaccurate or improper inventory of
authorized and unauthorized software could result in a data breach.</v>
      </c>
      <c r="V64" s="318" t="str">
        <f>VLOOKUP(C64,'Technology MASTER'!$B$3:$Q$107,16,FALSE)</f>
        <v>Unauthorized Access to Systems or Data</v>
      </c>
      <c r="W64" s="275"/>
    </row>
    <row r="65" spans="1:23" ht="48" customHeight="1">
      <c r="A65" s="274"/>
      <c r="B65" s="446"/>
      <c r="C65" s="56">
        <v>2.2000000000000002</v>
      </c>
      <c r="D65" s="442" t="str">
        <f>VLOOKUP(C65,'Technology MASTER'!$B$3:$Q$107,5,FALSE)</f>
        <v>Does the software inventory system track the name, version, publisher, and install date for all software, including operating systems authorized by the organization.?</v>
      </c>
      <c r="E65" s="442"/>
      <c r="F65" s="442"/>
      <c r="G65" s="442"/>
      <c r="H65" s="442"/>
      <c r="I65" s="442"/>
      <c r="J65" s="442"/>
      <c r="K65" s="442"/>
      <c r="L65" s="443"/>
      <c r="M65" s="443"/>
      <c r="N65" s="496"/>
      <c r="O65" s="497"/>
      <c r="P65" s="497"/>
      <c r="Q65" s="498"/>
      <c r="R65" s="318" t="str">
        <f>VLOOKUP(C65,'Technology MASTER'!$B$3:$Q$107,3,FALSE)</f>
        <v>Inventory of Authorized and Unauthorized Software</v>
      </c>
      <c r="S65" s="318" t="str">
        <f>VLOOKUP(C65,'Technology MASTER'!$B$3:$Q$107,4,FALSE)</f>
        <v>Identify</v>
      </c>
      <c r="T65" s="318" t="e">
        <f>HLOOKUP($N$28,'Technology MASTER'!$G$2:$I$107,8,FALSE)</f>
        <v>#N/A</v>
      </c>
      <c r="U65" s="318" t="str">
        <f>VLOOKUP(C65,'Technology MASTER'!$B$3:$Q$107,13,FALSE)</f>
        <v>Inaccurate or improper inventory of
authorized and unauthorized software could result in a data breach.</v>
      </c>
      <c r="V65" s="318" t="str">
        <f>VLOOKUP(C65,'Technology MASTER'!$B$3:$Q$107,16,FALSE)</f>
        <v>Unauthorized Access to Systems or Data</v>
      </c>
      <c r="W65" s="275"/>
    </row>
    <row r="66" spans="1:23" ht="48" customHeight="1">
      <c r="A66" s="274"/>
      <c r="B66" s="446"/>
      <c r="C66" s="56">
        <v>2.2999999999999998</v>
      </c>
      <c r="D66" s="442" t="str">
        <f>VLOOKUP(C66,'Technology MASTER'!$B$3:$Q$107,5,FALSE)</f>
        <v>Do you ensure that only software applications or operating systems currently supported and receiving vendor updates are added to the organization's authorized software inventory?</v>
      </c>
      <c r="E66" s="442"/>
      <c r="F66" s="442"/>
      <c r="G66" s="442"/>
      <c r="H66" s="442"/>
      <c r="I66" s="442"/>
      <c r="J66" s="442"/>
      <c r="K66" s="442"/>
      <c r="L66" s="443"/>
      <c r="M66" s="443"/>
      <c r="N66" s="496"/>
      <c r="O66" s="497"/>
      <c r="P66" s="497"/>
      <c r="Q66" s="498"/>
      <c r="R66" s="318" t="str">
        <f>VLOOKUP(C66,'Technology MASTER'!$B$3:$Q$107,3,FALSE)</f>
        <v>Inventory of Authorized and Unauthorized Software</v>
      </c>
      <c r="S66" s="318" t="str">
        <f>VLOOKUP(C66,'Technology MASTER'!$B$3:$Q$107,4,FALSE)</f>
        <v>Identify</v>
      </c>
      <c r="T66" s="318" t="e">
        <f>HLOOKUP($N$28,'Technology MASTER'!$G$2:$I$107,9,FALSE)</f>
        <v>#N/A</v>
      </c>
      <c r="U66" s="318" t="str">
        <f>VLOOKUP(C66,'Technology MASTER'!$B$3:$Q$107,13,FALSE)</f>
        <v>Commercial software that is not supported by a vendor and introduces errors into the information system processing environment.</v>
      </c>
      <c r="V66" s="318" t="str">
        <f>VLOOKUP(C66,'Technology MASTER'!$B$3:$Q$107,16,FALSE)</f>
        <v>Unauthorized Access to Systems or Data</v>
      </c>
      <c r="W66" s="275"/>
    </row>
    <row r="67" spans="1:23" ht="48" customHeight="1">
      <c r="A67" s="274"/>
      <c r="B67" s="447"/>
      <c r="C67" s="56">
        <v>2.4</v>
      </c>
      <c r="D67" s="442" t="str">
        <f>VLOOKUP(C67,'Technology MASTER'!$B$3:$Q$107,5,FALSE)</f>
        <v>Do you ensure that unauthorized software is either removed or the inventory is updated in a timely manner?</v>
      </c>
      <c r="E67" s="442"/>
      <c r="F67" s="442"/>
      <c r="G67" s="442"/>
      <c r="H67" s="442"/>
      <c r="I67" s="442"/>
      <c r="J67" s="442"/>
      <c r="K67" s="442"/>
      <c r="L67" s="443"/>
      <c r="M67" s="443"/>
      <c r="N67" s="496"/>
      <c r="O67" s="497"/>
      <c r="P67" s="497"/>
      <c r="Q67" s="498"/>
      <c r="R67" s="318" t="str">
        <f>VLOOKUP(C67,'Technology MASTER'!$B$3:$Q$107,3,FALSE)</f>
        <v>Inventory of Authorized and Unauthorized Software</v>
      </c>
      <c r="S67" s="318" t="str">
        <f>VLOOKUP(C67,'Technology MASTER'!$B$3:$Q$107,4,FALSE)</f>
        <v>Respond</v>
      </c>
      <c r="T67" s="318" t="e">
        <f>HLOOKUP($N$28,'Technology MASTER'!$G$2:$I$107,10,FALSE)</f>
        <v>#N/A</v>
      </c>
      <c r="U67" s="318" t="str">
        <f>VLOOKUP(C67,'Technology MASTER'!$B$3:$Q$107,13,FALSE)</f>
        <v>Unauthorized software increases the risk of outsiders gaining access to sensitive data.</v>
      </c>
      <c r="V67" s="318" t="str">
        <f>VLOOKUP(C67,'Technology MASTER'!$B$3:$Q$107,16,FALSE)</f>
        <v>Unauthorized Access to Systems or Data</v>
      </c>
      <c r="W67" s="275"/>
    </row>
    <row r="68" spans="1:23" ht="16">
      <c r="A68" s="274"/>
      <c r="B68" s="400"/>
      <c r="C68" s="400"/>
      <c r="D68" s="400"/>
      <c r="E68" s="400"/>
      <c r="F68" s="400"/>
      <c r="G68" s="400"/>
      <c r="H68" s="400"/>
      <c r="I68" s="400"/>
      <c r="J68" s="400"/>
      <c r="K68" s="400"/>
      <c r="L68" s="400"/>
      <c r="M68" s="400"/>
      <c r="N68" s="400"/>
      <c r="O68" s="400"/>
      <c r="P68" s="400"/>
      <c r="Q68" s="400"/>
      <c r="R68" s="256"/>
      <c r="S68" s="256"/>
      <c r="T68" s="256"/>
      <c r="U68" s="256"/>
      <c r="V68" s="256"/>
      <c r="W68" s="275"/>
    </row>
    <row r="69" spans="1:23" ht="48" customHeight="1">
      <c r="A69" s="274"/>
      <c r="B69" s="445" t="s">
        <v>45</v>
      </c>
      <c r="C69" s="56">
        <v>3.1</v>
      </c>
      <c r="D69" s="442" t="str">
        <f>VLOOKUP(C69,'Technology MASTER'!$B$3:$Q$107,5,FALSE)</f>
        <v>Do you have a vulnerability scanning tool that automatically scans all systems on the network on a frequent basis to identify potential vulnerabilities on the organization's systems?</v>
      </c>
      <c r="E69" s="442"/>
      <c r="F69" s="442"/>
      <c r="G69" s="442"/>
      <c r="H69" s="442"/>
      <c r="I69" s="442"/>
      <c r="J69" s="442"/>
      <c r="K69" s="442"/>
      <c r="L69" s="443"/>
      <c r="M69" s="443"/>
      <c r="N69" s="496"/>
      <c r="O69" s="497"/>
      <c r="P69" s="497"/>
      <c r="Q69" s="498"/>
      <c r="R69" s="318" t="str">
        <f>VLOOKUP(C69,'Technology MASTER'!$B$3:$Q$107,3,FALSE)</f>
        <v>Continuous Vulnerability Assessment and Remediation</v>
      </c>
      <c r="S69" s="318" t="str">
        <f>VLOOKUP(C69,'Technology MASTER'!$B$3:$Q$107,4,FALSE)</f>
        <v>Detect</v>
      </c>
      <c r="T69" s="318" t="e">
        <f>HLOOKUP($N$28,'Technology MASTER'!$G$2:$I$107,11,FALSE)</f>
        <v>#N/A</v>
      </c>
      <c r="U69" s="318" t="str">
        <f>VLOOKUP(C69,'Technology MASTER'!$B$3:$Q$107,13,FALSE)</f>
        <v>Weaknesses or gaps in a security program can be exploited by threats to gain unauthorized access to the network.</v>
      </c>
      <c r="V69" s="318" t="str">
        <f>VLOOKUP(C69,'Technology MASTER'!$B$3:$Q$107,16,FALSE)</f>
        <v>Cyber Attack</v>
      </c>
      <c r="W69" s="275"/>
    </row>
    <row r="70" spans="1:23" ht="48" customHeight="1">
      <c r="A70" s="274"/>
      <c r="B70" s="446"/>
      <c r="C70" s="56">
        <v>3.2</v>
      </c>
      <c r="D70" s="442" t="str">
        <f>VLOOKUP(C70,'Technology MASTER'!$B$3:$Q$107,5,FALSE)</f>
        <v>Are the vulnerability scans conducted in authenticated mode where elevated rights are used to scan each system?</v>
      </c>
      <c r="E70" s="442"/>
      <c r="F70" s="442"/>
      <c r="G70" s="442"/>
      <c r="H70" s="442"/>
      <c r="I70" s="442"/>
      <c r="J70" s="442"/>
      <c r="K70" s="442"/>
      <c r="L70" s="443"/>
      <c r="M70" s="443"/>
      <c r="N70" s="496"/>
      <c r="O70" s="497"/>
      <c r="P70" s="497"/>
      <c r="Q70" s="498"/>
      <c r="R70" s="318" t="str">
        <f>VLOOKUP(C70,'Technology MASTER'!$B$3:$Q$107,3,FALSE)</f>
        <v>Continuous Vulnerability Assessment and Remediation</v>
      </c>
      <c r="S70" s="318" t="str">
        <f>VLOOKUP(C70,'Technology MASTER'!$B$3:$Q$107,4,FALSE)</f>
        <v>Detect</v>
      </c>
      <c r="T70" s="318" t="e">
        <f>HLOOKUP($N$28,'Technology MASTER'!$G$2:$I$107,12,FALSE)</f>
        <v>#N/A</v>
      </c>
      <c r="U70" s="318" t="str">
        <f>VLOOKUP(C70,'Technology MASTER'!$B$3:$Q$107,13,FALSE)</f>
        <v>Weaknesses or gaps in a security program can be exploited by threats to gain unauthorized access to the network.</v>
      </c>
      <c r="V70" s="318" t="str">
        <f>VLOOKUP(C70,'Technology MASTER'!$B$3:$Q$107,16,FALSE)</f>
        <v>Cyber Attack</v>
      </c>
      <c r="W70" s="275"/>
    </row>
    <row r="71" spans="1:23" ht="48" customHeight="1">
      <c r="A71" s="274"/>
      <c r="B71" s="446"/>
      <c r="C71" s="56">
        <v>3.3</v>
      </c>
      <c r="D71" s="442" t="str">
        <f>VLOOKUP(C71,'Technology MASTER'!$B$3:$Q$107,5,FALSE)</f>
        <v>Has the organization utilized a risk-rating process to prioritize the remediation of discovered vulnerabilities?</v>
      </c>
      <c r="E71" s="442"/>
      <c r="F71" s="442"/>
      <c r="G71" s="442"/>
      <c r="H71" s="442"/>
      <c r="I71" s="442"/>
      <c r="J71" s="442"/>
      <c r="K71" s="442"/>
      <c r="L71" s="443"/>
      <c r="M71" s="443"/>
      <c r="N71" s="496"/>
      <c r="O71" s="497"/>
      <c r="P71" s="497"/>
      <c r="Q71" s="498"/>
      <c r="R71" s="318" t="str">
        <f>VLOOKUP(C71,'Technology MASTER'!$B$3:$Q$107,3,FALSE)</f>
        <v>Continuous Vulnerability Assessment and Remediation</v>
      </c>
      <c r="S71" s="318" t="str">
        <f>VLOOKUP(C71,'Technology MASTER'!$B$3:$Q$107,4,FALSE)</f>
        <v>Respond</v>
      </c>
      <c r="T71" s="318" t="e">
        <f>HLOOKUP($N$28,'Technology MASTER'!$G$2:$I$107,13,FALSE)</f>
        <v>#N/A</v>
      </c>
      <c r="U71" s="318" t="str">
        <f>VLOOKUP(C71,'Technology MASTER'!$B$3:$Q$107,13,FALSE)</f>
        <v xml:space="preserve">Failure to identify recognized threats and determine their probability may find technical teams remediating the wrong asset/s based on risk exposure. </v>
      </c>
      <c r="V71" s="318" t="str">
        <f>VLOOKUP(C71,'Technology MASTER'!$B$3:$Q$107,16,FALSE)</f>
        <v>Cyber Attack</v>
      </c>
      <c r="W71" s="275"/>
    </row>
    <row r="72" spans="1:23" ht="48" customHeight="1">
      <c r="A72" s="274"/>
      <c r="B72" s="446"/>
      <c r="C72" s="56">
        <v>3.4</v>
      </c>
      <c r="D72" s="442" t="str">
        <f>VLOOKUP(C72,'Technology MASTER'!$B$3:$Q$107,5,FALSE)</f>
        <v>Do you regularly compare the results from consecutive vulnerability scans to verify that vulnerabilities have been remediated in a timely manner?</v>
      </c>
      <c r="E72" s="442"/>
      <c r="F72" s="442"/>
      <c r="G72" s="442"/>
      <c r="H72" s="442"/>
      <c r="I72" s="442"/>
      <c r="J72" s="442"/>
      <c r="K72" s="442"/>
      <c r="L72" s="443"/>
      <c r="M72" s="443"/>
      <c r="N72" s="496"/>
      <c r="O72" s="497"/>
      <c r="P72" s="497"/>
      <c r="Q72" s="498"/>
      <c r="R72" s="318" t="str">
        <f>VLOOKUP(C72,'Technology MASTER'!$B$3:$Q$107,3,FALSE)</f>
        <v>Continuous Vulnerability Assessment and Remediation</v>
      </c>
      <c r="S72" s="318" t="str">
        <f>VLOOKUP(C72,'Technology MASTER'!$B$3:$Q$107,4,FALSE)</f>
        <v>Respond</v>
      </c>
      <c r="T72" s="318" t="e">
        <f>HLOOKUP($N$28,'Technology MASTER'!$G$2:$I$107,14,FALSE)</f>
        <v>#N/A</v>
      </c>
      <c r="U72" s="318" t="str">
        <f>VLOOKUP(C72,'Technology MASTER'!$B$3:$Q$107,13,FALSE)</f>
        <v>Identified risks are not accepted, mitigated or responded to with actionable plans and decisions.</v>
      </c>
      <c r="V72" s="318" t="str">
        <f>VLOOKUP(C72,'Technology MASTER'!$B$3:$Q$107,16,FALSE)</f>
        <v>Cyber Attack</v>
      </c>
      <c r="W72" s="275"/>
    </row>
    <row r="73" spans="1:23" ht="48" customHeight="1">
      <c r="A73" s="274"/>
      <c r="B73" s="446"/>
      <c r="C73" s="56">
        <v>3.5</v>
      </c>
      <c r="D73" s="442" t="str">
        <f>VLOOKUP(C73,'Technology MASTER'!$B$3:$Q$107,5,FALSE)</f>
        <v>Deploy automated software update tools in order to ensure that the operating systems are running the most recent security updates provided by the software vendor?</v>
      </c>
      <c r="E73" s="442"/>
      <c r="F73" s="442"/>
      <c r="G73" s="442"/>
      <c r="H73" s="442"/>
      <c r="I73" s="442"/>
      <c r="J73" s="442"/>
      <c r="K73" s="442"/>
      <c r="L73" s="443"/>
      <c r="M73" s="443"/>
      <c r="N73" s="496"/>
      <c r="O73" s="497"/>
      <c r="P73" s="497"/>
      <c r="Q73" s="498"/>
      <c r="R73" s="318" t="str">
        <f>VLOOKUP(C73,'Technology MASTER'!$B$3:$Q$107,3,FALSE)</f>
        <v>Continuous Vulnerability Assessment and Remediation</v>
      </c>
      <c r="S73" s="318" t="str">
        <f>VLOOKUP(C73,'Technology MASTER'!$B$3:$Q$107,4,FALSE)</f>
        <v>Protect</v>
      </c>
      <c r="T73" s="318" t="e">
        <f>HLOOKUP($N$28,'Technology MASTER'!$G$2:$I$107,15,FALSE)</f>
        <v>#N/A</v>
      </c>
      <c r="U73" s="318" t="str">
        <f>VLOOKUP(C73,'Technology MASTER'!$B$3:$Q$107,13,FALSE)</f>
        <v>The lack of processes for system maintenance and support may result in compromise of system security due to latest updates not being made to systems in a timely manner.</v>
      </c>
      <c r="V73" s="318" t="str">
        <f>VLOOKUP(C73,'Technology MASTER'!$B$3:$Q$107,16,FALSE)</f>
        <v>Cyber Attack</v>
      </c>
      <c r="W73" s="275"/>
    </row>
    <row r="74" spans="1:23" ht="48" customHeight="1">
      <c r="A74" s="274"/>
      <c r="B74" s="447"/>
      <c r="C74" s="56">
        <v>3.6</v>
      </c>
      <c r="D74" s="442" t="str">
        <f>VLOOKUP(C74,'Technology MASTER'!$B$3:$Q$107,5,FALSE)</f>
        <v>Deploy automated software update tools in order to ensure that third-party software on all systems is running the most recent security updates provided by the software vendor?</v>
      </c>
      <c r="E74" s="442"/>
      <c r="F74" s="442"/>
      <c r="G74" s="442"/>
      <c r="H74" s="442"/>
      <c r="I74" s="442"/>
      <c r="J74" s="442"/>
      <c r="K74" s="442"/>
      <c r="L74" s="443"/>
      <c r="M74" s="443"/>
      <c r="N74" s="496"/>
      <c r="O74" s="497"/>
      <c r="P74" s="497"/>
      <c r="Q74" s="498"/>
      <c r="R74" s="318" t="str">
        <f>VLOOKUP(C74,'Technology MASTER'!$B$3:$Q$107,3,FALSE)</f>
        <v>Continuous Vulnerability Assessment and Remediation</v>
      </c>
      <c r="S74" s="318" t="str">
        <f>VLOOKUP(C74,'Technology MASTER'!$B$3:$Q$107,4,FALSE)</f>
        <v>Protect</v>
      </c>
      <c r="T74" s="318" t="e">
        <f>HLOOKUP($N$28,'Technology MASTER'!$G$2:$I$107,16,FALSE)</f>
        <v>#N/A</v>
      </c>
      <c r="U74" s="318" t="str">
        <f>VLOOKUP(C74,'Technology MASTER'!$B$3:$Q$107,13,FALSE)</f>
        <v>The lack of processes for system maintenance and support may result in compromise of system security due to latest updates not being made to systems in a timely manner.</v>
      </c>
      <c r="V74" s="318" t="str">
        <f>VLOOKUP(C74,'Technology MASTER'!$B$3:$Q$107,16,FALSE)</f>
        <v>Cyber Attack</v>
      </c>
      <c r="W74" s="275"/>
    </row>
    <row r="75" spans="1:23" ht="16">
      <c r="A75" s="274"/>
      <c r="B75" s="400"/>
      <c r="C75" s="400"/>
      <c r="D75" s="400"/>
      <c r="E75" s="400"/>
      <c r="F75" s="400"/>
      <c r="G75" s="400"/>
      <c r="H75" s="400"/>
      <c r="I75" s="400"/>
      <c r="J75" s="400"/>
      <c r="K75" s="400"/>
      <c r="L75" s="400"/>
      <c r="M75" s="400"/>
      <c r="N75" s="400"/>
      <c r="O75" s="400"/>
      <c r="P75" s="400"/>
      <c r="Q75" s="400"/>
      <c r="R75" s="256"/>
      <c r="S75" s="256"/>
      <c r="T75" s="256"/>
      <c r="U75" s="256"/>
      <c r="V75" s="256"/>
      <c r="W75" s="275"/>
    </row>
    <row r="76" spans="1:23" ht="48" customHeight="1">
      <c r="A76" s="274"/>
      <c r="B76" s="445" t="s">
        <v>48</v>
      </c>
      <c r="C76" s="56">
        <v>4.0999999999999996</v>
      </c>
      <c r="D76" s="442" t="str">
        <f>VLOOKUP(C76,'Technology MASTER'!$B$3:$Q$107,5,FALSE)</f>
        <v>Before deploying any new asset, do you change all default passwords to have values consistent with administrative level accounts?</v>
      </c>
      <c r="E76" s="442"/>
      <c r="F76" s="442"/>
      <c r="G76" s="442"/>
      <c r="H76" s="442"/>
      <c r="I76" s="442"/>
      <c r="J76" s="442"/>
      <c r="K76" s="442"/>
      <c r="L76" s="443"/>
      <c r="M76" s="443"/>
      <c r="N76" s="496"/>
      <c r="O76" s="497"/>
      <c r="P76" s="497"/>
      <c r="Q76" s="498"/>
      <c r="R76" s="318" t="str">
        <f>VLOOKUP(C76,'Technology MASTER'!$B$3:$Q$107,3,FALSE)</f>
        <v>Controlled Use of Administrative Privileges</v>
      </c>
      <c r="S76" s="318" t="str">
        <f>VLOOKUP(C76,'Technology MASTER'!$B$3:$Q$107,4,FALSE)</f>
        <v>Protect</v>
      </c>
      <c r="T76" s="318" t="e">
        <f>HLOOKUP($N$28,'Technology MASTER'!$G$2:$I$107,17,FALSE)</f>
        <v>#N/A</v>
      </c>
      <c r="U76" s="318" t="str">
        <f>VLOOKUP(C76,'Technology MASTER'!$B$3:$Q$107,13,FALSE)</f>
        <v>Unauthorized users log on to information systems.</v>
      </c>
      <c r="V76" s="318" t="str">
        <f>VLOOKUP(C76,'Technology MASTER'!$B$3:$Q$107,16,FALSE)</f>
        <v>Unauthorized Access to Systems or Data</v>
      </c>
      <c r="W76" s="275"/>
    </row>
    <row r="77" spans="1:23" ht="48" customHeight="1">
      <c r="A77" s="274"/>
      <c r="B77" s="446"/>
      <c r="C77" s="56">
        <v>4.2</v>
      </c>
      <c r="D77" s="442" t="str">
        <f>VLOOKUP(C77,'Technology MASTER'!$B$3:$Q$107,5,FALSE)</f>
        <v>Do you require that all users with administrative account access have a dedicated or secondary account for elevated activities?</v>
      </c>
      <c r="E77" s="442"/>
      <c r="F77" s="442"/>
      <c r="G77" s="442"/>
      <c r="H77" s="442"/>
      <c r="I77" s="442"/>
      <c r="J77" s="442"/>
      <c r="K77" s="442"/>
      <c r="L77" s="443"/>
      <c r="M77" s="443"/>
      <c r="N77" s="496"/>
      <c r="O77" s="497"/>
      <c r="P77" s="497"/>
      <c r="Q77" s="498"/>
      <c r="R77" s="318" t="str">
        <f>VLOOKUP(C77,'Technology MASTER'!$B$3:$Q$107,3,FALSE)</f>
        <v>Controlled Use of Administrative Privileges</v>
      </c>
      <c r="S77" s="318" t="str">
        <f>VLOOKUP(C77,'Technology MASTER'!$B$3:$Q$107,4,FALSE)</f>
        <v>Protect</v>
      </c>
      <c r="T77" s="318" t="e">
        <f>HLOOKUP($N$28,'Technology MASTER'!$G$2:$I$107,18,FALSE)</f>
        <v>#N/A</v>
      </c>
      <c r="U77" s="318" t="str">
        <f>VLOOKUP(C77,'Technology MASTER'!$B$3:$Q$107,13,FALSE)</f>
        <v>Users expose information systems by not correctly executing their access control responsibilities.</v>
      </c>
      <c r="V77" s="318" t="str">
        <f>VLOOKUP(C77,'Technology MASTER'!$B$3:$Q$107,16,FALSE)</f>
        <v>Unauthorized Access to Systems or Data</v>
      </c>
      <c r="W77" s="275"/>
    </row>
    <row r="78" spans="1:23" ht="48" customHeight="1">
      <c r="A78" s="274"/>
      <c r="B78" s="446"/>
      <c r="C78" s="56">
        <v>4.3</v>
      </c>
      <c r="D78" s="442" t="str">
        <f>VLOOKUP(C78,'Technology MASTER'!$B$3:$Q$107,5,FALSE)</f>
        <v>Do you have an automated tool or process that inventories all administrative accounts, including domain and local accounts, to ensure that only authorized individuals have elevated privileges?</v>
      </c>
      <c r="E78" s="442"/>
      <c r="F78" s="442"/>
      <c r="G78" s="442"/>
      <c r="H78" s="442"/>
      <c r="I78" s="442"/>
      <c r="J78" s="442"/>
      <c r="K78" s="442"/>
      <c r="L78" s="443"/>
      <c r="M78" s="443"/>
      <c r="N78" s="496"/>
      <c r="O78" s="497"/>
      <c r="P78" s="497"/>
      <c r="Q78" s="498"/>
      <c r="R78" s="318" t="str">
        <f>VLOOKUP(C78,'Technology MASTER'!$B$3:$Q$107,3,FALSE)</f>
        <v>Controlled Use of Administrative Privileges</v>
      </c>
      <c r="S78" s="318" t="str">
        <f>VLOOKUP(C78,'Technology MASTER'!$B$3:$Q$107,4,FALSE)</f>
        <v>Detect</v>
      </c>
      <c r="T78" s="318" t="e">
        <f>HLOOKUP($N$28,'Technology MASTER'!$G$2:$I$107,19,FALSE)</f>
        <v>#N/A</v>
      </c>
      <c r="U78" s="318" t="str">
        <f>VLOOKUP(C78,'Technology MASTER'!$B$3:$Q$107,13,FALSE)</f>
        <v>Users gain access to information that is beyond their appropriate level of privilege.</v>
      </c>
      <c r="V78" s="318" t="str">
        <f>VLOOKUP(C78,'Technology MASTER'!$B$3:$Q$107,16,FALSE)</f>
        <v>Unauthorized Access to Systems or Data</v>
      </c>
      <c r="W78" s="275"/>
    </row>
    <row r="79" spans="1:23" ht="48" customHeight="1">
      <c r="A79" s="274"/>
      <c r="B79" s="446"/>
      <c r="C79" s="56">
        <v>4.4000000000000004</v>
      </c>
      <c r="D79" s="442" t="str">
        <f>VLOOKUP(C79,'Technology MASTER'!$B$3:$Q$107,5,FALSE)</f>
        <v>Is there a log entry or alert recorded when an account is added to or removed from an administrators group?</v>
      </c>
      <c r="E79" s="442"/>
      <c r="F79" s="442"/>
      <c r="G79" s="442"/>
      <c r="H79" s="442"/>
      <c r="I79" s="442"/>
      <c r="J79" s="442"/>
      <c r="K79" s="442"/>
      <c r="L79" s="443"/>
      <c r="M79" s="443"/>
      <c r="N79" s="496"/>
      <c r="O79" s="497"/>
      <c r="P79" s="497"/>
      <c r="Q79" s="498"/>
      <c r="R79" s="318" t="str">
        <f>VLOOKUP(C79,'Technology MASTER'!$B$3:$Q$107,3,FALSE)</f>
        <v>Controlled Use of Administrative Privileges</v>
      </c>
      <c r="S79" s="318" t="str">
        <f>VLOOKUP(C79,'Technology MASTER'!$B$3:$Q$107,4,FALSE)</f>
        <v>Detect</v>
      </c>
      <c r="T79" s="318" t="e">
        <f>HLOOKUP($N$28,'Technology MASTER'!$G$2:$I$107,20,FALSE)</f>
        <v>#N/A</v>
      </c>
      <c r="U79" s="318" t="str">
        <f>VLOOKUP(C79,'Technology MASTER'!$B$3:$Q$107,13,FALSE)</f>
        <v>The lack of logging mechanisms to record and store user activities, exceptions, and information security events may result in unauthorized access or activity going undetected.</v>
      </c>
      <c r="V79" s="318" t="str">
        <f>VLOOKUP(C79,'Technology MASTER'!$B$3:$Q$107,16,FALSE)</f>
        <v>Unauthorized Access to Systems or Data</v>
      </c>
      <c r="W79" s="275"/>
    </row>
    <row r="80" spans="1:23" ht="48" customHeight="1">
      <c r="A80" s="274"/>
      <c r="B80" s="446"/>
      <c r="C80" s="56">
        <v>4.5</v>
      </c>
      <c r="D80" s="442" t="str">
        <f>VLOOKUP(C80,'Technology MASTER'!$B$3:$Q$107,5,FALSE)</f>
        <v>Do you configure systems to issue a log entry and alert on unsuccessful login to an administrative account?</v>
      </c>
      <c r="E80" s="442"/>
      <c r="F80" s="442"/>
      <c r="G80" s="442"/>
      <c r="H80" s="442"/>
      <c r="I80" s="442"/>
      <c r="J80" s="442"/>
      <c r="K80" s="442"/>
      <c r="L80" s="443"/>
      <c r="M80" s="443"/>
      <c r="N80" s="496"/>
      <c r="O80" s="497"/>
      <c r="P80" s="497"/>
      <c r="Q80" s="498"/>
      <c r="R80" s="318" t="str">
        <f>VLOOKUP(C80,'Technology MASTER'!$B$3:$Q$107,3,FALSE)</f>
        <v>Controlled Use of Administrative Privileges</v>
      </c>
      <c r="S80" s="318" t="str">
        <f>VLOOKUP(C80,'Technology MASTER'!$B$3:$Q$107,4,FALSE)</f>
        <v>Detect</v>
      </c>
      <c r="T80" s="318" t="e">
        <f>HLOOKUP($N$28,'Technology MASTER'!$G$2:$I$107,21,FALSE)</f>
        <v>#N/A</v>
      </c>
      <c r="U80" s="318" t="str">
        <f>VLOOKUP(C80,'Technology MASTER'!$B$3:$Q$107,13,FALSE)</f>
        <v>The lack of logging mechanisms to record and store user activities, exceptions, and information security events may result in unauthorized access or activity going undetected.</v>
      </c>
      <c r="V80" s="318" t="str">
        <f>VLOOKUP(C80,'Technology MASTER'!$B$3:$Q$107,16,FALSE)</f>
        <v>Unauthorized Access to Systems or Data</v>
      </c>
      <c r="W80" s="275"/>
    </row>
    <row r="81" spans="1:23" ht="48" customHeight="1">
      <c r="A81" s="274"/>
      <c r="B81" s="446"/>
      <c r="C81" s="56">
        <v>4.5999999999999996</v>
      </c>
      <c r="D81" s="442" t="str">
        <f>VLOOKUP(C81,'Technology MASTER'!$B$3:$Q$107,5,FALSE)</f>
        <v>Where permissible, do you require multi-factor authentication and encrypted channels for all administrative account access?</v>
      </c>
      <c r="E81" s="442"/>
      <c r="F81" s="442"/>
      <c r="G81" s="442"/>
      <c r="H81" s="442"/>
      <c r="I81" s="442"/>
      <c r="J81" s="442"/>
      <c r="K81" s="442"/>
      <c r="L81" s="443"/>
      <c r="M81" s="443"/>
      <c r="N81" s="496"/>
      <c r="O81" s="497"/>
      <c r="P81" s="497"/>
      <c r="Q81" s="498"/>
      <c r="R81" s="318" t="str">
        <f>VLOOKUP(C81,'Technology MASTER'!$B$3:$Q$107,3,FALSE)</f>
        <v>Controlled Use of Administrative Privileges</v>
      </c>
      <c r="S81" s="318" t="str">
        <f>VLOOKUP(C81,'Technology MASTER'!$B$3:$Q$107,4,FALSE)</f>
        <v>Protect</v>
      </c>
      <c r="T81" s="318" t="e">
        <f>HLOOKUP($N$28,'Technology MASTER'!$G$2:$I$107,22,FALSE)</f>
        <v>#N/A</v>
      </c>
      <c r="U81" s="318" t="str">
        <f>VLOOKUP(C81,'Technology MASTER'!$B$3:$Q$107,13,FALSE)</f>
        <v>Unauthorized users are able to gain access to information systems by claiming to be an authorized user.</v>
      </c>
      <c r="V81" s="318" t="str">
        <f>VLOOKUP(C81,'Technology MASTER'!$B$3:$Q$107,16,FALSE)</f>
        <v>Unauthorized Access to Systems or Data</v>
      </c>
      <c r="W81" s="275"/>
    </row>
    <row r="82" spans="1:23" ht="48" customHeight="1">
      <c r="A82" s="274"/>
      <c r="B82" s="446"/>
      <c r="C82" s="56">
        <v>4.7</v>
      </c>
      <c r="D82" s="442" t="str">
        <f>VLOOKUP(C82,'Technology MASTER'!$B$3:$Q$107,5,FALSE)</f>
        <v>Where multi-factor authentication is not supported (such as local administrator, root, or service accounts), accounts will use passwords that are unique to that system?</v>
      </c>
      <c r="E82" s="442"/>
      <c r="F82" s="442"/>
      <c r="G82" s="442"/>
      <c r="H82" s="442"/>
      <c r="I82" s="442"/>
      <c r="J82" s="442"/>
      <c r="K82" s="442"/>
      <c r="L82" s="443"/>
      <c r="M82" s="443"/>
      <c r="N82" s="496"/>
      <c r="O82" s="497"/>
      <c r="P82" s="497"/>
      <c r="Q82" s="498"/>
      <c r="R82" s="318" t="str">
        <f>VLOOKUP(C82,'Technology MASTER'!$B$3:$Q$107,3,FALSE)</f>
        <v>Controlled Use of Administrative Privileges</v>
      </c>
      <c r="S82" s="318" t="str">
        <f>VLOOKUP(C82,'Technology MASTER'!$B$3:$Q$107,4,FALSE)</f>
        <v>Protect</v>
      </c>
      <c r="T82" s="318" t="e">
        <f>HLOOKUP($N$28,'Technology MASTER'!$G$2:$I$107,23,FALSE)</f>
        <v>#N/A</v>
      </c>
      <c r="U82" s="318" t="str">
        <f>VLOOKUP(C82,'Technology MASTER'!$B$3:$Q$107,13,FALSE)</f>
        <v>Unauthorized users log on to information systems.</v>
      </c>
      <c r="V82" s="318" t="str">
        <f>VLOOKUP(C82,'Technology MASTER'!$B$3:$Q$107,16,FALSE)</f>
        <v>Unauthorized Access to Systems or Data</v>
      </c>
      <c r="W82" s="275"/>
    </row>
    <row r="83" spans="1:23" ht="48" customHeight="1">
      <c r="A83" s="274"/>
      <c r="B83" s="447"/>
      <c r="C83" s="56">
        <v>4.8</v>
      </c>
      <c r="D83" s="442" t="str">
        <f>VLOOKUP(C83,'Technology MASTER'!$B$3:$Q$107,5,FALSE)</f>
        <v>Do you limit access to scripting tools (such as Microsoft PowerShell and Python) to only administrative or development users with the need to access those capabilities?</v>
      </c>
      <c r="E83" s="442"/>
      <c r="F83" s="442"/>
      <c r="G83" s="442"/>
      <c r="H83" s="442"/>
      <c r="I83" s="442"/>
      <c r="J83" s="442"/>
      <c r="K83" s="442"/>
      <c r="L83" s="443"/>
      <c r="M83" s="443"/>
      <c r="N83" s="496"/>
      <c r="O83" s="497"/>
      <c r="P83" s="497"/>
      <c r="Q83" s="498"/>
      <c r="R83" s="318" t="str">
        <f>VLOOKUP(C83,'Technology MASTER'!$B$3:$Q$107,3,FALSE)</f>
        <v>Controlled Use of Administrative Privileges</v>
      </c>
      <c r="S83" s="318" t="str">
        <f>VLOOKUP(C83,'Technology MASTER'!$B$3:$Q$107,4,FALSE)</f>
        <v>Protect</v>
      </c>
      <c r="T83" s="318" t="e">
        <f>HLOOKUP($N$28,'Technology MASTER'!$G$2:$I$107,24,FALSE)</f>
        <v>#N/A</v>
      </c>
      <c r="U83" s="31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318" t="str">
        <f>VLOOKUP(C83,'Technology MASTER'!$B$3:$Q$107,16,FALSE)</f>
        <v>Unauthorized Access to Systems or Data</v>
      </c>
      <c r="W83" s="275"/>
    </row>
    <row r="84" spans="1:23" ht="16">
      <c r="A84" s="274"/>
      <c r="B84" s="400"/>
      <c r="C84" s="400"/>
      <c r="D84" s="400"/>
      <c r="E84" s="400"/>
      <c r="F84" s="400"/>
      <c r="G84" s="400"/>
      <c r="H84" s="400"/>
      <c r="I84" s="400"/>
      <c r="J84" s="400"/>
      <c r="K84" s="400"/>
      <c r="L84" s="400"/>
      <c r="M84" s="400"/>
      <c r="N84" s="400"/>
      <c r="O84" s="400"/>
      <c r="P84" s="400"/>
      <c r="Q84" s="400"/>
      <c r="R84" s="256"/>
      <c r="S84" s="256"/>
      <c r="T84" s="256"/>
      <c r="U84" s="256"/>
      <c r="V84" s="256"/>
      <c r="W84" s="275"/>
    </row>
    <row r="85" spans="1:23" ht="48" customHeight="1">
      <c r="A85" s="274"/>
      <c r="B85" s="445" t="s">
        <v>63</v>
      </c>
      <c r="C85" s="56">
        <v>5.0999999999999996</v>
      </c>
      <c r="D85" s="442" t="str">
        <f>VLOOKUP(C85,'Technology MASTER'!$B$3:$Q$107,5,FALSE)</f>
        <v>Do you maintain documented security configuration standards for all authorized operating systems and software?</v>
      </c>
      <c r="E85" s="442"/>
      <c r="F85" s="442"/>
      <c r="G85" s="442"/>
      <c r="H85" s="442"/>
      <c r="I85" s="442"/>
      <c r="J85" s="442"/>
      <c r="K85" s="442"/>
      <c r="L85" s="443"/>
      <c r="M85" s="443"/>
      <c r="N85" s="496"/>
      <c r="O85" s="497"/>
      <c r="P85" s="497"/>
      <c r="Q85" s="498"/>
      <c r="R85" s="318" t="str">
        <f>VLOOKUP(C85,'Technology MASTER'!$B$3:$Q$107,3,FALSE)</f>
        <v>Secure Configurations for Hardware and Software on Mobile Devices, Laptops, Workstations, and Servers</v>
      </c>
      <c r="S85" s="318" t="str">
        <f>VLOOKUP(C85,'Technology MASTER'!$B$3:$Q$107,4,FALSE)</f>
        <v>Protect</v>
      </c>
      <c r="T85" s="318" t="e">
        <f>HLOOKUP($N$28,'Technology MASTER'!$G$2:$I$107,25,FALSE)</f>
        <v>#N/A</v>
      </c>
      <c r="U85" s="318" t="str">
        <f>VLOOKUP(C85,'Technology MASTER'!$B$3:$Q$107,13,FALSE)</f>
        <v>Configuration standards do not exist for systems being implemented.</v>
      </c>
      <c r="V85" s="318" t="str">
        <f>VLOOKUP(C85,'Technology MASTER'!$B$3:$Q$107,16,FALSE)</f>
        <v>Unauthorized Access to Systems or Data</v>
      </c>
      <c r="W85" s="275"/>
    </row>
    <row r="86" spans="1:23" ht="48" customHeight="1">
      <c r="A86" s="274"/>
      <c r="B86" s="446"/>
      <c r="C86" s="56">
        <v>5.2</v>
      </c>
      <c r="D86" s="442" t="str">
        <f>VLOOKUP(C86,'Technology MASTER'!$B$3:$Q$107,5,FALSE)</f>
        <v>Do you maintain secure images or templates for all systems in the enterprise based on the organization's approved configuration standards?</v>
      </c>
      <c r="E86" s="442"/>
      <c r="F86" s="442"/>
      <c r="G86" s="442"/>
      <c r="H86" s="442"/>
      <c r="I86" s="442"/>
      <c r="J86" s="442"/>
      <c r="K86" s="442"/>
      <c r="L86" s="443"/>
      <c r="M86" s="443"/>
      <c r="N86" s="496"/>
      <c r="O86" s="497"/>
      <c r="P86" s="497"/>
      <c r="Q86" s="498"/>
      <c r="R86" s="318" t="str">
        <f>VLOOKUP(C86,'Technology MASTER'!$B$3:$Q$107,3,FALSE)</f>
        <v>Secure Configurations for Hardware and Software on Mobile Devices, Laptops, Workstations, and Servers</v>
      </c>
      <c r="S86" s="318" t="str">
        <f>VLOOKUP(C86,'Technology MASTER'!$B$3:$Q$107,4,FALSE)</f>
        <v>Protect</v>
      </c>
      <c r="T86" s="318" t="e">
        <f>HLOOKUP($N$28,'Technology MASTER'!$G$2:$I$107,26,FALSE)</f>
        <v>#N/A</v>
      </c>
      <c r="U86" s="318" t="str">
        <f>VLOOKUP(C86,'Technology MASTER'!$B$3:$Q$107,13,FALSE)</f>
        <v>Changes to systems and applications are executed inconsistently in the production environment due to ill-defined procedures.</v>
      </c>
      <c r="V86" s="318" t="str">
        <f>VLOOKUP(C86,'Technology MASTER'!$B$3:$Q$107,16,FALSE)</f>
        <v>Unauthorized Access to Systems or Data</v>
      </c>
      <c r="W86" s="275"/>
    </row>
    <row r="87" spans="1:23" ht="48" customHeight="1">
      <c r="A87" s="274"/>
      <c r="B87" s="446"/>
      <c r="C87" s="56">
        <v>5.3</v>
      </c>
      <c r="D87" s="442" t="str">
        <f>VLOOKUP(C87,'Technology MASTER'!$B$3:$Q$107,5,FALSE)</f>
        <v>Do you store the master images and templates on securely configured servers, validated with integrity monitoring tools, to ensure that only authorized changes to the images are possible?</v>
      </c>
      <c r="E87" s="442"/>
      <c r="F87" s="442"/>
      <c r="G87" s="442"/>
      <c r="H87" s="442"/>
      <c r="I87" s="442"/>
      <c r="J87" s="442"/>
      <c r="K87" s="442"/>
      <c r="L87" s="443"/>
      <c r="M87" s="443"/>
      <c r="N87" s="496"/>
      <c r="O87" s="497"/>
      <c r="P87" s="497"/>
      <c r="Q87" s="498"/>
      <c r="R87" s="318" t="str">
        <f>VLOOKUP(C87,'Technology MASTER'!$B$3:$Q$107,3,FALSE)</f>
        <v>Secure Configurations for Hardware and Software on Mobile Devices, Laptops, Workstations, and Servers</v>
      </c>
      <c r="S87" s="318" t="str">
        <f>VLOOKUP(C87,'Technology MASTER'!$B$3:$Q$107,4,FALSE)</f>
        <v>Protect</v>
      </c>
      <c r="T87" s="318" t="e">
        <f>HLOOKUP($N$28,'Technology MASTER'!$G$2:$I$107,27,FALSE)</f>
        <v>#N/A</v>
      </c>
      <c r="U87" s="318" t="str">
        <f>VLOOKUP(C87,'Technology MASTER'!$B$3:$Q$107,13,FALSE)</f>
        <v>Changes to the production environment are not operating as expected and may disrupt the production environment.</v>
      </c>
      <c r="V87" s="318" t="str">
        <f>VLOOKUP(C87,'Technology MASTER'!$B$3:$Q$107,16,FALSE)</f>
        <v>Unauthorized Access to Systems or Data</v>
      </c>
      <c r="W87" s="275"/>
    </row>
    <row r="88" spans="1:23" ht="48" customHeight="1">
      <c r="A88" s="274"/>
      <c r="B88" s="447"/>
      <c r="C88" s="56">
        <v>5.4</v>
      </c>
      <c r="D88" s="442" t="str">
        <f>VLOOKUP(C88,'Technology MASTER'!$B$3:$Q$107,5,FALSE)</f>
        <v>Do you have a system configuration management tool or process that will detect system drift from the secure "master" image?</v>
      </c>
      <c r="E88" s="442"/>
      <c r="F88" s="442"/>
      <c r="G88" s="442"/>
      <c r="H88" s="442"/>
      <c r="I88" s="442"/>
      <c r="J88" s="442"/>
      <c r="K88" s="442"/>
      <c r="L88" s="443"/>
      <c r="M88" s="443"/>
      <c r="N88" s="496"/>
      <c r="O88" s="497"/>
      <c r="P88" s="497"/>
      <c r="Q88" s="498"/>
      <c r="R88" s="318" t="str">
        <f>VLOOKUP(C88,'Technology MASTER'!$B$3:$Q$107,3,FALSE)</f>
        <v>Secure Configurations for Hardware and Software on Mobile Devices, Laptops, Workstations, and Servers</v>
      </c>
      <c r="S88" s="318" t="str">
        <f>VLOOKUP(C88,'Technology MASTER'!$B$3:$Q$107,4,FALSE)</f>
        <v>Detect</v>
      </c>
      <c r="T88" s="318" t="e">
        <f>HLOOKUP($N$28,'Technology MASTER'!$G$2:$I$107,28,FALSE)</f>
        <v>#N/A</v>
      </c>
      <c r="U88" s="318" t="str">
        <f>VLOOKUP(C88,'Technology MASTER'!$B$3:$Q$107,13,FALSE)</f>
        <v>Changes to the production environment are not operating as expected and may disrupt the production environment.</v>
      </c>
      <c r="V88" s="318" t="str">
        <f>VLOOKUP(C88,'Technology MASTER'!$B$3:$Q$107,16,FALSE)</f>
        <v>Unauthorized Access to Systems or Data</v>
      </c>
      <c r="W88" s="275"/>
    </row>
    <row r="89" spans="1:23" ht="16">
      <c r="A89" s="274"/>
      <c r="B89" s="400"/>
      <c r="C89" s="400"/>
      <c r="D89" s="400"/>
      <c r="E89" s="400"/>
      <c r="F89" s="400"/>
      <c r="G89" s="400"/>
      <c r="H89" s="400"/>
      <c r="I89" s="400"/>
      <c r="J89" s="400"/>
      <c r="K89" s="400"/>
      <c r="L89" s="400"/>
      <c r="M89" s="400"/>
      <c r="N89" s="400"/>
      <c r="O89" s="400"/>
      <c r="P89" s="400"/>
      <c r="Q89" s="400"/>
      <c r="R89" s="256"/>
      <c r="S89" s="256"/>
      <c r="T89" s="256"/>
      <c r="U89" s="256"/>
      <c r="V89" s="256"/>
      <c r="W89" s="275"/>
    </row>
    <row r="90" spans="1:23" ht="48" customHeight="1">
      <c r="A90" s="274"/>
      <c r="B90" s="445" t="s">
        <v>73</v>
      </c>
      <c r="C90" s="56">
        <v>6.1</v>
      </c>
      <c r="D90" s="442" t="str">
        <f>VLOOKUP(C90,'Technology MASTER'!$B$3:$Q$107,5,FALSE)</f>
        <v>Is local logging enabled on all systems and networking devices?</v>
      </c>
      <c r="E90" s="442"/>
      <c r="F90" s="442"/>
      <c r="G90" s="442"/>
      <c r="H90" s="442"/>
      <c r="I90" s="442"/>
      <c r="J90" s="442"/>
      <c r="K90" s="442"/>
      <c r="L90" s="443"/>
      <c r="M90" s="443"/>
      <c r="N90" s="496"/>
      <c r="O90" s="497"/>
      <c r="P90" s="497"/>
      <c r="Q90" s="498"/>
      <c r="R90" s="318" t="str">
        <f>VLOOKUP(C90,'Technology MASTER'!$B$3:$Q$107,3,FALSE)</f>
        <v>Maintenance, Monitoring, and Analysis of Audit Logs</v>
      </c>
      <c r="S90" s="318" t="str">
        <f>VLOOKUP(C90,'Technology MASTER'!$B$3:$Q$107,4,FALSE)</f>
        <v>Detect</v>
      </c>
      <c r="T90" s="318" t="e">
        <f>HLOOKUP($N$28,'Technology MASTER'!$G$2:$I$107,29,FALSE)</f>
        <v>#N/A</v>
      </c>
      <c r="U90" s="318" t="str">
        <f>VLOOKUP(C90,'Technology MASTER'!$B$3:$Q$107,13,FALSE)</f>
        <v>System failure is not detected in a timely fashion due to inadequate fault logging and monitoring capabilities.</v>
      </c>
      <c r="V90" s="318" t="str">
        <f>VLOOKUP(C90,'Technology MASTER'!$B$3:$Q$107,16,FALSE)</f>
        <v>Cyber Attack</v>
      </c>
      <c r="W90" s="275"/>
    </row>
    <row r="91" spans="1:23" ht="48" customHeight="1">
      <c r="A91" s="274"/>
      <c r="B91" s="446"/>
      <c r="C91" s="56">
        <v>6.2</v>
      </c>
      <c r="D91" s="442" t="str">
        <f>VLOOKUP(C91,'Technology MASTER'!$B$3:$Q$107,5,FALSE)</f>
        <v>Does system logging  include detailed information such as an event source, date, user, timestamp, source addresses, destination addresses, and other useful elements?</v>
      </c>
      <c r="E91" s="442"/>
      <c r="F91" s="442"/>
      <c r="G91" s="442"/>
      <c r="H91" s="442"/>
      <c r="I91" s="442"/>
      <c r="J91" s="442"/>
      <c r="K91" s="442"/>
      <c r="L91" s="443"/>
      <c r="M91" s="443"/>
      <c r="N91" s="496"/>
      <c r="O91" s="497"/>
      <c r="P91" s="497"/>
      <c r="Q91" s="498"/>
      <c r="R91" s="318" t="str">
        <f>VLOOKUP(C91,'Technology MASTER'!$B$3:$Q$107,3,FALSE)</f>
        <v>Maintenance, Monitoring, and Analysis of Audit Logs</v>
      </c>
      <c r="S91" s="318" t="str">
        <f>VLOOKUP(C91,'Technology MASTER'!$B$3:$Q$107,4,FALSE)</f>
        <v>Detect</v>
      </c>
      <c r="T91" s="318" t="e">
        <f>HLOOKUP($N$28,'Technology MASTER'!$G$2:$I$107,30,FALSE)</f>
        <v>#N/A</v>
      </c>
      <c r="U91" s="318" t="str">
        <f>VLOOKUP(C91,'Technology MASTER'!$B$3:$Q$107,13,FALSE)</f>
        <v>Unauthorized access and activity is undetected due to incomplete log information.</v>
      </c>
      <c r="V91" s="318" t="str">
        <f>VLOOKUP(C91,'Technology MASTER'!$B$3:$Q$107,16,FALSE)</f>
        <v>Cyber Attack</v>
      </c>
      <c r="W91" s="275"/>
    </row>
    <row r="92" spans="1:23" ht="48" customHeight="1">
      <c r="A92" s="274"/>
      <c r="B92" s="446"/>
      <c r="C92" s="56">
        <v>6.3</v>
      </c>
      <c r="D92" s="442" t="str">
        <f>VLOOKUP(C92,'Technology MASTER'!$B$3:$Q$107,5,FALSE)</f>
        <v>Do all systems that store logs have adequate storage space for the logs generated?</v>
      </c>
      <c r="E92" s="442"/>
      <c r="F92" s="442"/>
      <c r="G92" s="442"/>
      <c r="H92" s="442"/>
      <c r="I92" s="442"/>
      <c r="J92" s="442"/>
      <c r="K92" s="442"/>
      <c r="L92" s="443"/>
      <c r="M92" s="443"/>
      <c r="N92" s="496"/>
      <c r="O92" s="497"/>
      <c r="P92" s="497"/>
      <c r="Q92" s="498"/>
      <c r="R92" s="318" t="str">
        <f>VLOOKUP(C92,'Technology MASTER'!$B$3:$Q$107,3,FALSE)</f>
        <v>Maintenance, Monitoring, and Analysis of Audit Logs</v>
      </c>
      <c r="S92" s="318" t="str">
        <f>VLOOKUP(C92,'Technology MASTER'!$B$3:$Q$107,4,FALSE)</f>
        <v>Detect</v>
      </c>
      <c r="T92" s="318" t="e">
        <f>HLOOKUP($N$28,'Technology MASTER'!$G$2:$I$107,31,FALSE)</f>
        <v>#N/A</v>
      </c>
      <c r="U92" s="318" t="str">
        <f>VLOOKUP(C92,'Technology MASTER'!$B$3:$Q$107,13,FALSE)</f>
        <v>Logging facilities and log information is compromised and tampered with due to inadequate data protection mechanisms.</v>
      </c>
      <c r="V92" s="318" t="str">
        <f>VLOOKUP(C92,'Technology MASTER'!$B$3:$Q$107,16,FALSE)</f>
        <v>Cyber Attack</v>
      </c>
      <c r="W92" s="275"/>
    </row>
    <row r="93" spans="1:23" ht="48" customHeight="1">
      <c r="A93" s="274"/>
      <c r="B93" s="446"/>
      <c r="C93" s="56">
        <v>6.4</v>
      </c>
      <c r="D93" s="442" t="str">
        <f>VLOOKUP(C93,'Technology MASTER'!$B$3:$Q$107,5,FALSE)</f>
        <v>Are logs are being aggregated to a central log management system for analysis and review?</v>
      </c>
      <c r="E93" s="442"/>
      <c r="F93" s="442"/>
      <c r="G93" s="442"/>
      <c r="H93" s="442"/>
      <c r="I93" s="442"/>
      <c r="J93" s="442"/>
      <c r="K93" s="442"/>
      <c r="L93" s="443"/>
      <c r="M93" s="443"/>
      <c r="N93" s="496"/>
      <c r="O93" s="497"/>
      <c r="P93" s="497"/>
      <c r="Q93" s="498"/>
      <c r="R93" s="318" t="str">
        <f>VLOOKUP(C93,'Technology MASTER'!$B$3:$Q$107,3,FALSE)</f>
        <v>Maintenance, Monitoring, and Analysis of Audit Logs</v>
      </c>
      <c r="S93" s="318" t="str">
        <f>VLOOKUP(C93,'Technology MASTER'!$B$3:$Q$107,4,FALSE)</f>
        <v>Detect</v>
      </c>
      <c r="T93" s="318" t="e">
        <f>HLOOKUP($N$28,'Technology MASTER'!$G$2:$I$107,32,FALSE)</f>
        <v>#N/A</v>
      </c>
      <c r="U93" s="318" t="str">
        <f>VLOOKUP(C93,'Technology MASTER'!$B$3:$Q$107,13,FALSE)</f>
        <v>Logging facilities and log information is compromised and tampered with due to inadequate data protection mechanisms.</v>
      </c>
      <c r="V93" s="318" t="str">
        <f>VLOOKUP(C93,'Technology MASTER'!$B$3:$Q$107,16,FALSE)</f>
        <v>Cyber Attack</v>
      </c>
      <c r="W93" s="275"/>
    </row>
    <row r="94" spans="1:23" ht="48" customHeight="1">
      <c r="A94" s="274"/>
      <c r="B94" s="447"/>
      <c r="C94" s="56">
        <v>6.5</v>
      </c>
      <c r="D94" s="442" t="str">
        <f>VLOOKUP(C94,'Technology MASTER'!$B$3:$Q$107,5,FALSE)</f>
        <v>On a regular basis, is there a review of the logs to identify anomalies or abnormal events?</v>
      </c>
      <c r="E94" s="442"/>
      <c r="F94" s="442"/>
      <c r="G94" s="442"/>
      <c r="H94" s="442"/>
      <c r="I94" s="442"/>
      <c r="J94" s="442"/>
      <c r="K94" s="442"/>
      <c r="L94" s="443"/>
      <c r="M94" s="443"/>
      <c r="N94" s="496"/>
      <c r="O94" s="497"/>
      <c r="P94" s="497"/>
      <c r="Q94" s="498"/>
      <c r="R94" s="318" t="str">
        <f>VLOOKUP(C94,'Technology MASTER'!$B$3:$Q$107,3,FALSE)</f>
        <v>Maintenance, Monitoring, and Analysis of Audit Logs</v>
      </c>
      <c r="S94" s="318" t="str">
        <f>VLOOKUP(C94,'Technology MASTER'!$B$3:$Q$107,4,FALSE)</f>
        <v>Detect</v>
      </c>
      <c r="T94" s="318" t="e">
        <f>HLOOKUP($N$28,'Technology MASTER'!$G$2:$I$107,33,FALSE)</f>
        <v>#N/A</v>
      </c>
      <c r="U94" s="318" t="str">
        <f>VLOOKUP(C94,'Technology MASTER'!$B$3:$Q$107,13,FALSE)</f>
        <v>Independent reviews of information security are not regularly performed to ensure the continuing suitability, adequacy, and effectiveness of the organization's information security program.</v>
      </c>
      <c r="V94" s="318" t="str">
        <f>VLOOKUP(C94,'Technology MASTER'!$B$3:$Q$107,16,FALSE)</f>
        <v>Cyber Attack</v>
      </c>
      <c r="W94" s="275"/>
    </row>
    <row r="95" spans="1:23" ht="16">
      <c r="A95" s="274"/>
      <c r="B95" s="400"/>
      <c r="C95" s="400"/>
      <c r="D95" s="400"/>
      <c r="E95" s="400"/>
      <c r="F95" s="400"/>
      <c r="G95" s="400"/>
      <c r="H95" s="400"/>
      <c r="I95" s="400"/>
      <c r="J95" s="400"/>
      <c r="K95" s="400"/>
      <c r="L95" s="400"/>
      <c r="M95" s="400"/>
      <c r="N95" s="400"/>
      <c r="O95" s="400"/>
      <c r="P95" s="400"/>
      <c r="Q95" s="400"/>
      <c r="R95" s="256"/>
      <c r="S95" s="256"/>
      <c r="T95" s="256"/>
      <c r="U95" s="256"/>
      <c r="V95" s="256"/>
      <c r="W95" s="275"/>
    </row>
    <row r="96" spans="1:23" ht="48" customHeight="1">
      <c r="A96" s="274"/>
      <c r="B96" s="445" t="s">
        <v>83</v>
      </c>
      <c r="C96" s="56">
        <v>7.1</v>
      </c>
      <c r="D96" s="442" t="str">
        <f>VLOOKUP(C96,'Technology MASTER'!$B$3:$Q$107,5,FALSE)</f>
        <v>Are only supported web browsers and email clients allowed to execute within the organization?</v>
      </c>
      <c r="E96" s="442"/>
      <c r="F96" s="442"/>
      <c r="G96" s="442"/>
      <c r="H96" s="442"/>
      <c r="I96" s="442"/>
      <c r="J96" s="442"/>
      <c r="K96" s="442"/>
      <c r="L96" s="443"/>
      <c r="M96" s="443"/>
      <c r="N96" s="496"/>
      <c r="O96" s="497"/>
      <c r="P96" s="497"/>
      <c r="Q96" s="498"/>
      <c r="R96" s="318" t="str">
        <f>VLOOKUP(C96,'Technology MASTER'!$B$3:$Q$107,3,FALSE)</f>
        <v>Email and Web Browser Protections</v>
      </c>
      <c r="S96" s="318" t="str">
        <f>VLOOKUP(C96,'Technology MASTER'!$B$3:$Q$107,4,FALSE)</f>
        <v>Protect</v>
      </c>
      <c r="T96" s="318" t="e">
        <f>HLOOKUP($N$28,'Technology MASTER'!$G$2:$I$107,34,FALSE)</f>
        <v>#N/A</v>
      </c>
      <c r="U96" s="318" t="str">
        <f>VLOOKUP(C96,'Technology MASTER'!$B$3:$Q$107,13,FALSE)</f>
        <v>Networks and supporting infrastructure are exposed to unauthorized parties due to lack of defined network security and administration policies, procedures and standards.</v>
      </c>
      <c r="V96" s="318" t="str">
        <f>VLOOKUP(C96,'Technology MASTER'!$B$3:$Q$107,16,FALSE)</f>
        <v>Cyber Attack</v>
      </c>
      <c r="W96" s="275"/>
    </row>
    <row r="97" spans="1:23" ht="48" customHeight="1">
      <c r="A97" s="274"/>
      <c r="B97" s="446"/>
      <c r="C97" s="56">
        <v>7.2</v>
      </c>
      <c r="D97" s="442" t="str">
        <f>VLOOKUP(C97,'Technology MASTER'!$B$3:$Q$107,5,FALSE)</f>
        <v>Does your organization uninstall or disable any unauthorized browser or email client plugins or add-on applications?</v>
      </c>
      <c r="E97" s="442"/>
      <c r="F97" s="442"/>
      <c r="G97" s="442"/>
      <c r="H97" s="442"/>
      <c r="I97" s="442"/>
      <c r="J97" s="442"/>
      <c r="K97" s="442"/>
      <c r="L97" s="443"/>
      <c r="M97" s="443"/>
      <c r="N97" s="496"/>
      <c r="O97" s="497"/>
      <c r="P97" s="497"/>
      <c r="Q97" s="498"/>
      <c r="R97" s="318" t="str">
        <f>VLOOKUP(C97,'Technology MASTER'!$B$3:$Q$107,3,FALSE)</f>
        <v>Email and Web Browser Protections</v>
      </c>
      <c r="S97" s="318" t="str">
        <f>VLOOKUP(C97,'Technology MASTER'!$B$3:$Q$107,4,FALSE)</f>
        <v>Protect</v>
      </c>
      <c r="T97" s="318" t="e">
        <f>HLOOKUP($N$28,'Technology MASTER'!$G$2:$I$107,35,FALSE)</f>
        <v>#N/A</v>
      </c>
      <c r="U97" s="318" t="str">
        <f>VLOOKUP(C97,'Technology MASTER'!$B$3:$Q$107,13,FALSE)</f>
        <v>Networks and supporting infrastructure are exposed to unauthorized parties due to lack of defined network security and administration policies, procedures and standards.</v>
      </c>
      <c r="V97" s="318" t="str">
        <f>VLOOKUP(C97,'Technology MASTER'!$B$3:$Q$107,16,FALSE)</f>
        <v>Cyber Attack</v>
      </c>
      <c r="W97" s="275"/>
    </row>
    <row r="98" spans="1:23" ht="48" customHeight="1">
      <c r="A98" s="274"/>
      <c r="B98" s="446"/>
      <c r="C98" s="56">
        <v>7.3</v>
      </c>
      <c r="D98" s="442" t="str">
        <f>VLOOKUP(C98,'Technology MASTER'!$B$3:$Q$107,5,FALSE)</f>
        <v>Do you have a network-based URL filter that limit a system's ability to connect to websites not approved by the organization?</v>
      </c>
      <c r="E98" s="442"/>
      <c r="F98" s="442"/>
      <c r="G98" s="442"/>
      <c r="H98" s="442"/>
      <c r="I98" s="442"/>
      <c r="J98" s="442"/>
      <c r="K98" s="442"/>
      <c r="L98" s="443"/>
      <c r="M98" s="443"/>
      <c r="N98" s="496"/>
      <c r="O98" s="497"/>
      <c r="P98" s="497"/>
      <c r="Q98" s="498"/>
      <c r="R98" s="318" t="str">
        <f>VLOOKUP(C98,'Technology MASTER'!$B$3:$Q$107,3,FALSE)</f>
        <v>Email and Web Browser Protections</v>
      </c>
      <c r="S98" s="318" t="str">
        <f>VLOOKUP(C98,'Technology MASTER'!$B$3:$Q$107,4,FALSE)</f>
        <v>Protect</v>
      </c>
      <c r="T98" s="318" t="e">
        <f>HLOOKUP($N$28,'Technology MASTER'!$G$2:$I$107,36,FALSE)</f>
        <v>#N/A</v>
      </c>
      <c r="U98" s="318" t="str">
        <f>VLOOKUP(C98,'Technology MASTER'!$B$3:$Q$107,13,FALSE)</f>
        <v>Laptops and mobile devices bypass the proxy server when used outside of the LAN. Ransomware may attack systems when they are out of the office LAN.</v>
      </c>
      <c r="V98" s="318" t="str">
        <f>VLOOKUP(C98,'Technology MASTER'!$B$3:$Q$107,16,FALSE)</f>
        <v>Cyber Attack</v>
      </c>
      <c r="W98" s="275"/>
    </row>
    <row r="99" spans="1:23" ht="48" customHeight="1">
      <c r="A99" s="274"/>
      <c r="B99" s="446"/>
      <c r="C99" s="56">
        <v>7.4</v>
      </c>
      <c r="D99" s="442"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42"/>
      <c r="F99" s="442"/>
      <c r="G99" s="442"/>
      <c r="H99" s="442"/>
      <c r="I99" s="442"/>
      <c r="J99" s="442"/>
      <c r="K99" s="442"/>
      <c r="L99" s="443"/>
      <c r="M99" s="443"/>
      <c r="N99" s="496"/>
      <c r="O99" s="497"/>
      <c r="P99" s="497"/>
      <c r="Q99" s="498"/>
      <c r="R99" s="318" t="str">
        <f>VLOOKUP(C99,'Technology MASTER'!$B$3:$Q$107,3,FALSE)</f>
        <v>Email and Web Browser Protections</v>
      </c>
      <c r="S99" s="318" t="str">
        <f>VLOOKUP(C99,'Technology MASTER'!$B$3:$Q$107,4,FALSE)</f>
        <v>Detect</v>
      </c>
      <c r="T99" s="318" t="e">
        <f>HLOOKUP($N$28,'Technology MASTER'!$G$2:$I$107,37,FALSE)</f>
        <v>#N/A</v>
      </c>
      <c r="U99" s="318" t="str">
        <f>VLOOKUP(C99,'Technology MASTER'!$B$3:$Q$107,13,FALSE)</f>
        <v>Unauthorized, malicious code is executed on systems without authorization.</v>
      </c>
      <c r="V99" s="318" t="str">
        <f>VLOOKUP(C99,'Technology MASTER'!$B$3:$Q$107,16,FALSE)</f>
        <v>Cyber Attack</v>
      </c>
      <c r="W99" s="275"/>
    </row>
    <row r="100" spans="1:23" ht="48" customHeight="1">
      <c r="A100" s="274"/>
      <c r="B100" s="446"/>
      <c r="C100" s="56">
        <v>7.5</v>
      </c>
      <c r="D100" s="442" t="str">
        <f>VLOOKUP(C100,'Technology MASTER'!$B$3:$Q$107,5,FALSE)</f>
        <v>Has the organization implemented Domain-based Message Authentication, Reporting and Conformance (DMARC), starting by implementing the Sender Policy Framework (SPF) and the DomainKeys Identified Mail(DKIM) standards?</v>
      </c>
      <c r="E100" s="442"/>
      <c r="F100" s="442"/>
      <c r="G100" s="442"/>
      <c r="H100" s="442"/>
      <c r="I100" s="442"/>
      <c r="J100" s="442"/>
      <c r="K100" s="442"/>
      <c r="L100" s="443"/>
      <c r="M100" s="443"/>
      <c r="N100" s="496"/>
      <c r="O100" s="497"/>
      <c r="P100" s="497"/>
      <c r="Q100" s="498"/>
      <c r="R100" s="318" t="str">
        <f>VLOOKUP(C100,'Technology MASTER'!$B$3:$Q$107,3,FALSE)</f>
        <v>Email and Web Browser Protections</v>
      </c>
      <c r="S100" s="318" t="str">
        <f>VLOOKUP(C100,'Technology MASTER'!$B$3:$Q$107,4,FALSE)</f>
        <v>Protect</v>
      </c>
      <c r="T100" s="318" t="e">
        <f>HLOOKUP($N$28,'Technology MASTER'!$G$2:$I$107,38,FALSE)</f>
        <v>#N/A</v>
      </c>
      <c r="U100" s="318" t="str">
        <f>VLOOKUP(C100,'Technology MASTER'!$B$3:$Q$107,13,FALSE)</f>
        <v>Configuration standards do not exist for systems being implemented.</v>
      </c>
      <c r="V100" s="318" t="str">
        <f>VLOOKUP(C100,'Technology MASTER'!$B$3:$Q$107,16,FALSE)</f>
        <v>Cyber Attack</v>
      </c>
      <c r="W100" s="275"/>
    </row>
    <row r="101" spans="1:23" ht="48" customHeight="1">
      <c r="A101" s="274"/>
      <c r="B101" s="447"/>
      <c r="C101" s="56">
        <v>7.6</v>
      </c>
      <c r="D101" s="442" t="str">
        <f>VLOOKUP(C101,'Technology MASTER'!$B$3:$Q$107,5,FALSE)</f>
        <v>Has the organization blocked all e-mail attachments entering the organization's e-mail gateway if the file types are unnecessary for the organization's business?</v>
      </c>
      <c r="E101" s="442"/>
      <c r="F101" s="442"/>
      <c r="G101" s="442"/>
      <c r="H101" s="442"/>
      <c r="I101" s="442"/>
      <c r="J101" s="442"/>
      <c r="K101" s="442"/>
      <c r="L101" s="443"/>
      <c r="M101" s="443"/>
      <c r="N101" s="496"/>
      <c r="O101" s="497"/>
      <c r="P101" s="497"/>
      <c r="Q101" s="498"/>
      <c r="R101" s="318" t="str">
        <f>VLOOKUP(C101,'Technology MASTER'!$B$3:$Q$107,3,FALSE)</f>
        <v>Email and Web Browser Protections</v>
      </c>
      <c r="S101" s="318" t="str">
        <f>VLOOKUP(C101,'Technology MASTER'!$B$3:$Q$107,4,FALSE)</f>
        <v>Protect</v>
      </c>
      <c r="T101" s="318" t="e">
        <f>HLOOKUP($N$28,'Technology MASTER'!$G$2:$I$107,39,FALSE)</f>
        <v>#N/A</v>
      </c>
      <c r="U101" s="318" t="str">
        <f>VLOOKUP(C101,'Technology MASTER'!$B$3:$Q$107,13,FALSE)</f>
        <v>Unauthorized, malicious code is executed on systems without authorization.</v>
      </c>
      <c r="V101" s="318" t="str">
        <f>VLOOKUP(C101,'Technology MASTER'!$B$3:$Q$107,16,FALSE)</f>
        <v>Cyber Attack</v>
      </c>
      <c r="W101" s="275"/>
    </row>
    <row r="102" spans="1:23" ht="16">
      <c r="A102" s="274"/>
      <c r="B102" s="400"/>
      <c r="C102" s="400"/>
      <c r="D102" s="400"/>
      <c r="E102" s="400"/>
      <c r="F102" s="400"/>
      <c r="G102" s="400"/>
      <c r="H102" s="400"/>
      <c r="I102" s="400"/>
      <c r="J102" s="400"/>
      <c r="K102" s="400"/>
      <c r="L102" s="400"/>
      <c r="M102" s="400"/>
      <c r="N102" s="400"/>
      <c r="O102" s="400"/>
      <c r="P102" s="400"/>
      <c r="Q102" s="400"/>
      <c r="R102" s="256"/>
      <c r="S102" s="256"/>
      <c r="T102" s="256"/>
      <c r="U102" s="256"/>
      <c r="V102" s="256"/>
      <c r="W102" s="275"/>
    </row>
    <row r="103" spans="1:23" ht="48" customHeight="1">
      <c r="A103" s="274"/>
      <c r="B103" s="445" t="s">
        <v>88</v>
      </c>
      <c r="C103" s="56">
        <v>8.1</v>
      </c>
      <c r="D103" s="442" t="str">
        <f>VLOOKUP(C103,'Technology MASTER'!$B$3:$Q$107,5,FALSE)</f>
        <v>Do you have a centrally managed anti-malware software to continously monitor and defend each of the organizations workstations and servers?</v>
      </c>
      <c r="E103" s="442"/>
      <c r="F103" s="442"/>
      <c r="G103" s="442"/>
      <c r="H103" s="442"/>
      <c r="I103" s="442"/>
      <c r="J103" s="442"/>
      <c r="K103" s="442"/>
      <c r="L103" s="443"/>
      <c r="M103" s="443"/>
      <c r="N103" s="496"/>
      <c r="O103" s="497"/>
      <c r="P103" s="497"/>
      <c r="Q103" s="498"/>
      <c r="R103" s="318" t="str">
        <f>VLOOKUP(C103,'Technology MASTER'!$B$3:$Q$107,3,FALSE)</f>
        <v>Malware Defenses</v>
      </c>
      <c r="S103" s="318" t="str">
        <f>VLOOKUP(C103,'Technology MASTER'!$B$3:$Q$107,4,FALSE)</f>
        <v>Protect</v>
      </c>
      <c r="T103" s="318" t="e">
        <f>HLOOKUP($N$28,'Technology MASTER'!$G$2:$I$107,40,FALSE)</f>
        <v>#N/A</v>
      </c>
      <c r="U103" s="318" t="str">
        <f>VLOOKUP(C103,'Technology MASTER'!$B$3:$Q$107,13,FALSE)</f>
        <v>End-users may be victims of phishing over personal email services that they can access from offices and on work computers.</v>
      </c>
      <c r="V103" s="318" t="str">
        <f>VLOOKUP(C103,'Technology MASTER'!$B$3:$Q$107,16,FALSE)</f>
        <v>Cyber Attack</v>
      </c>
      <c r="W103" s="275"/>
    </row>
    <row r="104" spans="1:23" ht="48" customHeight="1">
      <c r="A104" s="274"/>
      <c r="B104" s="446"/>
      <c r="C104" s="56">
        <v>8.1999999999999993</v>
      </c>
      <c r="D104" s="442" t="str">
        <f>VLOOKUP(C104,'Technology MASTER'!$B$3:$Q$107,5,FALSE)</f>
        <v>Does the anti-malware software updates its scanning engine and signature database on a regular basis?</v>
      </c>
      <c r="E104" s="442"/>
      <c r="F104" s="442"/>
      <c r="G104" s="442"/>
      <c r="H104" s="442"/>
      <c r="I104" s="442"/>
      <c r="J104" s="442"/>
      <c r="K104" s="442"/>
      <c r="L104" s="443"/>
      <c r="M104" s="443"/>
      <c r="N104" s="496"/>
      <c r="O104" s="497"/>
      <c r="P104" s="497"/>
      <c r="Q104" s="498"/>
      <c r="R104" s="318" t="str">
        <f>VLOOKUP(C104,'Technology MASTER'!$B$3:$Q$107,3,FALSE)</f>
        <v>Malware Defenses</v>
      </c>
      <c r="S104" s="318" t="str">
        <f>VLOOKUP(C104,'Technology MASTER'!$B$3:$Q$107,4,FALSE)</f>
        <v>Protect</v>
      </c>
      <c r="T104" s="318" t="e">
        <f>HLOOKUP($N$28,'Technology MASTER'!$G$2:$I$107,41,FALSE)</f>
        <v>#N/A</v>
      </c>
      <c r="U104" s="318" t="str">
        <f>VLOOKUP(C104,'Technology MASTER'!$B$3:$Q$107,13,FALSE)</f>
        <v>The lack of processes for system maintenance and support may result in compromise of system security due to latest updates not being made to systems in a timely manner.</v>
      </c>
      <c r="V104" s="318" t="str">
        <f>VLOOKUP(C104,'Technology MASTER'!$B$3:$Q$107,16,FALSE)</f>
        <v>Cyber Attack</v>
      </c>
      <c r="W104" s="275"/>
    </row>
    <row r="105" spans="1:23" ht="48" customHeight="1">
      <c r="A105" s="274"/>
      <c r="B105" s="446"/>
      <c r="C105" s="56">
        <v>8.3000000000000007</v>
      </c>
      <c r="D105" s="442" t="str">
        <f>VLOOKUP(C105,'Technology MASTER'!$B$3:$Q$107,5,FALSE)</f>
        <v>Are devices configured to automatically conduct anti-malware scan of removable media when inserted or connected?</v>
      </c>
      <c r="E105" s="442"/>
      <c r="F105" s="442"/>
      <c r="G105" s="442"/>
      <c r="H105" s="442"/>
      <c r="I105" s="442"/>
      <c r="J105" s="442"/>
      <c r="K105" s="442"/>
      <c r="L105" s="443"/>
      <c r="M105" s="443"/>
      <c r="N105" s="496"/>
      <c r="O105" s="497"/>
      <c r="P105" s="497"/>
      <c r="Q105" s="498"/>
      <c r="R105" s="318" t="str">
        <f>VLOOKUP(C105,'Technology MASTER'!$B$3:$Q$107,3,FALSE)</f>
        <v>Malware Defenses</v>
      </c>
      <c r="S105" s="318" t="str">
        <f>VLOOKUP(C105,'Technology MASTER'!$B$3:$Q$107,4,FALSE)</f>
        <v>Detect</v>
      </c>
      <c r="T105" s="318" t="e">
        <f>HLOOKUP($N$28,'Technology MASTER'!$G$2:$I$107,42,FALSE)</f>
        <v>#N/A</v>
      </c>
      <c r="U105" s="318" t="str">
        <f>VLOOKUP(C105,'Technology MASTER'!$B$3:$Q$107,13,FALSE)</f>
        <v>Information systems are compromised due to the lack of protection from environmental threats and hazards.</v>
      </c>
      <c r="V105" s="318" t="str">
        <f>VLOOKUP(C105,'Technology MASTER'!$B$3:$Q$107,16,FALSE)</f>
        <v>Cyber Attack</v>
      </c>
      <c r="W105" s="275"/>
    </row>
    <row r="106" spans="1:23" ht="48" customHeight="1">
      <c r="A106" s="274"/>
      <c r="B106" s="447"/>
      <c r="C106" s="56">
        <v>8.4</v>
      </c>
      <c r="D106" s="442" t="str">
        <f>VLOOKUP(C106,'Technology MASTER'!$B$3:$Q$107,5,FALSE)</f>
        <v>Is the Auto-Run feature disabled for all portable media (USB, CD/DVD’s, etc.) on systems?</v>
      </c>
      <c r="E106" s="442"/>
      <c r="F106" s="442"/>
      <c r="G106" s="442"/>
      <c r="H106" s="442"/>
      <c r="I106" s="442"/>
      <c r="J106" s="442"/>
      <c r="K106" s="442"/>
      <c r="L106" s="443"/>
      <c r="M106" s="443"/>
      <c r="N106" s="496"/>
      <c r="O106" s="497"/>
      <c r="P106" s="497"/>
      <c r="Q106" s="498"/>
      <c r="R106" s="318" t="str">
        <f>VLOOKUP(C106,'Technology MASTER'!$B$3:$Q$107,3,FALSE)</f>
        <v>Malware Defenses</v>
      </c>
      <c r="S106" s="318" t="str">
        <f>VLOOKUP(C106,'Technology MASTER'!$B$3:$Q$107,4,FALSE)</f>
        <v>Protect</v>
      </c>
      <c r="T106" s="318" t="e">
        <f>HLOOKUP($N$28,'Technology MASTER'!$G$2:$I$107,43,FALSE)</f>
        <v>#N/A</v>
      </c>
      <c r="U106" s="318" t="str">
        <f>VLOOKUP(C106,'Technology MASTER'!$B$3:$Q$107,13,FALSE)</f>
        <v>Unauthorized, malicious code is executed on systems without authorization.</v>
      </c>
      <c r="V106" s="318" t="str">
        <f>VLOOKUP(C106,'Technology MASTER'!$B$3:$Q$107,16,FALSE)</f>
        <v>Cyber Attack</v>
      </c>
      <c r="W106" s="275"/>
    </row>
    <row r="107" spans="1:23" ht="16">
      <c r="A107" s="274"/>
      <c r="B107" s="400"/>
      <c r="C107" s="400"/>
      <c r="D107" s="400"/>
      <c r="E107" s="400"/>
      <c r="F107" s="400"/>
      <c r="G107" s="400"/>
      <c r="H107" s="400"/>
      <c r="I107" s="400"/>
      <c r="J107" s="400"/>
      <c r="K107" s="400"/>
      <c r="L107" s="400"/>
      <c r="M107" s="400"/>
      <c r="N107" s="400"/>
      <c r="O107" s="400"/>
      <c r="P107" s="400"/>
      <c r="Q107" s="400"/>
      <c r="R107" s="256"/>
      <c r="S107" s="256"/>
      <c r="T107" s="256"/>
      <c r="U107" s="256"/>
      <c r="V107" s="256"/>
      <c r="W107" s="275"/>
    </row>
    <row r="108" spans="1:23" ht="48" customHeight="1">
      <c r="A108" s="274"/>
      <c r="B108" s="445" t="s">
        <v>99</v>
      </c>
      <c r="C108" s="56">
        <v>9.1</v>
      </c>
      <c r="D108" s="442" t="str">
        <f>VLOOKUP(C108,'Technology MASTER'!$B$3:$Q$107,5,FALSE)</f>
        <v>Do you have host based firewalls or port filtering tools on end systems, with a default rule that drops all traffic except those services and ports that are explicitly allowed?</v>
      </c>
      <c r="E108" s="442"/>
      <c r="F108" s="442"/>
      <c r="G108" s="442"/>
      <c r="H108" s="442"/>
      <c r="I108" s="442"/>
      <c r="J108" s="442"/>
      <c r="K108" s="442"/>
      <c r="L108" s="443"/>
      <c r="M108" s="443"/>
      <c r="N108" s="496"/>
      <c r="O108" s="497"/>
      <c r="P108" s="497"/>
      <c r="Q108" s="498"/>
      <c r="R108" s="318" t="str">
        <f>VLOOKUP(C108,'Technology MASTER'!$B$3:$Q$107,3,FALSE)</f>
        <v>Limitation and Control of Network Ports, Protocols, and Services</v>
      </c>
      <c r="S108" s="318" t="str">
        <f>VLOOKUP(C108,'Technology MASTER'!$B$3:$Q$107,4,FALSE)</f>
        <v>Protect</v>
      </c>
      <c r="T108" s="318" t="e">
        <f>HLOOKUP($N$28,'Technology MASTER'!$G$2:$I$107,44,FALSE)</f>
        <v>#N/A</v>
      </c>
      <c r="U108" s="318" t="str">
        <f>VLOOKUP(C108,'Technology MASTER'!$B$3:$Q$107,13,FALSE)</f>
        <v>Inadequately managed and controlled networks and supporting infrastructure expose systems and applications.</v>
      </c>
      <c r="V108" s="318" t="str">
        <f>VLOOKUP(C108,'Technology MASTER'!$B$3:$Q$107,16,FALSE)</f>
        <v>Cyber Attack</v>
      </c>
      <c r="W108" s="275"/>
    </row>
    <row r="109" spans="1:23" ht="48" customHeight="1">
      <c r="A109" s="274"/>
      <c r="B109" s="446"/>
      <c r="C109" s="56">
        <v>9.1999999999999993</v>
      </c>
      <c r="D109" s="442" t="str">
        <f>VLOOKUP(C109,'Technology MASTER'!$B$3:$Q$107,5,FALSE)</f>
        <v>Do you ensure that network ports, protocols and services with only a validate business are running on each system?</v>
      </c>
      <c r="E109" s="442"/>
      <c r="F109" s="442"/>
      <c r="G109" s="442"/>
      <c r="H109" s="442"/>
      <c r="I109" s="442"/>
      <c r="J109" s="442"/>
      <c r="K109" s="442"/>
      <c r="L109" s="443"/>
      <c r="M109" s="443"/>
      <c r="N109" s="496"/>
      <c r="O109" s="497"/>
      <c r="P109" s="497"/>
      <c r="Q109" s="498"/>
      <c r="R109" s="318" t="str">
        <f>VLOOKUP(C109,'Technology MASTER'!$B$3:$Q$107,3,FALSE)</f>
        <v>Limitation and Control of Network Ports, Protocols, and Services</v>
      </c>
      <c r="S109" s="318" t="str">
        <f>VLOOKUP(C109,'Technology MASTER'!$B$3:$Q$107,4,FALSE)</f>
        <v>Protect</v>
      </c>
      <c r="T109" s="318" t="e">
        <f>HLOOKUP($N$28,'Technology MASTER'!$G$2:$I$107,45,FALSE)</f>
        <v>#N/A</v>
      </c>
      <c r="U109" s="318" t="str">
        <f>VLOOKUP(C109,'Technology MASTER'!$B$3:$Q$107,13,FALSE)</f>
        <v>Configuration standards do not exist for systems being implemented.</v>
      </c>
      <c r="V109" s="318" t="str">
        <f>VLOOKUP(C109,'Technology MASTER'!$B$3:$Q$107,16,FALSE)</f>
        <v>Cyber Attack</v>
      </c>
      <c r="W109" s="275"/>
    </row>
    <row r="110" spans="1:23" ht="48" customHeight="1">
      <c r="A110" s="274"/>
      <c r="B110" s="446"/>
      <c r="C110" s="56">
        <v>9.3000000000000007</v>
      </c>
      <c r="D110" s="442" t="str">
        <f>VLOOKUP(C110,'Technology MASTER'!$B$3:$Q$107,5,FALSE)</f>
        <v>Do you perform automated port scan on a regular basis against all systems and alert if unauthorized ports are detected?</v>
      </c>
      <c r="E110" s="442"/>
      <c r="F110" s="442"/>
      <c r="G110" s="442"/>
      <c r="H110" s="442"/>
      <c r="I110" s="442"/>
      <c r="J110" s="442"/>
      <c r="K110" s="442"/>
      <c r="L110" s="443"/>
      <c r="M110" s="443"/>
      <c r="N110" s="496"/>
      <c r="O110" s="497"/>
      <c r="P110" s="497"/>
      <c r="Q110" s="498"/>
      <c r="R110" s="318" t="str">
        <f>VLOOKUP(C110,'Technology MASTER'!$B$3:$Q$107,3,FALSE)</f>
        <v>Limitation and Control of Network Ports, Protocols, and Services</v>
      </c>
      <c r="S110" s="318" t="str">
        <f>VLOOKUP(C110,'Technology MASTER'!$B$3:$Q$107,4,FALSE)</f>
        <v>Detect</v>
      </c>
      <c r="T110" s="318" t="e">
        <f>HLOOKUP($N$28,'Technology MASTER'!$G$2:$I$107,46,FALSE)</f>
        <v>#N/A</v>
      </c>
      <c r="U110" s="318" t="str">
        <f>VLOOKUP(C110,'Technology MASTER'!$B$3:$Q$107,13,FALSE)</f>
        <v>Independent reviews of information security are not regularly performed to ensure the continuing suitability, adequacy, and effectiveness of the organization's information security program.</v>
      </c>
      <c r="V110" s="318" t="str">
        <f>VLOOKUP(C110,'Technology MASTER'!$B$3:$Q$107,16,FALSE)</f>
        <v>Cyber Attack</v>
      </c>
      <c r="W110" s="275"/>
    </row>
    <row r="111" spans="1:23" ht="48" customHeight="1">
      <c r="A111" s="274"/>
      <c r="B111" s="447"/>
      <c r="C111" s="56">
        <v>9.4</v>
      </c>
      <c r="D111" s="442" t="str">
        <f>VLOOKUP(C111,'Technology MASTER'!$B$3:$Q$107,5,FALSE)</f>
        <v>Are application firewalls in front of any critical web/application server/s to verify and validate the traffic going to the intended system?</v>
      </c>
      <c r="E111" s="442"/>
      <c r="F111" s="442"/>
      <c r="G111" s="442"/>
      <c r="H111" s="442"/>
      <c r="I111" s="442"/>
      <c r="J111" s="442"/>
      <c r="K111" s="442"/>
      <c r="L111" s="443"/>
      <c r="M111" s="443"/>
      <c r="N111" s="496"/>
      <c r="O111" s="497"/>
      <c r="P111" s="497"/>
      <c r="Q111" s="498"/>
      <c r="R111" s="318" t="str">
        <f>VLOOKUP(C111,'Technology MASTER'!$B$3:$Q$107,3,FALSE)</f>
        <v>Limitation and Control of Network Ports, Protocols, and Services</v>
      </c>
      <c r="S111" s="318" t="str">
        <f>VLOOKUP(C111,'Technology MASTER'!$B$3:$Q$107,4,FALSE)</f>
        <v>Protect</v>
      </c>
      <c r="T111" s="318" t="e">
        <f>HLOOKUP($N$28,'Technology MASTER'!$G$2:$I$107,47,FALSE)</f>
        <v>#N/A</v>
      </c>
      <c r="U111" s="318" t="str">
        <f>VLOOKUP(C111,'Technology MASTER'!$B$3:$Q$107,13,FALSE)</f>
        <v>Unauthenticated and/or unauthorized users access networks by exploiting vulnerabilities in external connections.</v>
      </c>
      <c r="V111" s="318" t="str">
        <f>VLOOKUP(C111,'Technology MASTER'!$B$3:$Q$107,16,FALSE)</f>
        <v>Cyber Attack</v>
      </c>
      <c r="W111" s="275"/>
    </row>
    <row r="112" spans="1:23" ht="16">
      <c r="A112" s="274"/>
      <c r="B112" s="400"/>
      <c r="C112" s="400"/>
      <c r="D112" s="400"/>
      <c r="E112" s="400"/>
      <c r="F112" s="400"/>
      <c r="G112" s="400"/>
      <c r="H112" s="400"/>
      <c r="I112" s="400"/>
      <c r="J112" s="400"/>
      <c r="K112" s="400"/>
      <c r="L112" s="400"/>
      <c r="M112" s="400"/>
      <c r="N112" s="400"/>
      <c r="O112" s="400"/>
      <c r="P112" s="400"/>
      <c r="Q112" s="400"/>
      <c r="R112" s="256"/>
      <c r="S112" s="256"/>
      <c r="T112" s="256"/>
      <c r="U112" s="256"/>
      <c r="V112" s="256"/>
      <c r="W112" s="275"/>
    </row>
    <row r="113" spans="1:23" ht="48" customHeight="1">
      <c r="A113" s="274"/>
      <c r="B113" s="445" t="s">
        <v>106</v>
      </c>
      <c r="C113" s="56">
        <v>10.1</v>
      </c>
      <c r="D113" s="442" t="str">
        <f>VLOOKUP(C113,'Technology MASTER'!$B$3:$Q$107,5,FALSE)</f>
        <v>Do you ensure that all system data is automatically backed up on a regularly basis?</v>
      </c>
      <c r="E113" s="442"/>
      <c r="F113" s="442"/>
      <c r="G113" s="442"/>
      <c r="H113" s="442"/>
      <c r="I113" s="442"/>
      <c r="J113" s="442"/>
      <c r="K113" s="442"/>
      <c r="L113" s="443"/>
      <c r="M113" s="443"/>
      <c r="N113" s="496"/>
      <c r="O113" s="497"/>
      <c r="P113" s="497"/>
      <c r="Q113" s="498"/>
      <c r="R113" s="318" t="str">
        <f>VLOOKUP(C113,'Technology MASTER'!$B$3:$Q$107,3,FALSE)</f>
        <v>Data Recovery Capabilities</v>
      </c>
      <c r="S113" s="318" t="str">
        <f>VLOOKUP(C113,'Technology MASTER'!$B$3:$Q$107,4,FALSE)</f>
        <v>Protect</v>
      </c>
      <c r="T113" s="318" t="e">
        <f>HLOOKUP($N$28,'Technology MASTER'!$G$2:$I$107,48,FALSE)</f>
        <v>#N/A</v>
      </c>
      <c r="U113" s="318" t="str">
        <f>VLOOKUP(C113,'Technology MASTER'!$B$3:$Q$107,13,FALSE)</f>
        <v>Data is not recoverable due to inadequate or undefined backup and restoration procedures.</v>
      </c>
      <c r="V113" s="318" t="str">
        <f>VLOOKUP(C113,'Technology MASTER'!$B$3:$Q$107,16,FALSE)</f>
        <v>System Failure</v>
      </c>
      <c r="W113" s="275"/>
    </row>
    <row r="114" spans="1:23" ht="48" customHeight="1">
      <c r="A114" s="274"/>
      <c r="B114" s="446"/>
      <c r="C114" s="56">
        <v>10.199999999999999</v>
      </c>
      <c r="D114" s="442" t="str">
        <f>VLOOKUP(C114,'Technology MASTER'!$B$3:$Q$107,5,FALSE)</f>
        <v>Are all of the organization's key systems backed up as a complete system, through processes such as imaging, to enable the quick recovery of an entire system?</v>
      </c>
      <c r="E114" s="442"/>
      <c r="F114" s="442"/>
      <c r="G114" s="442"/>
      <c r="H114" s="442"/>
      <c r="I114" s="442"/>
      <c r="J114" s="442"/>
      <c r="K114" s="442"/>
      <c r="L114" s="443"/>
      <c r="M114" s="443"/>
      <c r="N114" s="496"/>
      <c r="O114" s="497"/>
      <c r="P114" s="497"/>
      <c r="Q114" s="498"/>
      <c r="R114" s="318" t="str">
        <f>VLOOKUP(C114,'Technology MASTER'!$B$3:$Q$107,3,FALSE)</f>
        <v>Data Recovery Capabilities</v>
      </c>
      <c r="S114" s="318" t="str">
        <f>VLOOKUP(C114,'Technology MASTER'!$B$3:$Q$107,4,FALSE)</f>
        <v>Protect</v>
      </c>
      <c r="T114" s="318" t="e">
        <f>HLOOKUP($N$28,'Technology MASTER'!$G$2:$I$107,49,FALSE)</f>
        <v>#N/A</v>
      </c>
      <c r="U114" s="318" t="str">
        <f>VLOOKUP(C114,'Technology MASTER'!$B$3:$Q$107,13,FALSE)</f>
        <v>Data is not recoverable due to inadequate or undefined backup and restoration procedures.</v>
      </c>
      <c r="V114" s="318" t="str">
        <f>VLOOKUP(C114,'Technology MASTER'!$B$3:$Q$107,16,FALSE)</f>
        <v>System Failure</v>
      </c>
      <c r="W114" s="275"/>
    </row>
    <row r="115" spans="1:23" ht="48" customHeight="1">
      <c r="A115" s="274"/>
      <c r="B115" s="446"/>
      <c r="C115" s="56">
        <v>10.3</v>
      </c>
      <c r="D115" s="442" t="str">
        <f>VLOOKUP(C115,'Technology MASTER'!$B$3:$Q$107,5,FALSE)</f>
        <v>Are backups properly protected via physical security or encryption when they are stored, as well as when they are moved across the network?</v>
      </c>
      <c r="E115" s="442"/>
      <c r="F115" s="442"/>
      <c r="G115" s="442"/>
      <c r="H115" s="442"/>
      <c r="I115" s="442"/>
      <c r="J115" s="442"/>
      <c r="K115" s="442"/>
      <c r="L115" s="443"/>
      <c r="M115" s="443"/>
      <c r="N115" s="496"/>
      <c r="O115" s="497"/>
      <c r="P115" s="497"/>
      <c r="Q115" s="498"/>
      <c r="R115" s="318" t="str">
        <f>VLOOKUP(C115,'Technology MASTER'!$B$3:$Q$107,3,FALSE)</f>
        <v>Data Recovery Capabilities</v>
      </c>
      <c r="S115" s="318" t="str">
        <f>VLOOKUP(C115,'Technology MASTER'!$B$3:$Q$107,4,FALSE)</f>
        <v>Protect</v>
      </c>
      <c r="T115" s="318" t="e">
        <f>HLOOKUP($N$28,'Technology MASTER'!$G$2:$I$107,50,FALSE)</f>
        <v>#N/A</v>
      </c>
      <c r="U115" s="318" t="str">
        <f>VLOOKUP(C115,'Technology MASTER'!$B$3:$Q$107,13,FALSE)</f>
        <v>Sensitive data may be exposed to unauthorized disclosure or modification while in storage.</v>
      </c>
      <c r="V115" s="318" t="str">
        <f>VLOOKUP(C115,'Technology MASTER'!$B$3:$Q$107,16,FALSE)</f>
        <v>System Failure</v>
      </c>
      <c r="W115" s="275"/>
    </row>
    <row r="116" spans="1:23" ht="48" customHeight="1">
      <c r="A116" s="274"/>
      <c r="B116" s="446"/>
      <c r="C116" s="56">
        <v>10.4</v>
      </c>
      <c r="D116" s="442" t="str">
        <f>VLOOKUP(C116,'Technology MASTER'!$B$3:$Q$107,5,FALSE)</f>
        <v>Are data integrity tests completed on backup media on a regular basis by performing a data restoration process to ensure that the backup is properly working?</v>
      </c>
      <c r="E116" s="442"/>
      <c r="F116" s="442"/>
      <c r="G116" s="442"/>
      <c r="H116" s="442"/>
      <c r="I116" s="442"/>
      <c r="J116" s="442"/>
      <c r="K116" s="442"/>
      <c r="L116" s="443"/>
      <c r="M116" s="443"/>
      <c r="N116" s="496"/>
      <c r="O116" s="497"/>
      <c r="P116" s="497"/>
      <c r="Q116" s="498"/>
      <c r="R116" s="318" t="str">
        <f>VLOOKUP(C116,'Technology MASTER'!$B$3:$Q$107,3,FALSE)</f>
        <v>Data Recovery Capabilities</v>
      </c>
      <c r="S116" s="318" t="str">
        <f>VLOOKUP(C116,'Technology MASTER'!$B$3:$Q$107,4,FALSE)</f>
        <v>Protect</v>
      </c>
      <c r="T116" s="318" t="e">
        <f>HLOOKUP($N$28,'Technology MASTER'!$G$2:$I$107,51,FALSE)</f>
        <v>#N/A</v>
      </c>
      <c r="U116" s="318" t="str">
        <f>VLOOKUP(C116,'Technology MASTER'!$B$3:$Q$107,13,FALSE)</f>
        <v>Disaster recovery plans fail because they were not tested, maintained or re-assessed.</v>
      </c>
      <c r="V116" s="318" t="str">
        <f>VLOOKUP(C116,'Technology MASTER'!$B$3:$Q$107,16,FALSE)</f>
        <v>System Failure</v>
      </c>
      <c r="W116" s="275"/>
    </row>
    <row r="117" spans="1:23" ht="48" customHeight="1">
      <c r="A117" s="274"/>
      <c r="B117" s="447"/>
      <c r="C117" s="56">
        <v>10.5</v>
      </c>
      <c r="D117" s="442" t="str">
        <f>VLOOKUP(C117,'Technology MASTER'!$B$3:$Q$107,5,FALSE)</f>
        <v>Do you ensure that all backups have at least one offline (i.e. not accessible via a network connection) backup destination?</v>
      </c>
      <c r="E117" s="442"/>
      <c r="F117" s="442"/>
      <c r="G117" s="442"/>
      <c r="H117" s="442"/>
      <c r="I117" s="442"/>
      <c r="J117" s="442"/>
      <c r="K117" s="442"/>
      <c r="L117" s="443"/>
      <c r="M117" s="443"/>
      <c r="N117" s="496"/>
      <c r="O117" s="497"/>
      <c r="P117" s="497"/>
      <c r="Q117" s="498"/>
      <c r="R117" s="318" t="str">
        <f>VLOOKUP(C117,'Technology MASTER'!$B$3:$Q$107,3,FALSE)</f>
        <v>Data Recovery Capabilities</v>
      </c>
      <c r="S117" s="318" t="str">
        <f>VLOOKUP(C117,'Technology MASTER'!$B$3:$Q$107,4,FALSE)</f>
        <v>Protect</v>
      </c>
      <c r="T117" s="318" t="e">
        <f>HLOOKUP($N$28,'Technology MASTER'!$G$2:$I$107,52,FALSE)</f>
        <v>#N/A</v>
      </c>
      <c r="U117" s="318" t="str">
        <f>VLOOKUP(C117,'Technology MASTER'!$B$3:$Q$107,13,FALSE)</f>
        <v>Data is not recoverable due to inadequate or undefined backup and restoration procedures.</v>
      </c>
      <c r="V117" s="318" t="str">
        <f>VLOOKUP(C117,'Technology MASTER'!$B$3:$Q$107,16,FALSE)</f>
        <v>System Failure</v>
      </c>
      <c r="W117" s="275"/>
    </row>
    <row r="118" spans="1:23" ht="16">
      <c r="A118" s="274"/>
      <c r="B118" s="400"/>
      <c r="C118" s="400"/>
      <c r="D118" s="400"/>
      <c r="E118" s="400"/>
      <c r="F118" s="400"/>
      <c r="G118" s="400"/>
      <c r="H118" s="400"/>
      <c r="I118" s="400"/>
      <c r="J118" s="400"/>
      <c r="K118" s="400"/>
      <c r="L118" s="400"/>
      <c r="M118" s="400"/>
      <c r="N118" s="400"/>
      <c r="O118" s="400"/>
      <c r="P118" s="400"/>
      <c r="Q118" s="400"/>
      <c r="R118" s="256"/>
      <c r="S118" s="256"/>
      <c r="T118" s="256"/>
      <c r="U118" s="256"/>
      <c r="V118" s="256"/>
      <c r="W118" s="275"/>
    </row>
    <row r="119" spans="1:23" ht="48" customHeight="1">
      <c r="A119" s="274"/>
      <c r="B119" s="445" t="s">
        <v>114</v>
      </c>
      <c r="C119" s="56">
        <v>11.1</v>
      </c>
      <c r="D119" s="442" t="str">
        <f>VLOOKUP(C119,'Technology MASTER'!$B$3:$Q$107,5,FALSE)</f>
        <v>Do you maintain documented security configuration standards for all authorized network devices?</v>
      </c>
      <c r="E119" s="442"/>
      <c r="F119" s="442"/>
      <c r="G119" s="442"/>
      <c r="H119" s="442"/>
      <c r="I119" s="442"/>
      <c r="J119" s="442"/>
      <c r="K119" s="442"/>
      <c r="L119" s="443"/>
      <c r="M119" s="443"/>
      <c r="N119" s="496"/>
      <c r="O119" s="497"/>
      <c r="P119" s="497"/>
      <c r="Q119" s="498"/>
      <c r="R119" s="318" t="str">
        <f>VLOOKUP(C119,'Technology MASTER'!$B$3:$Q$107,3,FALSE)</f>
        <v>Secure Configurations for Network Devices such as Firewalls, Routers, and Switches</v>
      </c>
      <c r="S119" s="318" t="str">
        <f>VLOOKUP(C119,'Technology MASTER'!$B$3:$Q$107,4,FALSE)</f>
        <v>Identify</v>
      </c>
      <c r="T119" s="318" t="e">
        <f>HLOOKUP($N$28,'Technology MASTER'!$G$2:$I$107,53,FALSE)</f>
        <v>#N/A</v>
      </c>
      <c r="U119" s="318" t="str">
        <f>VLOOKUP(C119,'Technology MASTER'!$B$3:$Q$107,13,FALSE)</f>
        <v>Configuration standards do not exist for systems being implemented.</v>
      </c>
      <c r="V119" s="318" t="str">
        <f>VLOOKUP(C119,'Technology MASTER'!$B$3:$Q$107,16,FALSE)</f>
        <v>Unauthorized Access to Systems or Data</v>
      </c>
      <c r="W119" s="275"/>
    </row>
    <row r="120" spans="1:23" ht="48" customHeight="1">
      <c r="A120" s="274"/>
      <c r="B120" s="446"/>
      <c r="C120" s="56">
        <v>11.2</v>
      </c>
      <c r="D120" s="442" t="str">
        <f>VLOOKUP(C120,'Technology MASTER'!$B$3:$Q$107,5,FALSE)</f>
        <v>Compare all network device configurations against approved security configurations defined for each network device in use, and alert when any deviations are discovered?</v>
      </c>
      <c r="E120" s="442"/>
      <c r="F120" s="442"/>
      <c r="G120" s="442"/>
      <c r="H120" s="442"/>
      <c r="I120" s="442"/>
      <c r="J120" s="442"/>
      <c r="K120" s="442"/>
      <c r="L120" s="443"/>
      <c r="M120" s="443"/>
      <c r="N120" s="496"/>
      <c r="O120" s="497"/>
      <c r="P120" s="497"/>
      <c r="Q120" s="498"/>
      <c r="R120" s="318" t="str">
        <f>VLOOKUP(C120,'Technology MASTER'!$B$3:$Q$107,3,FALSE)</f>
        <v>Secure Configurations for Network Devices such as Firewalls, Routers, and Switches</v>
      </c>
      <c r="S120" s="318" t="str">
        <f>VLOOKUP(C120,'Technology MASTER'!$B$3:$Q$107,4,FALSE)</f>
        <v>Detect</v>
      </c>
      <c r="T120" s="318" t="e">
        <f>HLOOKUP($N$28,'Technology MASTER'!$G$2:$I$107,54,FALSE)</f>
        <v>#N/A</v>
      </c>
      <c r="U120" s="318" t="str">
        <f>VLOOKUP(C120,'Technology MASTER'!$B$3:$Q$107,13,FALSE)</f>
        <v>Technical vulnerabilities are exploited to gain inappropriate or unauthorized access to information systems due to lack of controls for those vulnerabilities.</v>
      </c>
      <c r="V120" s="318" t="str">
        <f>VLOOKUP(C120,'Technology MASTER'!$B$3:$Q$107,16,FALSE)</f>
        <v>Unauthorized Access to Systems or Data</v>
      </c>
      <c r="W120" s="275"/>
    </row>
    <row r="121" spans="1:23" ht="48" customHeight="1">
      <c r="A121" s="274"/>
      <c r="B121" s="446"/>
      <c r="C121" s="56">
        <v>11.3</v>
      </c>
      <c r="D121" s="442" t="str">
        <f>VLOOKUP(C121,'Technology MASTER'!$B$3:$Q$107,5,FALSE)</f>
        <v>Do you install the latest stable version of any security-related updates on all supported network devices?</v>
      </c>
      <c r="E121" s="442"/>
      <c r="F121" s="442"/>
      <c r="G121" s="442"/>
      <c r="H121" s="442"/>
      <c r="I121" s="442"/>
      <c r="J121" s="442"/>
      <c r="K121" s="442"/>
      <c r="L121" s="443"/>
      <c r="M121" s="443"/>
      <c r="N121" s="496"/>
      <c r="O121" s="497"/>
      <c r="P121" s="497"/>
      <c r="Q121" s="498"/>
      <c r="R121" s="318" t="str">
        <f>VLOOKUP(C121,'Technology MASTER'!$B$3:$Q$107,3,FALSE)</f>
        <v>Secure Configurations for Network Devices such as Firewalls, Routers, and Switches</v>
      </c>
      <c r="S121" s="318" t="str">
        <f>VLOOKUP(C121,'Technology MASTER'!$B$3:$Q$107,4,FALSE)</f>
        <v>Protect</v>
      </c>
      <c r="T121" s="318" t="e">
        <f>HLOOKUP($N$28,'Technology MASTER'!$G$2:$I$107,55,FALSE)</f>
        <v>#N/A</v>
      </c>
      <c r="U121" s="318" t="str">
        <f>VLOOKUP(C121,'Technology MASTER'!$B$3:$Q$107,13,FALSE)</f>
        <v>Unauthenticated and/or unauthorized users access networks by exploiting vulnerabilities in external connections.</v>
      </c>
      <c r="V121" s="318" t="str">
        <f>VLOOKUP(C121,'Technology MASTER'!$B$3:$Q$107,16,FALSE)</f>
        <v>Unauthorized Access to Systems or Data</v>
      </c>
      <c r="W121" s="275"/>
    </row>
    <row r="122" spans="1:23" ht="48" customHeight="1">
      <c r="A122" s="274"/>
      <c r="B122" s="446"/>
      <c r="C122" s="56">
        <v>11.4</v>
      </c>
      <c r="D122" s="442" t="str">
        <f>VLOOKUP(C122,'Technology MASTER'!$B$3:$Q$107,5,FALSE)</f>
        <v>Where permissible, do you manage all network devices using multi-factor authentication and encrypted sessions?</v>
      </c>
      <c r="E122" s="442"/>
      <c r="F122" s="442"/>
      <c r="G122" s="442"/>
      <c r="H122" s="442"/>
      <c r="I122" s="442"/>
      <c r="J122" s="442"/>
      <c r="K122" s="442"/>
      <c r="L122" s="443"/>
      <c r="M122" s="443"/>
      <c r="N122" s="496"/>
      <c r="O122" s="497"/>
      <c r="P122" s="497"/>
      <c r="Q122" s="498"/>
      <c r="R122" s="318" t="str">
        <f>VLOOKUP(C122,'Technology MASTER'!$B$3:$Q$107,3,FALSE)</f>
        <v>Secure Configurations for Network Devices such as Firewalls, Routers, and Switches</v>
      </c>
      <c r="S122" s="318" t="str">
        <f>VLOOKUP(C122,'Technology MASTER'!$B$3:$Q$107,4,FALSE)</f>
        <v>Protect</v>
      </c>
      <c r="T122" s="318" t="e">
        <f>HLOOKUP($N$28,'Technology MASTER'!$G$2:$I$107,56,FALSE)</f>
        <v>#N/A</v>
      </c>
      <c r="U122" s="318" t="str">
        <f>VLOOKUP(C122,'Technology MASTER'!$B$3:$Q$107,13,FALSE)</f>
        <v xml:space="preserve">Lack of network connection controls over communications sessions may result in unauthorized access to information systems </v>
      </c>
      <c r="V122" s="318" t="str">
        <f>VLOOKUP(C122,'Technology MASTER'!$B$3:$Q$107,16,FALSE)</f>
        <v>Unauthorized Access to Systems or Data</v>
      </c>
      <c r="W122" s="275"/>
    </row>
    <row r="123" spans="1:23" ht="48" customHeight="1">
      <c r="A123" s="274"/>
      <c r="B123" s="447"/>
      <c r="C123" s="56">
        <v>11.5</v>
      </c>
      <c r="D123" s="442" t="str">
        <f>VLOOKUP(C123,'Technology MASTER'!$B$3:$Q$107,5,FALSE)</f>
        <v>Are all configuration rules that allow traffic to flow through network devices documented in a configuration management system with a specific business reason for each rule?</v>
      </c>
      <c r="E123" s="442"/>
      <c r="F123" s="442"/>
      <c r="G123" s="442"/>
      <c r="H123" s="442"/>
      <c r="I123" s="442"/>
      <c r="J123" s="442"/>
      <c r="K123" s="442"/>
      <c r="L123" s="443"/>
      <c r="M123" s="443"/>
      <c r="N123" s="496"/>
      <c r="O123" s="497"/>
      <c r="P123" s="497"/>
      <c r="Q123" s="498"/>
      <c r="R123" s="318" t="str">
        <f>VLOOKUP(C123,'Technology MASTER'!$B$3:$Q$107,3,FALSE)</f>
        <v>Secure Configurations for Network Devices such as Firewalls, Routers, and Switches</v>
      </c>
      <c r="S123" s="318" t="str">
        <f>VLOOKUP(C123,'Technology MASTER'!$B$3:$Q$107,4,FALSE)</f>
        <v>Identify</v>
      </c>
      <c r="T123" s="318" t="e">
        <f>HLOOKUP($N$28,'Technology MASTER'!$G$2:$I$107,57,FALSE)</f>
        <v>#N/A</v>
      </c>
      <c r="U123" s="318" t="str">
        <f>VLOOKUP(C123,'Technology MASTER'!$B$3:$Q$107,13,FALSE)</f>
        <v>Insufficient segregation of communications and interfaces between the system processes, may expose sensitive information resources to unauthorized access.</v>
      </c>
      <c r="V123" s="318" t="str">
        <f>VLOOKUP(C123,'Technology MASTER'!$B$3:$Q$107,16,FALSE)</f>
        <v>Unauthorized Access to Systems or Data</v>
      </c>
      <c r="W123" s="275"/>
    </row>
    <row r="124" spans="1:23" ht="16">
      <c r="A124" s="274"/>
      <c r="B124" s="400"/>
      <c r="C124" s="400"/>
      <c r="D124" s="400"/>
      <c r="E124" s="400"/>
      <c r="F124" s="400"/>
      <c r="G124" s="400"/>
      <c r="H124" s="400"/>
      <c r="I124" s="400"/>
      <c r="J124" s="400"/>
      <c r="K124" s="400"/>
      <c r="L124" s="400"/>
      <c r="M124" s="400"/>
      <c r="N124" s="400"/>
      <c r="O124" s="400"/>
      <c r="P124" s="400"/>
      <c r="Q124" s="400"/>
      <c r="R124" s="256"/>
      <c r="S124" s="256"/>
      <c r="T124" s="256"/>
      <c r="U124" s="256"/>
      <c r="V124" s="256"/>
      <c r="W124" s="275"/>
    </row>
    <row r="125" spans="1:23" ht="48" customHeight="1">
      <c r="A125" s="274"/>
      <c r="B125" s="445" t="s">
        <v>121</v>
      </c>
      <c r="C125" s="56">
        <v>12.1</v>
      </c>
      <c r="D125" s="442" t="str">
        <f>VLOOKUP(C125,'Technology MASTER'!$B$3:$Q$107,5,FALSE)</f>
        <v>Does the organization maintain an up-to-date inventory of all of the organization's network boundaries?</v>
      </c>
      <c r="E125" s="442"/>
      <c r="F125" s="442"/>
      <c r="G125" s="442"/>
      <c r="H125" s="442"/>
      <c r="I125" s="442"/>
      <c r="J125" s="442"/>
      <c r="K125" s="442"/>
      <c r="L125" s="443"/>
      <c r="M125" s="443"/>
      <c r="N125" s="496"/>
      <c r="O125" s="497"/>
      <c r="P125" s="497"/>
      <c r="Q125" s="498"/>
      <c r="R125" s="318" t="str">
        <f>VLOOKUP(C125,'Technology MASTER'!$B$3:$Q$107,3,FALSE)</f>
        <v>Boundary Defense</v>
      </c>
      <c r="S125" s="318" t="str">
        <f>VLOOKUP(C125,'Technology MASTER'!$B$3:$Q$107,4,FALSE)</f>
        <v>Identify</v>
      </c>
      <c r="T125" s="318" t="e">
        <f>HLOOKUP($N$28,'Technology MASTER'!$G$2:$I$107,58,FALSE)</f>
        <v>#N/A</v>
      </c>
      <c r="U125" s="318" t="str">
        <f>VLOOKUP(C125,'Technology MASTER'!$B$3:$Q$107,13,FALSE)</f>
        <v>Inadequately managed and controlled networks and supporting infrastructure expose systems and applications.</v>
      </c>
      <c r="V125" s="318" t="str">
        <f>VLOOKUP(C125,'Technology MASTER'!$B$3:$Q$107,16,FALSE)</f>
        <v>Cyber Attack</v>
      </c>
      <c r="W125" s="275"/>
    </row>
    <row r="126" spans="1:23" ht="48" customHeight="1">
      <c r="A126" s="274"/>
      <c r="B126" s="446"/>
      <c r="C126" s="56">
        <v>12.2</v>
      </c>
      <c r="D126" s="442" t="str">
        <f>VLOOKUP(C126,'Technology MASTER'!$B$3:$Q$107,5,FALSE)</f>
        <v>Are each of the organization's network boundaries configured to deny communications with known malicious or unused Internet IP addresses and limit access only to trusted and necessary IP address ranges?</v>
      </c>
      <c r="E126" s="442"/>
      <c r="F126" s="442"/>
      <c r="G126" s="442"/>
      <c r="H126" s="442"/>
      <c r="I126" s="442"/>
      <c r="J126" s="442"/>
      <c r="K126" s="442"/>
      <c r="L126" s="443"/>
      <c r="M126" s="443"/>
      <c r="N126" s="496"/>
      <c r="O126" s="497"/>
      <c r="P126" s="497"/>
      <c r="Q126" s="498"/>
      <c r="R126" s="318" t="str">
        <f>VLOOKUP(C126,'Technology MASTER'!$B$3:$Q$107,3,FALSE)</f>
        <v>Boundary Defense</v>
      </c>
      <c r="S126" s="318" t="str">
        <f>VLOOKUP(C126,'Technology MASTER'!$B$3:$Q$107,4,FALSE)</f>
        <v>Protect</v>
      </c>
      <c r="T126" s="318" t="e">
        <f>HLOOKUP($N$28,'Technology MASTER'!$G$2:$I$107,59,FALSE)</f>
        <v>#N/A</v>
      </c>
      <c r="U126" s="318" t="str">
        <f>VLOOKUP(C126,'Technology MASTER'!$B$3:$Q$107,13,FALSE)</f>
        <v xml:space="preserve">Lack of network connection controls over communications sessions may result in unauthorized access to information systems </v>
      </c>
      <c r="V126" s="318" t="str">
        <f>VLOOKUP(C126,'Technology MASTER'!$B$3:$Q$107,16,FALSE)</f>
        <v>Cyber Attack</v>
      </c>
      <c r="W126" s="275"/>
    </row>
    <row r="127" spans="1:23" ht="48" customHeight="1">
      <c r="A127" s="274"/>
      <c r="B127" s="446"/>
      <c r="C127" s="56">
        <v>12.3</v>
      </c>
      <c r="D127" s="442" t="str">
        <f>VLOOKUP(C127,'Technology MASTER'!$B$3:$Q$107,5,FALSE)</f>
        <v>Does all network traffic to or from the internet pass through an authenticated applciation layer proxy that is configured to filter unauthorized connections?</v>
      </c>
      <c r="E127" s="442"/>
      <c r="F127" s="442"/>
      <c r="G127" s="442"/>
      <c r="H127" s="442"/>
      <c r="I127" s="442"/>
      <c r="J127" s="442"/>
      <c r="K127" s="442"/>
      <c r="L127" s="443"/>
      <c r="M127" s="443"/>
      <c r="N127" s="496"/>
      <c r="O127" s="497"/>
      <c r="P127" s="497"/>
      <c r="Q127" s="498"/>
      <c r="R127" s="318" t="str">
        <f>VLOOKUP(C127,'Technology MASTER'!$B$3:$Q$107,3,FALSE)</f>
        <v>Boundary Defense</v>
      </c>
      <c r="S127" s="318" t="str">
        <f>VLOOKUP(C127,'Technology MASTER'!$B$3:$Q$107,4,FALSE)</f>
        <v>Detect</v>
      </c>
      <c r="T127" s="318" t="e">
        <f>HLOOKUP($N$28,'Technology MASTER'!$G$2:$I$107,60,FALSE)</f>
        <v>#N/A</v>
      </c>
      <c r="U127" s="318" t="str">
        <f>VLOOKUP(C127,'Technology MASTER'!$B$3:$Q$107,13,FALSE)</f>
        <v xml:space="preserve">Lack of network connection controls over communications sessions may result in unauthorized access to information systems </v>
      </c>
      <c r="V127" s="318" t="str">
        <f>VLOOKUP(C127,'Technology MASTER'!$B$3:$Q$107,16,FALSE)</f>
        <v>Cyber Attack</v>
      </c>
      <c r="W127" s="275"/>
    </row>
    <row r="128" spans="1:23" ht="48" customHeight="1">
      <c r="A128" s="274"/>
      <c r="B128" s="446"/>
      <c r="C128" s="56">
        <v>12.4</v>
      </c>
      <c r="D128" s="442" t="str">
        <f>VLOOKUP(C128,'Technology MASTER'!$B$3:$Q$107,5,FALSE)</f>
        <v>Do you have a network-based Intrusion Prevention System/s (IPS) deployed to inspect and block malicious traffic entering the company's network?</v>
      </c>
      <c r="E128" s="442"/>
      <c r="F128" s="442"/>
      <c r="G128" s="442"/>
      <c r="H128" s="442"/>
      <c r="I128" s="442"/>
      <c r="J128" s="442"/>
      <c r="K128" s="442"/>
      <c r="L128" s="443"/>
      <c r="M128" s="443"/>
      <c r="N128" s="496"/>
      <c r="O128" s="497"/>
      <c r="P128" s="497"/>
      <c r="Q128" s="498"/>
      <c r="R128" s="318" t="str">
        <f>VLOOKUP(C128,'Technology MASTER'!$B$3:$Q$107,3,FALSE)</f>
        <v>Boundary Defense</v>
      </c>
      <c r="S128" s="318" t="str">
        <f>VLOOKUP(C128,'Technology MASTER'!$B$3:$Q$107,4,FALSE)</f>
        <v>Detect</v>
      </c>
      <c r="T128" s="318" t="e">
        <f>HLOOKUP($N$28,'Technology MASTER'!$G$2:$I$107,61,FALSE)</f>
        <v>#N/A</v>
      </c>
      <c r="U128" s="318" t="str">
        <f>VLOOKUP(C128,'Technology MASTER'!$B$3:$Q$107,13,FALSE)</f>
        <v xml:space="preserve">Lack of network connection controls over communications sessions may result in unauthorized access to information systems </v>
      </c>
      <c r="V128" s="318" t="str">
        <f>VLOOKUP(C128,'Technology MASTER'!$B$3:$Q$107,16,FALSE)</f>
        <v>Cyber Attack</v>
      </c>
      <c r="W128" s="275"/>
    </row>
    <row r="129" spans="1:23" ht="48" customHeight="1">
      <c r="A129" s="274"/>
      <c r="B129" s="446"/>
      <c r="C129" s="56">
        <v>12.5</v>
      </c>
      <c r="D129" s="442"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42"/>
      <c r="F129" s="442"/>
      <c r="G129" s="442"/>
      <c r="H129" s="442"/>
      <c r="I129" s="442"/>
      <c r="J129" s="442"/>
      <c r="K129" s="442"/>
      <c r="L129" s="443"/>
      <c r="M129" s="443"/>
      <c r="N129" s="496"/>
      <c r="O129" s="497"/>
      <c r="P129" s="497"/>
      <c r="Q129" s="498"/>
      <c r="R129" s="318" t="str">
        <f>VLOOKUP(C129,'Technology MASTER'!$B$3:$Q$107,3,FALSE)</f>
        <v>Boundary Defense</v>
      </c>
      <c r="S129" s="318" t="str">
        <f>VLOOKUP(C129,'Technology MASTER'!$B$3:$Q$107,4,FALSE)</f>
        <v>Protect</v>
      </c>
      <c r="T129" s="318" t="e">
        <f>HLOOKUP($N$28,'Technology MASTER'!$G$2:$I$107,62,FALSE)</f>
        <v>#N/A</v>
      </c>
      <c r="U129" s="318" t="str">
        <f>VLOOKUP(C129,'Technology MASTER'!$B$3:$Q$107,13,FALSE)</f>
        <v>Information is disclosed due to lack of protection based on the need, priorities and expected degree of protection.</v>
      </c>
      <c r="V129" s="318" t="str">
        <f>VLOOKUP(C129,'Technology MASTER'!$B$3:$Q$107,16,FALSE)</f>
        <v>Cyber Attack</v>
      </c>
      <c r="W129" s="275"/>
    </row>
    <row r="130" spans="1:23" ht="48" customHeight="1">
      <c r="A130" s="274"/>
      <c r="B130" s="447"/>
      <c r="C130" s="56">
        <v>12.6</v>
      </c>
      <c r="D130" s="442" t="str">
        <f>VLOOKUP(C130,'Technology MASTER'!$B$3:$Q$107,5,FALSE)</f>
        <v>Do you require all remote log-in access to require multi-factor authentication?</v>
      </c>
      <c r="E130" s="442"/>
      <c r="F130" s="442"/>
      <c r="G130" s="442"/>
      <c r="H130" s="442"/>
      <c r="I130" s="442"/>
      <c r="J130" s="442"/>
      <c r="K130" s="442"/>
      <c r="L130" s="443"/>
      <c r="M130" s="443"/>
      <c r="N130" s="496"/>
      <c r="O130" s="497"/>
      <c r="P130" s="497"/>
      <c r="Q130" s="498"/>
      <c r="R130" s="318" t="str">
        <f>VLOOKUP(C130,'Technology MASTER'!$B$3:$Q$107,3,FALSE)</f>
        <v>Boundary Defense</v>
      </c>
      <c r="S130" s="318" t="str">
        <f>VLOOKUP(C130,'Technology MASTER'!$B$3:$Q$107,4,FALSE)</f>
        <v>Protect</v>
      </c>
      <c r="T130" s="318" t="e">
        <f>HLOOKUP($N$28,'Technology MASTER'!$G$2:$I$107,63,FALSE)</f>
        <v>#N/A</v>
      </c>
      <c r="U130" s="318" t="str">
        <f>VLOOKUP(C130,'Technology MASTER'!$B$3:$Q$107,13,FALSE)</f>
        <v xml:space="preserve">Lack of network connection controls over communications sessions may result in unauthorized access to information systems </v>
      </c>
      <c r="V130" s="318" t="str">
        <f>VLOOKUP(C130,'Technology MASTER'!$B$3:$Q$107,16,FALSE)</f>
        <v>Cyber Attack</v>
      </c>
      <c r="W130" s="275"/>
    </row>
    <row r="131" spans="1:23" ht="16">
      <c r="A131" s="274"/>
      <c r="B131" s="400"/>
      <c r="C131" s="400"/>
      <c r="D131" s="400"/>
      <c r="E131" s="400"/>
      <c r="F131" s="400"/>
      <c r="G131" s="400"/>
      <c r="H131" s="400"/>
      <c r="I131" s="400"/>
      <c r="J131" s="400"/>
      <c r="K131" s="400"/>
      <c r="L131" s="400"/>
      <c r="M131" s="400"/>
      <c r="N131" s="400"/>
      <c r="O131" s="400"/>
      <c r="P131" s="400"/>
      <c r="Q131" s="400"/>
      <c r="R131" s="256"/>
      <c r="S131" s="256"/>
      <c r="T131" s="256"/>
      <c r="U131" s="256"/>
      <c r="V131" s="256"/>
      <c r="W131" s="275"/>
    </row>
    <row r="132" spans="1:23" ht="48.75" customHeight="1">
      <c r="A132" s="274"/>
      <c r="B132" s="445" t="s">
        <v>122</v>
      </c>
      <c r="C132" s="56">
        <v>13.1</v>
      </c>
      <c r="D132" s="442" t="str">
        <f>VLOOKUP(C132,'Technology MASTER'!$B$3:$Q$107,5,FALSE)</f>
        <v>Are safeguards in place that ensure any data stored on removable media (i.e. thumb drives, portable hard drives, etc.) is encrypted?</v>
      </c>
      <c r="E132" s="442"/>
      <c r="F132" s="442"/>
      <c r="G132" s="442"/>
      <c r="H132" s="442"/>
      <c r="I132" s="442"/>
      <c r="J132" s="442"/>
      <c r="K132" s="442"/>
      <c r="L132" s="443"/>
      <c r="M132" s="443"/>
      <c r="N132" s="496"/>
      <c r="O132" s="497"/>
      <c r="P132" s="497"/>
      <c r="Q132" s="498"/>
      <c r="R132" s="318" t="str">
        <f>VLOOKUP(C132,'Technology MASTER'!$B$3:$Q$107,3,FALSE)</f>
        <v>Data Protection</v>
      </c>
      <c r="S132" s="318" t="str">
        <f>VLOOKUP(C132,'Technology MASTER'!$B$3:$Q$107,4,FALSE)</f>
        <v>Protect</v>
      </c>
      <c r="T132" s="318" t="e">
        <f>HLOOKUP($N$28,'Technology MASTER'!$G$2:$I$107,64,FALSE)</f>
        <v>#N/A</v>
      </c>
      <c r="U132" s="318" t="str">
        <f>VLOOKUP(C132,'Technology MASTER'!$B$3:$Q$107,13,FALSE)</f>
        <v>Information stored in physical media may be disclosed to or altered by unauthorized parties while being physically transported.</v>
      </c>
      <c r="V132" s="318" t="str">
        <f>VLOOKUP(C132,'Technology MASTER'!$B$3:$Q$107,16,FALSE)</f>
        <v>Human Error</v>
      </c>
      <c r="W132" s="275"/>
    </row>
    <row r="133" spans="1:23" ht="48.75" customHeight="1">
      <c r="A133" s="274"/>
      <c r="B133" s="446"/>
      <c r="C133" s="56">
        <v>13.2</v>
      </c>
      <c r="D133" s="442" t="str">
        <f>VLOOKUP(C133,'Technology MASTER'!$B$3:$Q$107,5,FALSE)</f>
        <v>Do you deploy appropriate encryption software to protect enterprise data stored on all mobile devices?</v>
      </c>
      <c r="E133" s="442"/>
      <c r="F133" s="442"/>
      <c r="G133" s="442"/>
      <c r="H133" s="442"/>
      <c r="I133" s="442"/>
      <c r="J133" s="442"/>
      <c r="K133" s="442"/>
      <c r="L133" s="443"/>
      <c r="M133" s="443"/>
      <c r="N133" s="496"/>
      <c r="O133" s="497"/>
      <c r="P133" s="497"/>
      <c r="Q133" s="498"/>
      <c r="R133" s="318" t="str">
        <f>VLOOKUP(C133,'Technology MASTER'!$B$3:$Q$107,3,FALSE)</f>
        <v>Data Protection</v>
      </c>
      <c r="S133" s="318" t="str">
        <f>VLOOKUP(C133,'Technology MASTER'!$B$3:$Q$107,4,FALSE)</f>
        <v>Protect</v>
      </c>
      <c r="T133" s="318" t="e">
        <f>HLOOKUP($N$28,'Technology MASTER'!$G$2:$I$107,65,FALSE)</f>
        <v>#N/A</v>
      </c>
      <c r="U133" s="318" t="str">
        <f>VLOOKUP(C133,'Technology MASTER'!$B$3:$Q$107,13,FALSE)</f>
        <v>Encryption and other cryptographic controls are inconsistently used to protect information assets and deviate with policy.</v>
      </c>
      <c r="V133" s="318" t="str">
        <f>VLOOKUP(C133,'Technology MASTER'!$B$3:$Q$107,16,FALSE)</f>
        <v>Human Error</v>
      </c>
      <c r="W133" s="275"/>
    </row>
    <row r="134" spans="1:23" ht="48.75" customHeight="1">
      <c r="A134" s="274"/>
      <c r="B134" s="446"/>
      <c r="C134" s="56">
        <v>13.3</v>
      </c>
      <c r="D134" s="442" t="str">
        <f>VLOOKUP(C134,'Technology MASTER'!$B$3:$Q$107,5,FALSE)</f>
        <v>Does the organization maintain an inventory of all sensitive information stored, processed, or transmitted by the organization's technology systems, including those located onsite or at a remote service provider?</v>
      </c>
      <c r="E134" s="442"/>
      <c r="F134" s="442"/>
      <c r="G134" s="442"/>
      <c r="H134" s="442"/>
      <c r="I134" s="442"/>
      <c r="J134" s="442"/>
      <c r="K134" s="442"/>
      <c r="L134" s="443"/>
      <c r="M134" s="443"/>
      <c r="N134" s="496"/>
      <c r="O134" s="497"/>
      <c r="P134" s="497"/>
      <c r="Q134" s="498"/>
      <c r="R134" s="318" t="str">
        <f>VLOOKUP(C134,'Technology MASTER'!$B$3:$Q$107,3,FALSE)</f>
        <v>Data Protection</v>
      </c>
      <c r="S134" s="318" t="str">
        <f>VLOOKUP(C134,'Technology MASTER'!$B$3:$Q$107,4,FALSE)</f>
        <v>Identify</v>
      </c>
      <c r="T134" s="318" t="e">
        <f>HLOOKUP($N$28,'Technology MASTER'!$G$2:$I$107,66,FALSE)</f>
        <v>#N/A</v>
      </c>
      <c r="U134" s="31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318" t="str">
        <f>VLOOKUP(C134,'Technology MASTER'!$B$3:$Q$107,16,FALSE)</f>
        <v>Human Error</v>
      </c>
      <c r="W134" s="275"/>
    </row>
    <row r="135" spans="1:23" ht="48.75" customHeight="1">
      <c r="A135" s="274"/>
      <c r="B135" s="446"/>
      <c r="C135" s="56">
        <v>13.4</v>
      </c>
      <c r="D135" s="442" t="str">
        <f>VLOOKUP(C135,'Technology MASTER'!$B$3:$Q$107,5,FALSE)</f>
        <v>Does the organization only allow access to authorized cloud storage or email providers?</v>
      </c>
      <c r="E135" s="442"/>
      <c r="F135" s="442"/>
      <c r="G135" s="442"/>
      <c r="H135" s="442"/>
      <c r="I135" s="442"/>
      <c r="J135" s="442"/>
      <c r="K135" s="442"/>
      <c r="L135" s="443"/>
      <c r="M135" s="443"/>
      <c r="N135" s="496"/>
      <c r="O135" s="497"/>
      <c r="P135" s="497"/>
      <c r="Q135" s="498"/>
      <c r="R135" s="318" t="str">
        <f>VLOOKUP(C135,'Technology MASTER'!$B$3:$Q$107,3,FALSE)</f>
        <v>Data Protection</v>
      </c>
      <c r="S135" s="318" t="str">
        <f>VLOOKUP(C135,'Technology MASTER'!$B$3:$Q$107,4,FALSE)</f>
        <v>Protect</v>
      </c>
      <c r="T135" s="318" t="e">
        <f>HLOOKUP($N$28,'Technology MASTER'!$G$2:$I$107,67,FALSE)</f>
        <v>#N/A</v>
      </c>
      <c r="U135" s="318" t="str">
        <f>VLOOKUP(C135,'Technology MASTER'!$B$3:$Q$107,13,FALSE)</f>
        <v>Sensitive data has not been clearly identified and inventoried.</v>
      </c>
      <c r="V135" s="318" t="str">
        <f>VLOOKUP(C135,'Technology MASTER'!$B$3:$Q$107,16,FALSE)</f>
        <v>Human Error</v>
      </c>
      <c r="W135" s="275"/>
    </row>
    <row r="136" spans="1:23" ht="48.75" customHeight="1">
      <c r="A136" s="274"/>
      <c r="B136" s="447"/>
      <c r="C136" s="56">
        <v>13.5</v>
      </c>
      <c r="D136" s="442" t="str">
        <f>VLOOKUP(C136,'Technology MASTER'!$B$3:$Q$107,5,FALSE)</f>
        <v>Has the organization deployed an automated tool on network perimeters that monitors for sensitive information and blocks such transfers while alerting information security professionals?</v>
      </c>
      <c r="E136" s="442"/>
      <c r="F136" s="442"/>
      <c r="G136" s="442"/>
      <c r="H136" s="442"/>
      <c r="I136" s="442"/>
      <c r="J136" s="442"/>
      <c r="K136" s="442"/>
      <c r="L136" s="443"/>
      <c r="M136" s="443"/>
      <c r="N136" s="496"/>
      <c r="O136" s="497"/>
      <c r="P136" s="497"/>
      <c r="Q136" s="498"/>
      <c r="R136" s="318" t="str">
        <f>VLOOKUP(C136,'Technology MASTER'!$B$3:$Q$107,3,FALSE)</f>
        <v>Data Protection</v>
      </c>
      <c r="S136" s="318" t="str">
        <f>VLOOKUP(C136,'Technology MASTER'!$B$3:$Q$107,4,FALSE)</f>
        <v>Detect</v>
      </c>
      <c r="T136" s="318" t="e">
        <f>HLOOKUP($N$28,'Technology MASTER'!$G$2:$I$107,68,FALSE)</f>
        <v>#N/A</v>
      </c>
      <c r="U136" s="318" t="str">
        <f>VLOOKUP(C136,'Technology MASTER'!$B$3:$Q$107,13,FALSE)</f>
        <v>The organization does not have  staff or resources responsible for responding to information spillage.</v>
      </c>
      <c r="V136" s="318" t="str">
        <f>VLOOKUP(C136,'Technology MASTER'!$B$3:$Q$107,16,FALSE)</f>
        <v>Human Error</v>
      </c>
      <c r="W136" s="275"/>
    </row>
    <row r="137" spans="1:23" ht="16">
      <c r="A137" s="274"/>
      <c r="B137" s="400"/>
      <c r="C137" s="400"/>
      <c r="D137" s="400"/>
      <c r="E137" s="400"/>
      <c r="F137" s="400"/>
      <c r="G137" s="400"/>
      <c r="H137" s="400"/>
      <c r="I137" s="400"/>
      <c r="J137" s="400"/>
      <c r="K137" s="400"/>
      <c r="L137" s="400"/>
      <c r="M137" s="400"/>
      <c r="N137" s="400"/>
      <c r="O137" s="400"/>
      <c r="P137" s="400"/>
      <c r="Q137" s="400"/>
      <c r="R137" s="256"/>
      <c r="S137" s="256"/>
      <c r="T137" s="256"/>
      <c r="U137" s="256"/>
      <c r="V137" s="256"/>
      <c r="W137" s="275"/>
    </row>
    <row r="138" spans="1:23" ht="48" customHeight="1">
      <c r="A138" s="274"/>
      <c r="B138" s="445" t="s">
        <v>123</v>
      </c>
      <c r="C138" s="56">
        <v>14.1</v>
      </c>
      <c r="D138" s="442" t="str">
        <f>VLOOKUP(C138,'Technology MASTER'!$B$3:$Q$107,5,FALSE)</f>
        <v>Do you protect all information stored on systems with file system, network share, claims, application or database specific access control lists?</v>
      </c>
      <c r="E138" s="442"/>
      <c r="F138" s="442"/>
      <c r="G138" s="442"/>
      <c r="H138" s="442"/>
      <c r="I138" s="442"/>
      <c r="J138" s="442"/>
      <c r="K138" s="442"/>
      <c r="L138" s="443"/>
      <c r="M138" s="443"/>
      <c r="N138" s="496"/>
      <c r="O138" s="497"/>
      <c r="P138" s="497"/>
      <c r="Q138" s="498"/>
      <c r="R138" s="318" t="str">
        <f>VLOOKUP(C138,'Technology MASTER'!$B$3:$Q$107,3,FALSE)</f>
        <v>Controlled Access Based on the Need to Know</v>
      </c>
      <c r="S138" s="318" t="str">
        <f>VLOOKUP(C138,'Technology MASTER'!$B$3:$Q$107,4,FALSE)</f>
        <v>Protect</v>
      </c>
      <c r="T138" s="318" t="e">
        <f>HLOOKUP($N$28,'Technology MASTER'!$G$2:$I$107,69,FALSE)</f>
        <v>#N/A</v>
      </c>
      <c r="U138" s="318" t="str">
        <f>VLOOKUP(C138,'Technology MASTER'!$B$3:$Q$107,13,FALSE)</f>
        <v>Information is disclosed due to mislabeled, unlabeled or mishandled physical or electronic media.</v>
      </c>
      <c r="V138" s="318" t="str">
        <f>VLOOKUP(C138,'Technology MASTER'!$B$3:$Q$107,16,FALSE)</f>
        <v>Unauthorized Access to Systems or Data</v>
      </c>
      <c r="W138" s="275"/>
    </row>
    <row r="139" spans="1:23" ht="48" customHeight="1">
      <c r="A139" s="274"/>
      <c r="B139" s="446"/>
      <c r="C139" s="56">
        <v>14.2</v>
      </c>
      <c r="D139" s="442" t="str">
        <f>VLOOKUP(C139,'Technology MASTER'!$B$3:$Q$107,5,FALSE)</f>
        <v>Do you encrypt all sensitive information in transit?</v>
      </c>
      <c r="E139" s="442"/>
      <c r="F139" s="442"/>
      <c r="G139" s="442"/>
      <c r="H139" s="442"/>
      <c r="I139" s="442"/>
      <c r="J139" s="442"/>
      <c r="K139" s="442"/>
      <c r="L139" s="443"/>
      <c r="M139" s="443"/>
      <c r="N139" s="496"/>
      <c r="O139" s="497"/>
      <c r="P139" s="497"/>
      <c r="Q139" s="498"/>
      <c r="R139" s="318" t="str">
        <f>VLOOKUP(C139,'Technology MASTER'!$B$3:$Q$107,3,FALSE)</f>
        <v>Controlled Access Based on the Need to Know</v>
      </c>
      <c r="S139" s="318" t="str">
        <f>VLOOKUP(C139,'Technology MASTER'!$B$3:$Q$107,4,FALSE)</f>
        <v>Protect</v>
      </c>
      <c r="T139" s="318" t="e">
        <f>HLOOKUP($N$28,'Technology MASTER'!$G$2:$I$107,70,FALSE)</f>
        <v>#N/A</v>
      </c>
      <c r="U139" s="318" t="str">
        <f>VLOOKUP(C139,'Technology MASTER'!$B$3:$Q$107,13,FALSE)</f>
        <v>Sensitive data is exposed to unauthorized disclosure or modification while in transit.</v>
      </c>
      <c r="V139" s="318" t="str">
        <f>VLOOKUP(C139,'Technology MASTER'!$B$3:$Q$107,16,FALSE)</f>
        <v>Unauthorized Access to Systems or Data</v>
      </c>
      <c r="W139" s="275"/>
    </row>
    <row r="140" spans="1:23" ht="48" customHeight="1">
      <c r="A140" s="274"/>
      <c r="B140" s="446"/>
      <c r="C140" s="56">
        <v>14.3</v>
      </c>
      <c r="D140" s="442" t="str">
        <f>VLOOKUP(C140,'Technology MASTER'!$B$3:$Q$107,5,FALSE)</f>
        <v>Do you segment the network based on the label or classification level of the information stored on the servers, locate all sensitive information on separated Virtual Local Area Networks (VLANs).</v>
      </c>
      <c r="E140" s="442"/>
      <c r="F140" s="442"/>
      <c r="G140" s="442"/>
      <c r="H140" s="442"/>
      <c r="I140" s="442"/>
      <c r="J140" s="442"/>
      <c r="K140" s="442"/>
      <c r="L140" s="443"/>
      <c r="M140" s="443"/>
      <c r="N140" s="496"/>
      <c r="O140" s="497"/>
      <c r="P140" s="497"/>
      <c r="Q140" s="498"/>
      <c r="R140" s="318" t="str">
        <f>VLOOKUP(C140,'Technology MASTER'!$B$3:$Q$107,3,FALSE)</f>
        <v>Controlled Access Based on the Need to Know</v>
      </c>
      <c r="S140" s="318" t="str">
        <f>VLOOKUP(C140,'Technology MASTER'!$B$3:$Q$107,4,FALSE)</f>
        <v>Protect</v>
      </c>
      <c r="T140" s="318" t="e">
        <f>HLOOKUP($N$28,'Technology MASTER'!$G$2:$I$107,71,FALSE)</f>
        <v>#N/A</v>
      </c>
      <c r="U140" s="318" t="str">
        <f>VLOOKUP(C140,'Technology MASTER'!$B$3:$Q$107,13,FALSE)</f>
        <v>Sensitive systems co-located with less sensitive systems are accessed by unauthorized parties.</v>
      </c>
      <c r="V140" s="318" t="str">
        <f>VLOOKUP(C140,'Technology MASTER'!$B$3:$Q$107,16,FALSE)</f>
        <v>Unauthorized Access to Systems or Data</v>
      </c>
      <c r="W140" s="275"/>
    </row>
    <row r="141" spans="1:23" ht="48" customHeight="1">
      <c r="A141" s="274"/>
      <c r="B141" s="447"/>
      <c r="C141" s="56">
        <v>14.4</v>
      </c>
      <c r="D141" s="442" t="str">
        <f>VLOOKUP(C141,'Technology MASTER'!$B$3:$Q$107,5,FALSE)</f>
        <v>Do you enforce detailed audit logging for access to sensitive data or changes to sensitive data (utilizing tools such as File Integrity Monitoring or Security Information and Event Monitoring)?</v>
      </c>
      <c r="E141" s="442"/>
      <c r="F141" s="442"/>
      <c r="G141" s="442"/>
      <c r="H141" s="442"/>
      <c r="I141" s="442"/>
      <c r="J141" s="442"/>
      <c r="K141" s="442"/>
      <c r="L141" s="443"/>
      <c r="M141" s="443"/>
      <c r="N141" s="496"/>
      <c r="O141" s="497"/>
      <c r="P141" s="497"/>
      <c r="Q141" s="498"/>
      <c r="R141" s="318" t="str">
        <f>VLOOKUP(C141,'Technology MASTER'!$B$3:$Q$107,3,FALSE)</f>
        <v>Controlled Access Based on the Need to Know</v>
      </c>
      <c r="S141" s="318" t="str">
        <f>VLOOKUP(C141,'Technology MASTER'!$B$3:$Q$107,4,FALSE)</f>
        <v>Detect</v>
      </c>
      <c r="T141" s="318" t="e">
        <f>HLOOKUP($N$28,'Technology MASTER'!$G$2:$I$107,72,FALSE)</f>
        <v>#N/A</v>
      </c>
      <c r="U141" s="318" t="str">
        <f>VLOOKUP(C141,'Technology MASTER'!$B$3:$Q$107,13,FALSE)</f>
        <v>Unauthorized tampering of system and/or configuration files is undetected due to the absence of file integrity mechanisms.</v>
      </c>
      <c r="V141" s="318" t="str">
        <f>VLOOKUP(C141,'Technology MASTER'!$B$3:$Q$107,16,FALSE)</f>
        <v>Unauthorized Access to Systems or Data</v>
      </c>
      <c r="W141" s="275"/>
    </row>
    <row r="142" spans="1:23" ht="16">
      <c r="A142" s="274"/>
      <c r="B142" s="400"/>
      <c r="C142" s="400"/>
      <c r="D142" s="400"/>
      <c r="E142" s="400"/>
      <c r="F142" s="400"/>
      <c r="G142" s="400"/>
      <c r="H142" s="400"/>
      <c r="I142" s="400"/>
      <c r="J142" s="400"/>
      <c r="K142" s="400"/>
      <c r="L142" s="400"/>
      <c r="M142" s="400"/>
      <c r="N142" s="400"/>
      <c r="O142" s="400"/>
      <c r="P142" s="400"/>
      <c r="Q142" s="400"/>
      <c r="R142" s="256"/>
      <c r="S142" s="256"/>
      <c r="T142" s="256"/>
      <c r="U142" s="256"/>
      <c r="V142" s="256"/>
      <c r="W142" s="275"/>
    </row>
    <row r="143" spans="1:23" ht="48" customHeight="1">
      <c r="A143" s="274"/>
      <c r="B143" s="445" t="s">
        <v>124</v>
      </c>
      <c r="C143" s="56">
        <v>15.1</v>
      </c>
      <c r="D143" s="442" t="str">
        <f>VLOOKUP(C143,'Technology MASTER'!$B$3:$Q$107,5,FALSE)</f>
        <v>Do you have an inventory of authorized wireless access points connected to the wired network?</v>
      </c>
      <c r="E143" s="442"/>
      <c r="F143" s="442"/>
      <c r="G143" s="442"/>
      <c r="H143" s="442"/>
      <c r="I143" s="442"/>
      <c r="J143" s="442"/>
      <c r="K143" s="442"/>
      <c r="L143" s="443"/>
      <c r="M143" s="443"/>
      <c r="N143" s="496"/>
      <c r="O143" s="497"/>
      <c r="P143" s="497"/>
      <c r="Q143" s="498"/>
      <c r="R143" s="318" t="str">
        <f>VLOOKUP(C143,'Technology MASTER'!$B$3:$Q$107,3,FALSE)</f>
        <v>Wireless Access Control</v>
      </c>
      <c r="S143" s="318" t="str">
        <f>VLOOKUP(C143,'Technology MASTER'!$B$3:$Q$107,4,FALSE)</f>
        <v>Identify</v>
      </c>
      <c r="T143" s="318" t="e">
        <f>HLOOKUP($N$28,'Technology MASTER'!$G$2:$I$107,73,FALSE)</f>
        <v>#N/A</v>
      </c>
      <c r="U143" s="318" t="str">
        <f>VLOOKUP(C143,'Technology MASTER'!$B$3:$Q$107,13,FALSE)</f>
        <v>Inadequately managed and controlled networks and supporting infrastructure expose systems and applications.</v>
      </c>
      <c r="V143" s="318" t="str">
        <f>VLOOKUP(C143,'Technology MASTER'!$B$3:$Q$107,16,FALSE)</f>
        <v>Unauthorized Access to Systems or Data</v>
      </c>
      <c r="W143" s="275"/>
    </row>
    <row r="144" spans="1:23" ht="48" customHeight="1">
      <c r="A144" s="274"/>
      <c r="B144" s="446"/>
      <c r="C144" s="56">
        <v>15.2</v>
      </c>
      <c r="D144" s="442" t="str">
        <f>VLOOKUP(C144,'Technology MASTER'!$B$3:$Q$107,5,FALSE)</f>
        <v>Do you have a tool or mechanisms in place to detect and alert on unauthorized wireless access points connected to the network?</v>
      </c>
      <c r="E144" s="442"/>
      <c r="F144" s="442"/>
      <c r="G144" s="442"/>
      <c r="H144" s="442"/>
      <c r="I144" s="442"/>
      <c r="J144" s="442"/>
      <c r="K144" s="442"/>
      <c r="L144" s="443"/>
      <c r="M144" s="443"/>
      <c r="N144" s="496"/>
      <c r="O144" s="497"/>
      <c r="P144" s="497"/>
      <c r="Q144" s="498"/>
      <c r="R144" s="318" t="str">
        <f>VLOOKUP(C144,'Technology MASTER'!$B$3:$Q$107,3,FALSE)</f>
        <v>Wireless Access Control</v>
      </c>
      <c r="S144" s="318" t="str">
        <f>VLOOKUP(C144,'Technology MASTER'!$B$3:$Q$107,4,FALSE)</f>
        <v>Detect</v>
      </c>
      <c r="T144" s="318" t="e">
        <f>HLOOKUP($N$28,'Technology MASTER'!$G$2:$I$107,74,FALSE)</f>
        <v>#N/A</v>
      </c>
      <c r="U144" s="318" t="str">
        <f>VLOOKUP(C144,'Technology MASTER'!$B$3:$Q$107,13,FALSE)</f>
        <v>Unauthorized parties gain access to resources by exploiting vulnerabilities in unsecured wireless networks.</v>
      </c>
      <c r="V144" s="318" t="str">
        <f>VLOOKUP(C144,'Technology MASTER'!$B$3:$Q$107,16,FALSE)</f>
        <v>Unauthorized Access to Systems or Data</v>
      </c>
      <c r="W144" s="275"/>
    </row>
    <row r="145" spans="1:23" ht="48" customHeight="1">
      <c r="A145" s="274"/>
      <c r="B145" s="446"/>
      <c r="C145" s="56">
        <v>15.3</v>
      </c>
      <c r="D145" s="442" t="str">
        <f>VLOOKUP(C145,'Technology MASTER'!$B$3:$Q$107,5,FALSE)</f>
        <v>Do you disable wireless access on devices that do not have a business purpose for wireless access?</v>
      </c>
      <c r="E145" s="442"/>
      <c r="F145" s="442"/>
      <c r="G145" s="442"/>
      <c r="H145" s="442"/>
      <c r="I145" s="442"/>
      <c r="J145" s="442"/>
      <c r="K145" s="442"/>
      <c r="L145" s="443"/>
      <c r="M145" s="443"/>
      <c r="N145" s="496"/>
      <c r="O145" s="497"/>
      <c r="P145" s="497"/>
      <c r="Q145" s="498"/>
      <c r="R145" s="318" t="str">
        <f>VLOOKUP(C145,'Technology MASTER'!$B$3:$Q$107,3,FALSE)</f>
        <v>Wireless Access Control</v>
      </c>
      <c r="S145" s="318" t="str">
        <f>VLOOKUP(C145,'Technology MASTER'!$B$3:$Q$107,4,FALSE)</f>
        <v>Protect</v>
      </c>
      <c r="T145" s="318" t="e">
        <f>HLOOKUP($N$28,'Technology MASTER'!$G$2:$I$107,75,FALSE)</f>
        <v>#N/A</v>
      </c>
      <c r="U145" s="318" t="str">
        <f>VLOOKUP(C145,'Technology MASTER'!$B$3:$Q$107,13,FALSE)</f>
        <v>Unauthorized parties gain access to resources by exploiting vulnerabilities in unsecured wireless networks.</v>
      </c>
      <c r="V145" s="318" t="str">
        <f>VLOOKUP(C145,'Technology MASTER'!$B$3:$Q$107,16,FALSE)</f>
        <v>Unauthorized Access to Systems or Data</v>
      </c>
      <c r="W145" s="275"/>
    </row>
    <row r="146" spans="1:23" ht="48" customHeight="1">
      <c r="A146" s="274"/>
      <c r="B146" s="446"/>
      <c r="C146" s="56">
        <v>15.4</v>
      </c>
      <c r="D146" s="442" t="str">
        <f>VLOOKUP(C146,'Technology MASTER'!$B$3:$Q$107,5,FALSE)</f>
        <v>Does the organization leverage the Advanced Encryption Standard (AES) to encrypt wireless data in transit?</v>
      </c>
      <c r="E146" s="442"/>
      <c r="F146" s="442"/>
      <c r="G146" s="442"/>
      <c r="H146" s="442"/>
      <c r="I146" s="442"/>
      <c r="J146" s="442"/>
      <c r="K146" s="442"/>
      <c r="L146" s="443"/>
      <c r="M146" s="443"/>
      <c r="N146" s="496"/>
      <c r="O146" s="497"/>
      <c r="P146" s="497"/>
      <c r="Q146" s="498"/>
      <c r="R146" s="318" t="str">
        <f>VLOOKUP(C146,'Technology MASTER'!$B$3:$Q$107,3,FALSE)</f>
        <v>Wireless Access Control</v>
      </c>
      <c r="S146" s="318" t="str">
        <f>VLOOKUP(C146,'Technology MASTER'!$B$3:$Q$107,4,FALSE)</f>
        <v>Protect</v>
      </c>
      <c r="T146" s="318" t="e">
        <f>HLOOKUP($N$28,'Technology MASTER'!$G$2:$I$107,76,FALSE)</f>
        <v>#N/A</v>
      </c>
      <c r="U146" s="318" t="str">
        <f>VLOOKUP(C146,'Technology MASTER'!$B$3:$Q$107,13,FALSE)</f>
        <v>Encryption and other cryptographic controls are inconsistently used to protect information assets and deviate with policy.</v>
      </c>
      <c r="V146" s="318" t="str">
        <f>VLOOKUP(C146,'Technology MASTER'!$B$3:$Q$107,16,FALSE)</f>
        <v>Unauthorized Access to Systems or Data</v>
      </c>
      <c r="W146" s="275"/>
    </row>
    <row r="147" spans="1:23" ht="48" customHeight="1">
      <c r="A147" s="274"/>
      <c r="B147" s="447"/>
      <c r="C147" s="56">
        <v>15.5</v>
      </c>
      <c r="D147" s="442" t="str">
        <f>VLOOKUP(C147,'Technology MASTER'!$B$3:$Q$107,5,FALSE)</f>
        <v>Does the organization utilize a separate a wireless network for personal or untrusted devices?</v>
      </c>
      <c r="E147" s="442"/>
      <c r="F147" s="442"/>
      <c r="G147" s="442"/>
      <c r="H147" s="442"/>
      <c r="I147" s="442"/>
      <c r="J147" s="442"/>
      <c r="K147" s="442"/>
      <c r="L147" s="443"/>
      <c r="M147" s="443"/>
      <c r="N147" s="496"/>
      <c r="O147" s="497"/>
      <c r="P147" s="497"/>
      <c r="Q147" s="498"/>
      <c r="R147" s="318" t="str">
        <f>VLOOKUP(C147,'Technology MASTER'!$B$3:$Q$107,3,FALSE)</f>
        <v>Wireless Access Control</v>
      </c>
      <c r="S147" s="318" t="str">
        <f>VLOOKUP(C147,'Technology MASTER'!$B$3:$Q$107,4,FALSE)</f>
        <v>Protect</v>
      </c>
      <c r="T147" s="318" t="e">
        <f>HLOOKUP($N$28,'Technology MASTER'!$G$2:$I$107,77,FALSE)</f>
        <v>#N/A</v>
      </c>
      <c r="U147" s="318" t="str">
        <f>VLOOKUP(C147,'Technology MASTER'!$B$3:$Q$107,13,FALSE)</f>
        <v>Insufficient segregation of communications and interfaces between the system processes, may expose sensitive information resources to unauthorized access.</v>
      </c>
      <c r="V147" s="318" t="str">
        <f>VLOOKUP(C147,'Technology MASTER'!$B$3:$Q$107,16,FALSE)</f>
        <v>Unauthorized Access to Systems or Data</v>
      </c>
      <c r="W147" s="275"/>
    </row>
    <row r="148" spans="1:23" ht="16">
      <c r="A148" s="274"/>
      <c r="B148" s="400"/>
      <c r="C148" s="400"/>
      <c r="D148" s="400"/>
      <c r="E148" s="400"/>
      <c r="F148" s="400"/>
      <c r="G148" s="400"/>
      <c r="H148" s="400"/>
      <c r="I148" s="400"/>
      <c r="J148" s="400"/>
      <c r="K148" s="400"/>
      <c r="L148" s="400"/>
      <c r="M148" s="400"/>
      <c r="N148" s="400"/>
      <c r="O148" s="400"/>
      <c r="P148" s="400"/>
      <c r="Q148" s="400"/>
      <c r="R148" s="256"/>
      <c r="S148" s="256"/>
      <c r="T148" s="256"/>
      <c r="U148" s="256"/>
      <c r="V148" s="256"/>
      <c r="W148" s="275"/>
    </row>
    <row r="149" spans="1:23" ht="48" customHeight="1">
      <c r="A149" s="274"/>
      <c r="B149" s="445" t="s">
        <v>125</v>
      </c>
      <c r="C149" s="56">
        <v>16.100000000000001</v>
      </c>
      <c r="D149" s="442" t="str">
        <f>VLOOKUP(C149,'Technology MASTER'!$B$3:$Q$107,5,FALSE)</f>
        <v>Does the organization maintain a inventory of all the accounts managed by authentication systems?</v>
      </c>
      <c r="E149" s="442"/>
      <c r="F149" s="442"/>
      <c r="G149" s="442"/>
      <c r="H149" s="442"/>
      <c r="I149" s="442"/>
      <c r="J149" s="442"/>
      <c r="K149" s="442"/>
      <c r="L149" s="443"/>
      <c r="M149" s="443"/>
      <c r="N149" s="496"/>
      <c r="O149" s="497"/>
      <c r="P149" s="497"/>
      <c r="Q149" s="498"/>
      <c r="R149" s="318" t="str">
        <f>VLOOKUP(C149,'Technology MASTER'!$B$3:$Q$107,3,FALSE)</f>
        <v>Account Monitoring and Control</v>
      </c>
      <c r="S149" s="318" t="str">
        <f>VLOOKUP(C149,'Technology MASTER'!$B$3:$Q$107,4,FALSE)</f>
        <v>Identify</v>
      </c>
      <c r="T149" s="318" t="e">
        <f>HLOOKUP($N$28,'Technology MASTER'!$G$2:$I$107,78,FALSE)</f>
        <v>#N/A</v>
      </c>
      <c r="U149" s="318" t="str">
        <f>VLOOKUP(C149,'Technology MASTER'!$B$3:$Q$107,13,FALSE)</f>
        <v>Failure to assign unique user identification and a relevant authentication mechanisms to confirm the claimed identity of an user may result in potential fraud and/or falsification of user identities.</v>
      </c>
      <c r="V149" s="318" t="str">
        <f>VLOOKUP(C149,'Technology MASTER'!$B$3:$Q$107,16,FALSE)</f>
        <v>Unauthorized Access to Systems or Data</v>
      </c>
      <c r="W149" s="275"/>
    </row>
    <row r="150" spans="1:23" ht="48" customHeight="1">
      <c r="A150" s="274"/>
      <c r="B150" s="446"/>
      <c r="C150" s="56">
        <v>16.2</v>
      </c>
      <c r="D150" s="442" t="str">
        <f>VLOOKUP(C150,'Technology MASTER'!$B$3:$Q$107,5,FALSE)</f>
        <v>Does the organization require multi-factor authenication for all user accounts, on all systems, whether managed on-site or by a third-party provider?</v>
      </c>
      <c r="E150" s="442"/>
      <c r="F150" s="442"/>
      <c r="G150" s="442"/>
      <c r="H150" s="442"/>
      <c r="I150" s="442"/>
      <c r="J150" s="442"/>
      <c r="K150" s="442"/>
      <c r="L150" s="443"/>
      <c r="M150" s="443"/>
      <c r="N150" s="496"/>
      <c r="O150" s="497"/>
      <c r="P150" s="497"/>
      <c r="Q150" s="498"/>
      <c r="R150" s="318" t="str">
        <f>VLOOKUP(C150,'Technology MASTER'!$B$3:$Q$107,3,FALSE)</f>
        <v>Account Monitoring and Control</v>
      </c>
      <c r="S150" s="318" t="str">
        <f>VLOOKUP(C150,'Technology MASTER'!$B$3:$Q$107,4,FALSE)</f>
        <v>Protect</v>
      </c>
      <c r="T150" s="318" t="e">
        <f>HLOOKUP($N$28,'Technology MASTER'!$G$2:$I$107,79,FALSE)</f>
        <v>#N/A</v>
      </c>
      <c r="U150" s="318" t="str">
        <f>VLOOKUP(C150,'Technology MASTER'!$B$3:$Q$107,13,FALSE)</f>
        <v>Configuration standards are not met for systems being implemented.</v>
      </c>
      <c r="V150" s="318" t="str">
        <f>VLOOKUP(C150,'Technology MASTER'!$B$3:$Q$107,16,FALSE)</f>
        <v>Unauthorized Access to Systems or Data</v>
      </c>
      <c r="W150" s="275"/>
    </row>
    <row r="151" spans="1:23" ht="48" customHeight="1">
      <c r="A151" s="274"/>
      <c r="B151" s="446"/>
      <c r="C151" s="56">
        <v>16.3</v>
      </c>
      <c r="D151" s="442" t="str">
        <f>VLOOKUP(C151,'Technology MASTER'!$B$3:$Q$107,5,FALSE)</f>
        <v>Does the organization encrypt or hash with a salt all authentication credentials when stored?</v>
      </c>
      <c r="E151" s="442"/>
      <c r="F151" s="442"/>
      <c r="G151" s="442"/>
      <c r="H151" s="442"/>
      <c r="I151" s="442"/>
      <c r="J151" s="442"/>
      <c r="K151" s="442"/>
      <c r="L151" s="443"/>
      <c r="M151" s="443"/>
      <c r="N151" s="496"/>
      <c r="O151" s="497"/>
      <c r="P151" s="497"/>
      <c r="Q151" s="498"/>
      <c r="R151" s="318" t="str">
        <f>VLOOKUP(C151,'Technology MASTER'!$B$3:$Q$107,3,FALSE)</f>
        <v>Account Monitoring and Control</v>
      </c>
      <c r="S151" s="318" t="str">
        <f>VLOOKUP(C151,'Technology MASTER'!$B$3:$Q$107,4,FALSE)</f>
        <v>Protect</v>
      </c>
      <c r="T151" s="318" t="e">
        <f>HLOOKUP($N$28,'Technology MASTER'!$G$2:$I$107,80,FALSE)</f>
        <v>#N/A</v>
      </c>
      <c r="U151" s="318" t="str">
        <f>VLOOKUP(C151,'Technology MASTER'!$B$3:$Q$107,13,FALSE)</f>
        <v>Configuration standards are not met for systems being implemented.</v>
      </c>
      <c r="V151" s="318" t="str">
        <f>VLOOKUP(C151,'Technology MASTER'!$B$3:$Q$107,16,FALSE)</f>
        <v>Unauthorized Access to Systems or Data</v>
      </c>
      <c r="W151" s="275"/>
    </row>
    <row r="152" spans="1:23" ht="48" customHeight="1">
      <c r="A152" s="274"/>
      <c r="B152" s="446"/>
      <c r="C152" s="56">
        <v>16.399999999999999</v>
      </c>
      <c r="D152" s="442" t="str">
        <f>VLOOKUP(C152,'Technology MASTER'!$B$3:$Q$107,5,FALSE)</f>
        <v>Does the organization automatically disable dormant accounts after a set period of inactivity?</v>
      </c>
      <c r="E152" s="442"/>
      <c r="F152" s="442"/>
      <c r="G152" s="442"/>
      <c r="H152" s="442"/>
      <c r="I152" s="442"/>
      <c r="J152" s="442"/>
      <c r="K152" s="442"/>
      <c r="L152" s="443"/>
      <c r="M152" s="443"/>
      <c r="N152" s="496"/>
      <c r="O152" s="497"/>
      <c r="P152" s="497"/>
      <c r="Q152" s="498"/>
      <c r="R152" s="318" t="str">
        <f>VLOOKUP(C152,'Technology MASTER'!$B$3:$Q$107,3,FALSE)</f>
        <v>Account Monitoring and Control</v>
      </c>
      <c r="S152" s="318" t="str">
        <f>VLOOKUP(C152,'Technology MASTER'!$B$3:$Q$107,4,FALSE)</f>
        <v>Protect</v>
      </c>
      <c r="T152" s="318" t="e">
        <f>HLOOKUP($N$28,'Technology MASTER'!$G$2:$I$107,81,FALSE)</f>
        <v>#N/A</v>
      </c>
      <c r="U152" s="318" t="str">
        <f>VLOOKUP(C152,'Technology MASTER'!$B$3:$Q$107,13,FALSE)</f>
        <v>Unauthorized users access operating systems by physically or logically accessing valid inactive and/or unattended sessions.</v>
      </c>
      <c r="V152" s="318" t="str">
        <f>VLOOKUP(C152,'Technology MASTER'!$B$3:$Q$107,16,FALSE)</f>
        <v>Unauthorized Access to Systems or Data</v>
      </c>
      <c r="W152" s="275"/>
    </row>
    <row r="153" spans="1:23" ht="48" customHeight="1">
      <c r="A153" s="274"/>
      <c r="B153" s="446"/>
      <c r="C153" s="56">
        <v>16.5</v>
      </c>
      <c r="D153" s="442" t="str">
        <f>VLOOKUP(C153,'Technology MASTER'!$B$3:$Q$107,5,FALSE)</f>
        <v>Does the organization automatically lock workstation sessions after a standard period of inactivity?</v>
      </c>
      <c r="E153" s="442"/>
      <c r="F153" s="442"/>
      <c r="G153" s="442"/>
      <c r="H153" s="442"/>
      <c r="I153" s="442"/>
      <c r="J153" s="442"/>
      <c r="K153" s="442"/>
      <c r="L153" s="443"/>
      <c r="M153" s="443"/>
      <c r="N153" s="496"/>
      <c r="O153" s="497"/>
      <c r="P153" s="497"/>
      <c r="Q153" s="498"/>
      <c r="R153" s="318" t="str">
        <f>VLOOKUP(C153,'Technology MASTER'!$B$3:$Q$107,3,FALSE)</f>
        <v>Account Monitoring and Control</v>
      </c>
      <c r="S153" s="318" t="str">
        <f>VLOOKUP(C153,'Technology MASTER'!$B$3:$Q$107,4,FALSE)</f>
        <v>Protect</v>
      </c>
      <c r="T153" s="318" t="e">
        <f>HLOOKUP($N$28,'Technology MASTER'!$G$2:$I$107,82,FALSE)</f>
        <v>#N/A</v>
      </c>
      <c r="U153" s="318" t="str">
        <f>VLOOKUP(C153,'Technology MASTER'!$B$3:$Q$107,13,FALSE)</f>
        <v>Unauthorized users access operating systems by physically or logically accessing valid inactive and/or unattended sessions.</v>
      </c>
      <c r="V153" s="318" t="str">
        <f>VLOOKUP(C153,'Technology MASTER'!$B$3:$Q$107,16,FALSE)</f>
        <v>Unauthorized Access to Systems or Data</v>
      </c>
      <c r="W153" s="275"/>
    </row>
    <row r="154" spans="1:23" ht="48" customHeight="1">
      <c r="A154" s="274"/>
      <c r="B154" s="446"/>
      <c r="C154" s="56">
        <v>16.600000000000001</v>
      </c>
      <c r="D154" s="442" t="str">
        <f>VLOOKUP(C154,'Technology MASTER'!$B$3:$Q$107,5,FALSE)</f>
        <v>Does the organization have a process that is documented &amp; followed for revoking system access by disabling account immediately upon termination?</v>
      </c>
      <c r="E154" s="442"/>
      <c r="F154" s="442"/>
      <c r="G154" s="442"/>
      <c r="H154" s="442"/>
      <c r="I154" s="442"/>
      <c r="J154" s="442"/>
      <c r="K154" s="442"/>
      <c r="L154" s="443"/>
      <c r="M154" s="443"/>
      <c r="N154" s="496"/>
      <c r="O154" s="497"/>
      <c r="P154" s="497"/>
      <c r="Q154" s="498"/>
      <c r="R154" s="318" t="str">
        <f>VLOOKUP(C154,'Technology MASTER'!$B$3:$Q$107,3,FALSE)</f>
        <v>Account Monitoring and Control</v>
      </c>
      <c r="S154" s="318" t="str">
        <f>VLOOKUP(C154,'Technology MASTER'!$B$3:$Q$107,4,FALSE)</f>
        <v>Protect</v>
      </c>
      <c r="T154" s="318" t="e">
        <f>HLOOKUP($N$28,'Technology MASTER'!$G$2:$I$107,83,FALSE)</f>
        <v>#N/A</v>
      </c>
      <c r="U154" s="318" t="str">
        <f>VLOOKUP(C154,'Technology MASTER'!$B$3:$Q$107,13,FALSE)</f>
        <v>Security is breached by employees, contractors or third party users that leverage access given after termination or change of their employment, contract or agreement.</v>
      </c>
      <c r="V154" s="318" t="str">
        <f>VLOOKUP(C154,'Technology MASTER'!$B$3:$Q$107,16,FALSE)</f>
        <v>Unauthorized Access to Systems or Data</v>
      </c>
      <c r="W154" s="275"/>
    </row>
    <row r="155" spans="1:23" ht="48" customHeight="1">
      <c r="A155" s="274"/>
      <c r="B155" s="446"/>
      <c r="C155" s="56">
        <v>16.7</v>
      </c>
      <c r="D155" s="442" t="str">
        <f>VLOOKUP(C155,'Technology MASTER'!$B$3:$Q$107,5,FALSE)</f>
        <v>Do you periodically review all system accounts and disable any account that is not linked to a business process/owner?</v>
      </c>
      <c r="E155" s="442"/>
      <c r="F155" s="442"/>
      <c r="G155" s="442"/>
      <c r="H155" s="442"/>
      <c r="I155" s="442"/>
      <c r="J155" s="442"/>
      <c r="K155" s="442"/>
      <c r="L155" s="443"/>
      <c r="M155" s="443"/>
      <c r="N155" s="496"/>
      <c r="O155" s="497"/>
      <c r="P155" s="497"/>
      <c r="Q155" s="498"/>
      <c r="R155" s="318" t="str">
        <f>VLOOKUP(C155,'Technology MASTER'!$B$3:$Q$107,3,FALSE)</f>
        <v>Account Monitoring and Control</v>
      </c>
      <c r="S155" s="318" t="str">
        <f>VLOOKUP(C155,'Technology MASTER'!$B$3:$Q$107,4,FALSE)</f>
        <v>Protect</v>
      </c>
      <c r="T155" s="318" t="e">
        <f>HLOOKUP($N$28,'Technology MASTER'!$G$2:$I$107,84,FALSE)</f>
        <v>#N/A</v>
      </c>
      <c r="U155" s="318" t="str">
        <f>VLOOKUP(C155,'Technology MASTER'!$B$3:$Q$107,13,FALSE)</f>
        <v>Independent reviews of information security are not regularly performed to ensure the continuing suitability, adequacy, and effectiveness of the organization's information security program.</v>
      </c>
      <c r="V155" s="318" t="str">
        <f>VLOOKUP(C155,'Technology MASTER'!$B$3:$Q$107,16,FALSE)</f>
        <v>Unauthorized Access to Systems or Data</v>
      </c>
      <c r="W155" s="275"/>
    </row>
    <row r="156" spans="1:23" ht="48" customHeight="1">
      <c r="A156" s="274"/>
      <c r="B156" s="446"/>
      <c r="C156" s="56">
        <v>16.8</v>
      </c>
      <c r="D156" s="442" t="str">
        <f>VLOOKUP(C156,'Technology MASTER'!$B$3:$Q$107,5,FALSE)</f>
        <v>Does the organization monitor attempts to access deactivated accounts through audit logging?</v>
      </c>
      <c r="E156" s="442"/>
      <c r="F156" s="442"/>
      <c r="G156" s="442"/>
      <c r="H156" s="442"/>
      <c r="I156" s="442"/>
      <c r="J156" s="442"/>
      <c r="K156" s="442"/>
      <c r="L156" s="443"/>
      <c r="M156" s="443"/>
      <c r="N156" s="496"/>
      <c r="O156" s="497"/>
      <c r="P156" s="497"/>
      <c r="Q156" s="498"/>
      <c r="R156" s="318" t="str">
        <f>VLOOKUP(C156,'Technology MASTER'!$B$3:$Q$107,3,FALSE)</f>
        <v>Account Monitoring and Control</v>
      </c>
      <c r="S156" s="318" t="str">
        <f>VLOOKUP(C156,'Technology MASTER'!$B$3:$Q$107,4,FALSE)</f>
        <v>Detect</v>
      </c>
      <c r="T156" s="318" t="e">
        <f>HLOOKUP($N$28,'Technology MASTER'!$G$2:$I$107,85,FALSE)</f>
        <v>#N/A</v>
      </c>
      <c r="U156" s="318" t="str">
        <f>VLOOKUP(C156,'Technology MASTER'!$B$3:$Q$107,13,FALSE)</f>
        <v>Independent reviews of information security are not regularly performed to ensure the continuing suitability, adequacy, and effectiveness of the organization's information security program.</v>
      </c>
      <c r="V156" s="318" t="str">
        <f>VLOOKUP(C156,'Technology MASTER'!$B$3:$Q$107,16,FALSE)</f>
        <v>Unauthorized Access to Systems or Data</v>
      </c>
      <c r="W156" s="275"/>
    </row>
    <row r="157" spans="1:23" ht="48" customHeight="1">
      <c r="A157" s="274"/>
      <c r="B157" s="446"/>
      <c r="C157" s="56">
        <v>16.899999999999999</v>
      </c>
      <c r="D157" s="442" t="str">
        <f>VLOOKUP(C157,'Technology MASTER'!$B$3:$Q$107,5,FALSE)</f>
        <v>Does the organization alert when users deviate from normal login behavior, such as time-of-day, workstation location and duration?</v>
      </c>
      <c r="E157" s="442"/>
      <c r="F157" s="442"/>
      <c r="G157" s="442"/>
      <c r="H157" s="442"/>
      <c r="I157" s="442"/>
      <c r="J157" s="442"/>
      <c r="K157" s="442"/>
      <c r="L157" s="443"/>
      <c r="M157" s="443"/>
      <c r="N157" s="496"/>
      <c r="O157" s="497"/>
      <c r="P157" s="497"/>
      <c r="Q157" s="498"/>
      <c r="R157" s="318" t="str">
        <f>VLOOKUP(C157,'Technology MASTER'!$B$3:$Q$107,3,FALSE)</f>
        <v>Account Monitoring and Control</v>
      </c>
      <c r="S157" s="318" t="str">
        <f>VLOOKUP(C157,'Technology MASTER'!$B$3:$Q$107,4,FALSE)</f>
        <v>Detect</v>
      </c>
      <c r="T157" s="318" t="e">
        <f>HLOOKUP($N$28,'Technology MASTER'!$G$2:$I$107,86,FALSE)</f>
        <v>#N/A</v>
      </c>
      <c r="U157" s="318" t="str">
        <f>VLOOKUP(C157,'Technology MASTER'!$B$3:$Q$107,13,FALSE)</f>
        <v>The lack of logging mechanisms to record and store user activities, exceptions, and information security events may result in unauthorized access or activity going undetected.</v>
      </c>
      <c r="V157" s="318" t="str">
        <f>VLOOKUP(C157,'Technology MASTER'!$B$3:$Q$107,16,FALSE)</f>
        <v>Unauthorized Access to Systems or Data</v>
      </c>
      <c r="W157" s="275"/>
    </row>
    <row r="158" spans="1:23" ht="48" customHeight="1">
      <c r="A158" s="274"/>
      <c r="B158" s="447"/>
      <c r="C158" s="58">
        <v>16.100000000000001</v>
      </c>
      <c r="D158" s="442" t="str">
        <f>VLOOKUP(C158,'Technology MASTER'!$B$3:$Q$107,5,FALSE)</f>
        <v>Does the organization maintain a inventory of all the accounts managed by authentication systems?</v>
      </c>
      <c r="E158" s="442"/>
      <c r="F158" s="442"/>
      <c r="G158" s="442"/>
      <c r="H158" s="442"/>
      <c r="I158" s="442"/>
      <c r="J158" s="442"/>
      <c r="K158" s="442"/>
      <c r="L158" s="443"/>
      <c r="M158" s="443"/>
      <c r="N158" s="496"/>
      <c r="O158" s="497"/>
      <c r="P158" s="497"/>
      <c r="Q158" s="498"/>
      <c r="R158" s="318" t="str">
        <f>VLOOKUP(C158,'Technology MASTER'!$B$3:$Q$107,3,FALSE)</f>
        <v>Account Monitoring and Control</v>
      </c>
      <c r="S158" s="318" t="str">
        <f>VLOOKUP(C158,'Technology MASTER'!$B$3:$Q$107,4,FALSE)</f>
        <v>Identify</v>
      </c>
      <c r="T158" s="318" t="e">
        <f>HLOOKUP($N$28,'Technology MASTER'!$G$2:$I$107,87,FALSE)</f>
        <v>#N/A</v>
      </c>
      <c r="U158" s="318" t="str">
        <f>VLOOKUP(C158,'Technology MASTER'!$B$3:$Q$107,13,FALSE)</f>
        <v>Failure to assign unique user identification and a relevant authentication mechanisms to confirm the claimed identity of an user may result in potential fraud and/or falsification of user identities.</v>
      </c>
      <c r="V158" s="318" t="str">
        <f>VLOOKUP(C158,'Technology MASTER'!$B$3:$Q$107,16,FALSE)</f>
        <v>Unauthorized Access to Systems or Data</v>
      </c>
      <c r="W158" s="275"/>
    </row>
    <row r="159" spans="1:23" ht="16">
      <c r="A159" s="274"/>
      <c r="B159" s="400"/>
      <c r="C159" s="400"/>
      <c r="D159" s="400"/>
      <c r="E159" s="400"/>
      <c r="F159" s="400"/>
      <c r="G159" s="400"/>
      <c r="H159" s="400"/>
      <c r="I159" s="400"/>
      <c r="J159" s="400"/>
      <c r="K159" s="400"/>
      <c r="L159" s="400"/>
      <c r="M159" s="400"/>
      <c r="N159" s="400"/>
      <c r="O159" s="400"/>
      <c r="P159" s="400"/>
      <c r="Q159" s="400"/>
      <c r="R159" s="259"/>
      <c r="S159" s="259"/>
      <c r="T159" s="259"/>
      <c r="U159" s="259"/>
      <c r="V159" s="259"/>
      <c r="W159" s="275"/>
    </row>
    <row r="160" spans="1:23" ht="48" customHeight="1">
      <c r="A160" s="274"/>
      <c r="B160" s="445" t="s">
        <v>126</v>
      </c>
      <c r="C160" s="56">
        <v>17.100000000000001</v>
      </c>
      <c r="D160" s="442"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42"/>
      <c r="F160" s="442"/>
      <c r="G160" s="442"/>
      <c r="H160" s="442"/>
      <c r="I160" s="442"/>
      <c r="J160" s="442"/>
      <c r="K160" s="442"/>
      <c r="L160" s="443"/>
      <c r="M160" s="443"/>
      <c r="N160" s="496"/>
      <c r="O160" s="497"/>
      <c r="P160" s="497"/>
      <c r="Q160" s="498"/>
      <c r="R160" s="318" t="str">
        <f>VLOOKUP(C160,'Technology MASTER'!$B$3:$Q$107,3,FALSE)</f>
        <v>Implement a Security Awareness and Training Program</v>
      </c>
      <c r="S160" s="318" t="str">
        <f>VLOOKUP(C160,'Technology MASTER'!$B$3:$Q$107,4,FALSE)</f>
        <v>N/A</v>
      </c>
      <c r="T160" s="318" t="e">
        <f>HLOOKUP($N$28,'Technology MASTER'!$G$2:$I$107,88,FALSE)</f>
        <v>#N/A</v>
      </c>
      <c r="U160" s="31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318" t="str">
        <f>VLOOKUP(C160,'Technology MASTER'!$B$3:$Q$107,16,FALSE)</f>
        <v>Human Error</v>
      </c>
      <c r="W160" s="275"/>
    </row>
    <row r="161" spans="1:23" ht="48" customHeight="1">
      <c r="A161" s="274"/>
      <c r="B161" s="446"/>
      <c r="C161" s="56">
        <v>17.2</v>
      </c>
      <c r="D161" s="442" t="str">
        <f>VLOOKUP(C161,'Technology MASTER'!$B$3:$Q$107,5,FALSE)</f>
        <v>Has the organization trained workforce members on the importance of enabling and utilizing secure authentication?</v>
      </c>
      <c r="E161" s="442"/>
      <c r="F161" s="442"/>
      <c r="G161" s="442"/>
      <c r="H161" s="442"/>
      <c r="I161" s="442"/>
      <c r="J161" s="442"/>
      <c r="K161" s="442"/>
      <c r="L161" s="443"/>
      <c r="M161" s="443"/>
      <c r="N161" s="496"/>
      <c r="O161" s="497"/>
      <c r="P161" s="497"/>
      <c r="Q161" s="498"/>
      <c r="R161" s="318" t="str">
        <f>VLOOKUP(C161,'Technology MASTER'!$B$3:$Q$107,3,FALSE)</f>
        <v>Implement a Security Awareness and Training Program</v>
      </c>
      <c r="S161" s="318" t="str">
        <f>VLOOKUP(C161,'Technology MASTER'!$B$3:$Q$107,4,FALSE)</f>
        <v>N/A</v>
      </c>
      <c r="T161" s="318" t="e">
        <f>HLOOKUP($N$28,'Technology MASTER'!$G$2:$I$107,89,FALSE)</f>
        <v>#N/A</v>
      </c>
      <c r="U161" s="31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318" t="str">
        <f>VLOOKUP(C161,'Technology MASTER'!$B$3:$Q$107,16,FALSE)</f>
        <v>Human Error</v>
      </c>
      <c r="W161" s="275"/>
    </row>
    <row r="162" spans="1:23" ht="48" customHeight="1">
      <c r="A162" s="274"/>
      <c r="B162" s="446"/>
      <c r="C162" s="56">
        <v>17.3</v>
      </c>
      <c r="D162" s="442" t="str">
        <f>VLOOKUP(C162,'Technology MASTER'!$B$3:$Q$107,5,FALSE)</f>
        <v>Has the organization trained the workforce on how to identify different forms of social engineering attacks, such as phishing, phone scams and impersonation calls?</v>
      </c>
      <c r="E162" s="442"/>
      <c r="F162" s="442"/>
      <c r="G162" s="442"/>
      <c r="H162" s="442"/>
      <c r="I162" s="442"/>
      <c r="J162" s="442"/>
      <c r="K162" s="442"/>
      <c r="L162" s="443"/>
      <c r="M162" s="443"/>
      <c r="N162" s="496"/>
      <c r="O162" s="497"/>
      <c r="P162" s="497"/>
      <c r="Q162" s="498"/>
      <c r="R162" s="318" t="str">
        <f>VLOOKUP(C162,'Technology MASTER'!$B$3:$Q$107,3,FALSE)</f>
        <v>Implement a Security Awareness and Training Program</v>
      </c>
      <c r="S162" s="318" t="str">
        <f>VLOOKUP(C162,'Technology MASTER'!$B$3:$Q$107,4,FALSE)</f>
        <v>N/A</v>
      </c>
      <c r="T162" s="318" t="e">
        <f>HLOOKUP($N$28,'Technology MASTER'!$G$2:$I$107,90,FALSE)</f>
        <v>#N/A</v>
      </c>
      <c r="U162" s="318" t="str">
        <f>VLOOKUP(C162,'Technology MASTER'!$B$3:$Q$107,13,FALSE)</f>
        <v>Social engineering tests show that personnel are still susceptible to being fooled into acting on content presented in phishing emails.</v>
      </c>
      <c r="V162" s="318" t="str">
        <f>VLOOKUP(C162,'Technology MASTER'!$B$3:$Q$107,16,FALSE)</f>
        <v>Human Error</v>
      </c>
      <c r="W162" s="275"/>
    </row>
    <row r="163" spans="1:23" ht="48" customHeight="1">
      <c r="A163" s="274"/>
      <c r="B163" s="446"/>
      <c r="C163" s="56">
        <v>17.399999999999999</v>
      </c>
      <c r="D163" s="442" t="str">
        <f>VLOOKUP(C163,'Technology MASTER'!$B$3:$Q$107,5,FALSE)</f>
        <v>Has the organization trained workforce on how to identify and properly store, transfer, archive and destroy sensitive information?</v>
      </c>
      <c r="E163" s="442"/>
      <c r="F163" s="442"/>
      <c r="G163" s="442"/>
      <c r="H163" s="442"/>
      <c r="I163" s="442"/>
      <c r="J163" s="442"/>
      <c r="K163" s="442"/>
      <c r="L163" s="443"/>
      <c r="M163" s="443"/>
      <c r="N163" s="496"/>
      <c r="O163" s="497"/>
      <c r="P163" s="497"/>
      <c r="Q163" s="498"/>
      <c r="R163" s="318" t="str">
        <f>VLOOKUP(C163,'Technology MASTER'!$B$3:$Q$107,3,FALSE)</f>
        <v>Implement a Security Awareness and Training Program</v>
      </c>
      <c r="S163" s="318" t="str">
        <f>VLOOKUP(C163,'Technology MASTER'!$B$3:$Q$107,4,FALSE)</f>
        <v>N/A</v>
      </c>
      <c r="T163" s="318" t="e">
        <f>HLOOKUP($N$28,'Technology MASTER'!$G$2:$I$107,91,FALSE)</f>
        <v>#N/A</v>
      </c>
      <c r="U163" s="318" t="str">
        <f>VLOOKUP(C163,'Technology MASTER'!$B$3:$Q$107,13,FALSE)</f>
        <v>Information is disclosed due to mislabeled, unlabeled or mishandled physical or electronic media.</v>
      </c>
      <c r="V163" s="318" t="str">
        <f>VLOOKUP(C163,'Technology MASTER'!$B$3:$Q$107,16,FALSE)</f>
        <v>Human Error</v>
      </c>
      <c r="W163" s="275"/>
    </row>
    <row r="164" spans="1:23" ht="48" customHeight="1">
      <c r="A164" s="274"/>
      <c r="B164" s="446"/>
      <c r="C164" s="56">
        <v>17.5</v>
      </c>
      <c r="D164" s="442" t="str">
        <f>VLOOKUP(C164,'Technology MASTER'!$B$3:$Q$107,5,FALSE)</f>
        <v>Has the organization trained workforce members to be aware of causes for unintentional data exposures, such as losing their mobile devices or emailing the wrong person due to autocomplete in email?</v>
      </c>
      <c r="E164" s="442"/>
      <c r="F164" s="442"/>
      <c r="G164" s="442"/>
      <c r="H164" s="442"/>
      <c r="I164" s="442"/>
      <c r="J164" s="442"/>
      <c r="K164" s="442"/>
      <c r="L164" s="443"/>
      <c r="M164" s="443"/>
      <c r="N164" s="496"/>
      <c r="O164" s="497"/>
      <c r="P164" s="497"/>
      <c r="Q164" s="498"/>
      <c r="R164" s="318" t="str">
        <f>VLOOKUP(C164,'Technology MASTER'!$B$3:$Q$107,3,FALSE)</f>
        <v>Implement a Security Awareness and Training Program</v>
      </c>
      <c r="S164" s="318" t="str">
        <f>VLOOKUP(C164,'Technology MASTER'!$B$3:$Q$107,4,FALSE)</f>
        <v>N/A</v>
      </c>
      <c r="T164" s="318" t="e">
        <f>HLOOKUP($N$28,'Technology MASTER'!$G$2:$I$107,92,FALSE)</f>
        <v>#N/A</v>
      </c>
      <c r="U164" s="31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318" t="str">
        <f>VLOOKUP(C164,'Technology MASTER'!$B$3:$Q$107,16,FALSE)</f>
        <v>Human Error</v>
      </c>
      <c r="W164" s="275"/>
    </row>
    <row r="165" spans="1:23" ht="48" customHeight="1">
      <c r="A165" s="274"/>
      <c r="B165" s="447"/>
      <c r="C165" s="56">
        <v>17.600000000000001</v>
      </c>
      <c r="D165" s="442" t="str">
        <f>VLOOKUP(C165,'Technology MASTER'!$B$3:$Q$107,5,FALSE)</f>
        <v>Has the organization trained employees to be able to identify the most common indicators of an incident and be able to report such an incident?</v>
      </c>
      <c r="E165" s="442"/>
      <c r="F165" s="442"/>
      <c r="G165" s="442"/>
      <c r="H165" s="442"/>
      <c r="I165" s="442"/>
      <c r="J165" s="442"/>
      <c r="K165" s="442"/>
      <c r="L165" s="443"/>
      <c r="M165" s="443"/>
      <c r="N165" s="496"/>
      <c r="O165" s="497"/>
      <c r="P165" s="497"/>
      <c r="Q165" s="498"/>
      <c r="R165" s="318" t="str">
        <f>VLOOKUP(C165,'Technology MASTER'!$B$3:$Q$107,3,FALSE)</f>
        <v>Implement a Security Awareness and Training Program</v>
      </c>
      <c r="S165" s="318" t="str">
        <f>VLOOKUP(C165,'Technology MASTER'!$B$3:$Q$107,4,FALSE)</f>
        <v>N/A</v>
      </c>
      <c r="T165" s="318" t="e">
        <f>HLOOKUP($N$28,'Technology MASTER'!$G$2:$I$107,93,FALSE)</f>
        <v>#N/A</v>
      </c>
      <c r="U165" s="318" t="str">
        <f>VLOOKUP(C165,'Technology MASTER'!$B$3:$Q$107,13,FALSE)</f>
        <v>Employees, contractors or third party users breach security because they are not aware or trained on information security requirements.</v>
      </c>
      <c r="V165" s="318" t="str">
        <f>VLOOKUP(C165,'Technology MASTER'!$B$3:$Q$107,16,FALSE)</f>
        <v>Human Error</v>
      </c>
      <c r="W165" s="275"/>
    </row>
    <row r="166" spans="1:23" ht="16">
      <c r="A166" s="274"/>
      <c r="B166" s="400"/>
      <c r="C166" s="400"/>
      <c r="D166" s="400"/>
      <c r="E166" s="400"/>
      <c r="F166" s="400"/>
      <c r="G166" s="400"/>
      <c r="H166" s="400"/>
      <c r="I166" s="400"/>
      <c r="J166" s="400"/>
      <c r="K166" s="400"/>
      <c r="L166" s="400"/>
      <c r="M166" s="400"/>
      <c r="N166" s="400"/>
      <c r="O166" s="400"/>
      <c r="P166" s="400"/>
      <c r="Q166" s="400"/>
      <c r="R166" s="256"/>
      <c r="S166" s="256"/>
      <c r="T166" s="256"/>
      <c r="U166" s="256"/>
      <c r="V166" s="256"/>
      <c r="W166" s="275"/>
    </row>
    <row r="167" spans="1:23" ht="48" customHeight="1">
      <c r="A167" s="274"/>
      <c r="B167" s="445" t="s">
        <v>127</v>
      </c>
      <c r="C167" s="56">
        <v>18.100000000000001</v>
      </c>
      <c r="D167" s="442" t="str">
        <f>VLOOKUP(C167,'Technology MASTER'!$B$3:$Q$107,5,FALSE)</f>
        <v>Has the organization maintained separate environments for production and nonproduction systems?</v>
      </c>
      <c r="E167" s="442"/>
      <c r="F167" s="442"/>
      <c r="G167" s="442"/>
      <c r="H167" s="442"/>
      <c r="I167" s="442"/>
      <c r="J167" s="442"/>
      <c r="K167" s="442"/>
      <c r="L167" s="443"/>
      <c r="M167" s="443"/>
      <c r="N167" s="495"/>
      <c r="O167" s="495"/>
      <c r="P167" s="495"/>
      <c r="Q167" s="495"/>
      <c r="R167" s="318" t="str">
        <f>VLOOKUP(C167,'Technology MASTER'!$B$3:$Q$107,3,FALSE)</f>
        <v>Application Software Security</v>
      </c>
      <c r="S167" s="318" t="str">
        <f>VLOOKUP(C167,'Technology MASTER'!$B$3:$Q$107,4,FALSE)</f>
        <v>N/A</v>
      </c>
      <c r="T167" s="318" t="e">
        <f>HLOOKUP($N$28,'Technology MASTER'!$G$2:$I$107,94,FALSE)</f>
        <v>#N/A</v>
      </c>
      <c r="U167" s="318" t="str">
        <f>VLOOKUP(C167,'Technology MASTER'!$B$3:$Q$107,13,FALSE)</f>
        <v>Changes to the production environment that are inadequately tested disrupt production environment. Management does not approve changes to the operating environment prior to implementation into production.</v>
      </c>
      <c r="V167" s="318" t="str">
        <f>VLOOKUP(C167,'Technology MASTER'!$B$3:$Q$107,16,FALSE)</f>
        <v>Human Error</v>
      </c>
      <c r="W167" s="275"/>
    </row>
    <row r="168" spans="1:23" ht="48" customHeight="1">
      <c r="A168" s="274"/>
      <c r="B168" s="446"/>
      <c r="C168" s="56">
        <v>18.2</v>
      </c>
      <c r="D168" s="442" t="str">
        <f>VLOOKUP(C168,'Technology MASTER'!$B$3:$Q$107,5,FALSE)</f>
        <v>Has the organization only used up-to-date and trusted third-party components for the software developed by the organization?</v>
      </c>
      <c r="E168" s="442"/>
      <c r="F168" s="442"/>
      <c r="G168" s="442"/>
      <c r="H168" s="442"/>
      <c r="I168" s="442"/>
      <c r="J168" s="442"/>
      <c r="K168" s="442"/>
      <c r="L168" s="443"/>
      <c r="M168" s="443"/>
      <c r="N168" s="495"/>
      <c r="O168" s="495"/>
      <c r="P168" s="495"/>
      <c r="Q168" s="495"/>
      <c r="R168" s="318" t="str">
        <f>VLOOKUP(C168,'Technology MASTER'!$B$3:$Q$107,3,FALSE)</f>
        <v>Application Software Security</v>
      </c>
      <c r="S168" s="318" t="str">
        <f>VLOOKUP(C168,'Technology MASTER'!$B$3:$Q$107,4,FALSE)</f>
        <v>N/A</v>
      </c>
      <c r="T168" s="318" t="e">
        <f>HLOOKUP($N$28,'Technology MASTER'!$G$2:$I$107,95,FALSE)</f>
        <v>#N/A</v>
      </c>
      <c r="U168" s="318" t="str">
        <f>VLOOKUP(C168,'Technology MASTER'!$B$3:$Q$107,13,FALSE)</f>
        <v>Networks and supporting infrastructure are exposed to unauthorized parties due to lack of defined network security and administration policies, procedures and standards.</v>
      </c>
      <c r="V168" s="318" t="str">
        <f>VLOOKUP(C168,'Technology MASTER'!$B$3:$Q$107,16,FALSE)</f>
        <v>Cyber Attack</v>
      </c>
      <c r="W168" s="275"/>
    </row>
    <row r="169" spans="1:23" ht="48" customHeight="1">
      <c r="A169" s="274"/>
      <c r="B169" s="446"/>
      <c r="C169" s="56">
        <v>18.3</v>
      </c>
      <c r="D169" s="442" t="str">
        <f>VLOOKUP(C169,'Technology MASTER'!$B$3:$Q$107,5,FALSE)</f>
        <v>Do all software development personnel receive training in writing secure code for their specific development environment and responsibilities?</v>
      </c>
      <c r="E169" s="442"/>
      <c r="F169" s="442"/>
      <c r="G169" s="442"/>
      <c r="H169" s="442"/>
      <c r="I169" s="442"/>
      <c r="J169" s="442"/>
      <c r="K169" s="442"/>
      <c r="L169" s="443"/>
      <c r="M169" s="443"/>
      <c r="N169" s="495"/>
      <c r="O169" s="495"/>
      <c r="P169" s="495"/>
      <c r="Q169" s="495"/>
      <c r="R169" s="318" t="str">
        <f>VLOOKUP(C169,'Technology MASTER'!$B$3:$Q$107,3,FALSE)</f>
        <v>Application Software Security</v>
      </c>
      <c r="S169" s="318" t="str">
        <f>VLOOKUP(C169,'Technology MASTER'!$B$3:$Q$107,4,FALSE)</f>
        <v>N/A</v>
      </c>
      <c r="T169" s="318" t="e">
        <f>HLOOKUP($N$28,'Technology MASTER'!$G$2:$I$107,96,FALSE)</f>
        <v>#N/A</v>
      </c>
      <c r="U169" s="318" t="str">
        <f>VLOOKUP(C169,'Technology MASTER'!$B$3:$Q$107,13,FALSE)</f>
        <v>Applications and technology solutions are not effectively and efficiently used since a training curriculum for employees has not been established or regularly updated.</v>
      </c>
      <c r="V169" s="318" t="str">
        <f>VLOOKUP(C169,'Technology MASTER'!$B$3:$Q$107,16,FALSE)</f>
        <v>Human Error</v>
      </c>
      <c r="W169" s="275"/>
    </row>
    <row r="170" spans="1:23" ht="48" customHeight="1">
      <c r="A170" s="274"/>
      <c r="B170" s="446"/>
      <c r="C170" s="56">
        <v>18.399999999999999</v>
      </c>
      <c r="D170" s="442" t="str">
        <f>VLOOKUP(C170,'Technology MASTER'!$B$3:$Q$107,5,FALSE)</f>
        <v>Does your organization protect its web applications by deploying Web Application Firewalls (WAFs) that inspect all traffic flowing to the application for common web appliation attacks?</v>
      </c>
      <c r="E170" s="442"/>
      <c r="F170" s="442"/>
      <c r="G170" s="442"/>
      <c r="H170" s="442"/>
      <c r="I170" s="442"/>
      <c r="J170" s="442"/>
      <c r="K170" s="442"/>
      <c r="L170" s="443"/>
      <c r="M170" s="443"/>
      <c r="N170" s="495"/>
      <c r="O170" s="495"/>
      <c r="P170" s="495"/>
      <c r="Q170" s="495"/>
      <c r="R170" s="318" t="str">
        <f>VLOOKUP(C170,'Technology MASTER'!$B$3:$Q$107,3,FALSE)</f>
        <v>Application Software Security</v>
      </c>
      <c r="S170" s="318" t="str">
        <f>VLOOKUP(C170,'Technology MASTER'!$B$3:$Q$107,4,FALSE)</f>
        <v>N/A</v>
      </c>
      <c r="T170" s="318" t="e">
        <f>HLOOKUP($N$28,'Technology MASTER'!$G$2:$I$107,97,FALSE)</f>
        <v>#N/A</v>
      </c>
      <c r="U170" s="318" t="str">
        <f>VLOOKUP(C170,'Technology MASTER'!$B$3:$Q$107,13,FALSE)</f>
        <v>Programming errors or misconfiguration leads to vulnerabilities that can be exploited.</v>
      </c>
      <c r="V170" s="318" t="str">
        <f>VLOOKUP(C170,'Technology MASTER'!$B$3:$Q$107,16,FALSE)</f>
        <v>Cyber Attack</v>
      </c>
      <c r="W170" s="275"/>
    </row>
    <row r="171" spans="1:23" ht="48" customHeight="1">
      <c r="A171" s="274"/>
      <c r="B171" s="446"/>
      <c r="C171" s="56">
        <v>18.5</v>
      </c>
      <c r="D171" s="442" t="str">
        <f>VLOOKUP(C171,'Technology MASTER'!$B$3:$Q$107,5,FALSE)</f>
        <v>Has the organization applied static and dynamic analysis tools to verify that secure coding practices are being adhered to for internally developed software??</v>
      </c>
      <c r="E171" s="442"/>
      <c r="F171" s="442"/>
      <c r="G171" s="442"/>
      <c r="H171" s="442"/>
      <c r="I171" s="442"/>
      <c r="J171" s="442"/>
      <c r="K171" s="442"/>
      <c r="L171" s="443"/>
      <c r="M171" s="443"/>
      <c r="N171" s="495"/>
      <c r="O171" s="495"/>
      <c r="P171" s="495"/>
      <c r="Q171" s="495"/>
      <c r="R171" s="318" t="str">
        <f>VLOOKUP(C171,'Technology MASTER'!$B$3:$Q$107,3,FALSE)</f>
        <v>Application Software Security</v>
      </c>
      <c r="S171" s="318" t="str">
        <f>VLOOKUP(C171,'Technology MASTER'!$B$3:$Q$107,4,FALSE)</f>
        <v>N/A</v>
      </c>
      <c r="T171" s="318" t="e">
        <f>HLOOKUP($N$28,'Technology MASTER'!$G$2:$I$107,98,FALSE)</f>
        <v>#N/A</v>
      </c>
      <c r="U171" s="318" t="str">
        <f>VLOOKUP(C171,'Technology MASTER'!$B$3:$Q$107,13,FALSE)</f>
        <v>Security vulnerabilities may not be identified timely.</v>
      </c>
      <c r="V171" s="318" t="str">
        <f>VLOOKUP(C171,'Technology MASTER'!$B$3:$Q$107,16,FALSE)</f>
        <v>Human Error</v>
      </c>
      <c r="W171" s="275"/>
    </row>
    <row r="172" spans="1:23" ht="48" customHeight="1">
      <c r="A172" s="274"/>
      <c r="B172" s="447"/>
      <c r="C172" s="56">
        <v>18.600000000000001</v>
      </c>
      <c r="D172" s="442" t="str">
        <f>VLOOKUP(C172,'Technology MASTER'!$B$3:$Q$107,5,FALSE)</f>
        <v>Has the organization established a process to accept and address reports of software vulnerabilities, including providing a means for external entities to contact your security group?</v>
      </c>
      <c r="E172" s="442"/>
      <c r="F172" s="442"/>
      <c r="G172" s="442"/>
      <c r="H172" s="442"/>
      <c r="I172" s="442"/>
      <c r="J172" s="442"/>
      <c r="K172" s="442"/>
      <c r="L172" s="443"/>
      <c r="M172" s="443"/>
      <c r="N172" s="495"/>
      <c r="O172" s="495"/>
      <c r="P172" s="495"/>
      <c r="Q172" s="495"/>
      <c r="R172" s="318" t="str">
        <f>VLOOKUP(C172,'Technology MASTER'!$B$3:$Q$107,3,FALSE)</f>
        <v>Application Software Security</v>
      </c>
      <c r="S172" s="318" t="str">
        <f>VLOOKUP(C172,'Technology MASTER'!$B$3:$Q$107,4,FALSE)</f>
        <v>N/A</v>
      </c>
      <c r="T172" s="318" t="e">
        <f>HLOOKUP($N$28,'Technology MASTER'!$G$2:$I$107,99,FALSE)</f>
        <v>#N/A</v>
      </c>
      <c r="U172" s="318" t="str">
        <f>VLOOKUP(C172,'Technology MASTER'!$B$3:$Q$107,13,FALSE)</f>
        <v>Security vulnerabilities may not be identified timely.</v>
      </c>
      <c r="V172" s="318" t="str">
        <f>VLOOKUP(C172,'Technology MASTER'!$B$3:$Q$107,16,FALSE)</f>
        <v>Human Error</v>
      </c>
      <c r="W172" s="275"/>
    </row>
    <row r="173" spans="1:23" ht="16">
      <c r="A173" s="274"/>
      <c r="B173" s="400"/>
      <c r="C173" s="400"/>
      <c r="D173" s="400"/>
      <c r="E173" s="400"/>
      <c r="F173" s="400"/>
      <c r="G173" s="400"/>
      <c r="H173" s="400"/>
      <c r="I173" s="400"/>
      <c r="J173" s="400"/>
      <c r="K173" s="400"/>
      <c r="L173" s="400"/>
      <c r="M173" s="400"/>
      <c r="N173" s="400"/>
      <c r="O173" s="400"/>
      <c r="P173" s="400"/>
      <c r="Q173" s="400"/>
      <c r="R173" s="259"/>
      <c r="S173" s="259"/>
      <c r="T173" s="259"/>
      <c r="U173" s="259"/>
      <c r="V173" s="259"/>
      <c r="W173" s="275"/>
    </row>
    <row r="174" spans="1:23" ht="48" customHeight="1">
      <c r="A174" s="274"/>
      <c r="B174" s="445" t="s">
        <v>128</v>
      </c>
      <c r="C174" s="56">
        <v>19.100000000000001</v>
      </c>
      <c r="D174" s="442" t="str">
        <f>VLOOKUP(C174,'Technology MASTER'!$B$3:$Q$107,5,FALSE)</f>
        <v>Has the organization ensured that there are written incident response plans that defines roles of personnel as well as phases of incident handling/management?</v>
      </c>
      <c r="E174" s="442"/>
      <c r="F174" s="442"/>
      <c r="G174" s="442"/>
      <c r="H174" s="442"/>
      <c r="I174" s="442"/>
      <c r="J174" s="442"/>
      <c r="K174" s="442"/>
      <c r="L174" s="443"/>
      <c r="M174" s="443"/>
      <c r="N174" s="495"/>
      <c r="O174" s="495"/>
      <c r="P174" s="495"/>
      <c r="Q174" s="495"/>
      <c r="R174" s="318" t="str">
        <f>VLOOKUP(C174,'Technology MASTER'!$B$3:$Q$107,3,FALSE)</f>
        <v>Incident Response and Management</v>
      </c>
      <c r="S174" s="318" t="str">
        <f>VLOOKUP(C174,'Technology MASTER'!$B$3:$Q$107,4,FALSE)</f>
        <v>N/A</v>
      </c>
      <c r="T174" s="318" t="e">
        <f>HLOOKUP($N$28,'Technology MASTER'!$G$2:$I$107,100,FALSE)</f>
        <v>#N/A</v>
      </c>
      <c r="U174" s="318" t="str">
        <f>VLOOKUP(C174,'Technology MASTER'!$B$3:$Q$107,13,FALSE)</f>
        <v>Lack of a Security Incident Response Program may result in improper identification and handling of security events.</v>
      </c>
      <c r="V174" s="318" t="str">
        <f>VLOOKUP(C174,'Technology MASTER'!$B$3:$Q$107,16,FALSE)</f>
        <v>Environmental Disaster</v>
      </c>
      <c r="W174" s="275"/>
    </row>
    <row r="175" spans="1:23" ht="48" customHeight="1">
      <c r="A175" s="274"/>
      <c r="B175" s="446"/>
      <c r="C175" s="56">
        <v>19.2</v>
      </c>
      <c r="D175" s="442" t="str">
        <f>VLOOKUP(C175,'Technology MASTER'!$B$3:$Q$107,5,FALSE)</f>
        <v>Has the organization assigned job titles and duties for handling computer and network incidents to specific individuals and ensure tracking and documentation throughout the incident through resolution?</v>
      </c>
      <c r="E175" s="442"/>
      <c r="F175" s="442"/>
      <c r="G175" s="442"/>
      <c r="H175" s="442"/>
      <c r="I175" s="442"/>
      <c r="J175" s="442"/>
      <c r="K175" s="442"/>
      <c r="L175" s="443"/>
      <c r="M175" s="443"/>
      <c r="N175" s="495"/>
      <c r="O175" s="495"/>
      <c r="P175" s="495"/>
      <c r="Q175" s="495"/>
      <c r="R175" s="318" t="str">
        <f>VLOOKUP(C175,'Technology MASTER'!$B$3:$Q$107,3,FALSE)</f>
        <v>Incident Response and Management</v>
      </c>
      <c r="S175" s="318" t="str">
        <f>VLOOKUP(C175,'Technology MASTER'!$B$3:$Q$107,4,FALSE)</f>
        <v>N/A</v>
      </c>
      <c r="T175" s="318" t="e">
        <f>HLOOKUP($N$28,'Technology MASTER'!$G$2:$I$107,101,FALSE)</f>
        <v>#N/A</v>
      </c>
      <c r="U175" s="318" t="str">
        <f>VLOOKUP(C175,'Technology MASTER'!$B$3:$Q$107,13,FALSE)</f>
        <v>The organization is unable to manage the initial phase of an incident since the plan is not well designed and documented.</v>
      </c>
      <c r="V175" s="318" t="str">
        <f>VLOOKUP(C175,'Technology MASTER'!$B$3:$Q$107,16,FALSE)</f>
        <v>Environmental Disaster</v>
      </c>
      <c r="W175" s="275"/>
    </row>
    <row r="176" spans="1:23" ht="48" customHeight="1">
      <c r="A176" s="274"/>
      <c r="B176" s="446"/>
      <c r="C176" s="56">
        <v>19.3</v>
      </c>
      <c r="D176" s="442" t="str">
        <f>VLOOKUP(C176,'Technology MASTER'!$B$3:$Q$107,5,FALSE)</f>
        <v>Has the organization designated management personnel, as well as backups, who will support the incident handling process by acting in key decision-making roles?</v>
      </c>
      <c r="E176" s="442"/>
      <c r="F176" s="442"/>
      <c r="G176" s="442"/>
      <c r="H176" s="442"/>
      <c r="I176" s="442"/>
      <c r="J176" s="442"/>
      <c r="K176" s="442"/>
      <c r="L176" s="443"/>
      <c r="M176" s="443"/>
      <c r="N176" s="495"/>
      <c r="O176" s="495"/>
      <c r="P176" s="495"/>
      <c r="Q176" s="495"/>
      <c r="R176" s="318" t="str">
        <f>VLOOKUP(C176,'Technology MASTER'!$B$3:$Q$107,3,FALSE)</f>
        <v>Incident Response and Management</v>
      </c>
      <c r="S176" s="318" t="str">
        <f>VLOOKUP(C176,'Technology MASTER'!$B$3:$Q$107,4,FALSE)</f>
        <v>N/A</v>
      </c>
      <c r="T176" s="318" t="e">
        <f>HLOOKUP($N$28,'Technology MASTER'!$G$2:$I$107,102,FALSE)</f>
        <v>#N/A</v>
      </c>
      <c r="U176" s="318" t="str">
        <f>VLOOKUP(C176,'Technology MASTER'!$B$3:$Q$107,13,FALSE)</f>
        <v>Incidents are mishandled due to lack of defined and tested incident management plans.</v>
      </c>
      <c r="V176" s="318" t="str">
        <f>VLOOKUP(C176,'Technology MASTER'!$B$3:$Q$107,16,FALSE)</f>
        <v>Environmental Disaster</v>
      </c>
      <c r="W176" s="275"/>
    </row>
    <row r="177" spans="1:23" ht="48" customHeight="1">
      <c r="A177" s="274"/>
      <c r="B177" s="446"/>
      <c r="C177" s="56">
        <v>19.399999999999999</v>
      </c>
      <c r="D177" s="442"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42"/>
      <c r="F177" s="442"/>
      <c r="G177" s="442"/>
      <c r="H177" s="442"/>
      <c r="I177" s="442"/>
      <c r="J177" s="442"/>
      <c r="K177" s="442"/>
      <c r="L177" s="443"/>
      <c r="M177" s="443"/>
      <c r="N177" s="495"/>
      <c r="O177" s="495"/>
      <c r="P177" s="495"/>
      <c r="Q177" s="495"/>
      <c r="R177" s="318" t="str">
        <f>VLOOKUP(C177,'Technology MASTER'!$B$3:$Q$107,3,FALSE)</f>
        <v>Incident Response and Management</v>
      </c>
      <c r="S177" s="318" t="str">
        <f>VLOOKUP(C177,'Technology MASTER'!$B$3:$Q$107,4,FALSE)</f>
        <v>N/A</v>
      </c>
      <c r="T177" s="318" t="e">
        <f>HLOOKUP($N$28,'Technology MASTER'!$G$2:$I$107,103,FALSE)</f>
        <v>#N/A</v>
      </c>
      <c r="U177" s="318" t="str">
        <f>VLOOKUP(C177,'Technology MASTER'!$B$3:$Q$107,13,FALSE)</f>
        <v>Failure to train personnel on the incident response roles and responsibilities may result in inadequately coordinated processes in response to a security incident.</v>
      </c>
      <c r="V177" s="318" t="str">
        <f>VLOOKUP(C177,'Technology MASTER'!$B$3:$Q$107,16,FALSE)</f>
        <v>Environmental Disaster</v>
      </c>
      <c r="W177" s="275"/>
    </row>
    <row r="178" spans="1:23" ht="48" customHeight="1">
      <c r="A178" s="274"/>
      <c r="B178" s="447"/>
      <c r="C178" s="56">
        <v>19.5</v>
      </c>
      <c r="D178" s="442"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42"/>
      <c r="F178" s="442"/>
      <c r="G178" s="442"/>
      <c r="H178" s="442"/>
      <c r="I178" s="442"/>
      <c r="J178" s="442"/>
      <c r="K178" s="442"/>
      <c r="L178" s="443"/>
      <c r="M178" s="443"/>
      <c r="N178" s="495"/>
      <c r="O178" s="495"/>
      <c r="P178" s="495"/>
      <c r="Q178" s="495"/>
      <c r="R178" s="318" t="str">
        <f>VLOOKUP(C178,'Technology MASTER'!$B$3:$Q$107,3,FALSE)</f>
        <v>Incident Response and Management</v>
      </c>
      <c r="S178" s="318" t="str">
        <f>VLOOKUP(C178,'Technology MASTER'!$B$3:$Q$107,4,FALSE)</f>
        <v>N/A</v>
      </c>
      <c r="T178" s="318" t="e">
        <f>HLOOKUP($N$28,'Technology MASTER'!$G$2:$I$107,104,FALSE)</f>
        <v>#N/A</v>
      </c>
      <c r="U178" s="318" t="str">
        <f>VLOOKUP(C178,'Technology MASTER'!$B$3:$Q$107,13,FALSE)</f>
        <v>Security events and weaknesses are not detected and corrected due to lack of users reporting the events or weaknesses.</v>
      </c>
      <c r="V178" s="318" t="str">
        <f>VLOOKUP(C178,'Technology MASTER'!$B$3:$Q$107,16,FALSE)</f>
        <v>Environmental Disaster</v>
      </c>
      <c r="W178" s="275"/>
    </row>
    <row r="179" spans="1:23" ht="16">
      <c r="A179" s="274"/>
      <c r="B179" s="400"/>
      <c r="C179" s="400"/>
      <c r="D179" s="400"/>
      <c r="E179" s="400"/>
      <c r="F179" s="400"/>
      <c r="G179" s="400"/>
      <c r="H179" s="400"/>
      <c r="I179" s="400"/>
      <c r="J179" s="400"/>
      <c r="K179" s="400"/>
      <c r="L179" s="400"/>
      <c r="M179" s="400"/>
      <c r="N179" s="400"/>
      <c r="O179" s="400"/>
      <c r="P179" s="400"/>
      <c r="Q179" s="400"/>
      <c r="R179" s="256"/>
      <c r="S179" s="256"/>
      <c r="T179" s="256"/>
      <c r="U179" s="256"/>
      <c r="V179" s="256"/>
      <c r="W179" s="275"/>
    </row>
    <row r="180" spans="1:23" ht="48" customHeight="1">
      <c r="A180" s="274"/>
      <c r="B180" s="445" t="s">
        <v>129</v>
      </c>
      <c r="C180" s="56">
        <v>20.100000000000001</v>
      </c>
      <c r="D180" s="442" t="str">
        <f>VLOOKUP(C180,'Technology MASTER'!$B$3:$Q$107,5,FALSE)</f>
        <v>Has the organization conducted regular external and internal penetration tests to identify vulnerabilities and attack vectors that can be used to exploit enterprise systems successfully?</v>
      </c>
      <c r="E180" s="442"/>
      <c r="F180" s="442"/>
      <c r="G180" s="442"/>
      <c r="H180" s="442"/>
      <c r="I180" s="442"/>
      <c r="J180" s="442"/>
      <c r="K180" s="442"/>
      <c r="L180" s="443"/>
      <c r="M180" s="443"/>
      <c r="N180" s="495"/>
      <c r="O180" s="495"/>
      <c r="P180" s="495"/>
      <c r="Q180" s="495"/>
      <c r="R180" s="318" t="str">
        <f>VLOOKUP(C180,'Technology MASTER'!$B$3:$Q$107,3,FALSE)</f>
        <v>Penetration Tests and Red Team Exercises</v>
      </c>
      <c r="S180" s="318" t="str">
        <f>VLOOKUP(C180,'Technology MASTER'!$B$3:$Q$107,4,FALSE)</f>
        <v>N/A</v>
      </c>
      <c r="T180" s="318" t="e">
        <f>HLOOKUP($N$28,'Technology MASTER'!$G$2:$I$107,105,FALSE)</f>
        <v>#N/A</v>
      </c>
      <c r="U180" s="318" t="str">
        <f>VLOOKUP(C180,'Technology MASTER'!$B$3:$Q$107,13,FALSE)</f>
        <v xml:space="preserve">Do not conduct penetration testing or employ independent penetration testing </v>
      </c>
      <c r="V180" s="318" t="str">
        <f>VLOOKUP(C180,'Technology MASTER'!$B$3:$Q$107,16,FALSE)</f>
        <v>Cyber Attack</v>
      </c>
      <c r="W180" s="275"/>
    </row>
    <row r="181" spans="1:23" ht="48" customHeight="1">
      <c r="A181" s="274"/>
      <c r="B181" s="447"/>
      <c r="C181" s="56">
        <v>20.2</v>
      </c>
      <c r="D181" s="442" t="str">
        <f>VLOOKUP(C181,'Technology MASTER'!$B$3:$Q$107,5,FALSE)</f>
        <v>Has the organization performed periodic Red Team exercises to test organizational readiness to identify and stop attacks or to respond quickly and effectively?</v>
      </c>
      <c r="E181" s="442"/>
      <c r="F181" s="442"/>
      <c r="G181" s="442"/>
      <c r="H181" s="442"/>
      <c r="I181" s="442"/>
      <c r="J181" s="442"/>
      <c r="K181" s="442"/>
      <c r="L181" s="443"/>
      <c r="M181" s="443"/>
      <c r="N181" s="495"/>
      <c r="O181" s="495"/>
      <c r="P181" s="495"/>
      <c r="Q181" s="495"/>
      <c r="R181" s="318" t="str">
        <f>VLOOKUP(C181,'Technology MASTER'!$B$3:$Q$107,3,FALSE)</f>
        <v>Penetration Tests and Red Team Exercises</v>
      </c>
      <c r="S181" s="318" t="str">
        <f>VLOOKUP(C181,'Technology MASTER'!$B$3:$Q$107,4,FALSE)</f>
        <v>N/A</v>
      </c>
      <c r="T181" s="318" t="e">
        <f>HLOOKUP($N$28,'Technology MASTER'!$G$2:$I$107,106,FALSE)</f>
        <v>#N/A</v>
      </c>
      <c r="U181" s="318" t="str">
        <f>VLOOKUP(C181,'Technology MASTER'!$B$3:$Q$107,13,FALSE)</f>
        <v>Failure to train personnel on the incident response roles and responsibilities may result in inadequately coordinated processes in response to a security incident.</v>
      </c>
      <c r="V181" s="318" t="str">
        <f>VLOOKUP(C181,'Technology MASTER'!$B$3:$Q$107,16,FALSE)</f>
        <v>Cyber Attack</v>
      </c>
      <c r="W181" s="275"/>
    </row>
    <row r="182" spans="1:23" ht="17" thickBot="1">
      <c r="A182" s="274"/>
      <c r="B182" s="400"/>
      <c r="C182" s="400"/>
      <c r="D182" s="400"/>
      <c r="E182" s="400"/>
      <c r="F182" s="400"/>
      <c r="G182" s="400"/>
      <c r="H182" s="400"/>
      <c r="I182" s="400"/>
      <c r="J182" s="400"/>
      <c r="K182" s="400"/>
      <c r="L182" s="400"/>
      <c r="M182" s="400"/>
      <c r="N182" s="400"/>
      <c r="O182" s="400"/>
      <c r="P182" s="400"/>
      <c r="Q182" s="400"/>
      <c r="R182" s="400"/>
      <c r="S182" s="400"/>
      <c r="T182" s="400"/>
      <c r="U182" s="400"/>
      <c r="V182" s="400"/>
      <c r="W182" s="275"/>
    </row>
    <row r="183" spans="1:23" s="262" customFormat="1" ht="48" customHeight="1" thickTop="1" thickBot="1">
      <c r="A183" s="278"/>
      <c r="B183" s="451" t="str">
        <f>IF(P1=0,"You have completed the assessment, please return your responses so we may evaluate.  Thank You!","There are questions above missing a response, please review and respond before sending us your reply.  Thank You!")</f>
        <v>There are questions above missing a response, please review and respond before sending us your reply.  Thank You!</v>
      </c>
      <c r="C183" s="452"/>
      <c r="D183" s="452"/>
      <c r="E183" s="452"/>
      <c r="F183" s="452"/>
      <c r="G183" s="452"/>
      <c r="H183" s="452"/>
      <c r="I183" s="452"/>
      <c r="J183" s="452"/>
      <c r="K183" s="452"/>
      <c r="L183" s="452"/>
      <c r="M183" s="452"/>
      <c r="N183" s="452"/>
      <c r="O183" s="452"/>
      <c r="P183" s="452"/>
      <c r="Q183" s="453"/>
      <c r="R183" s="312"/>
      <c r="S183" s="313"/>
      <c r="T183" s="313"/>
      <c r="U183" s="313"/>
      <c r="V183" s="313"/>
      <c r="W183" s="279"/>
    </row>
    <row r="184" spans="1:23" ht="23" thickTop="1" thickBot="1">
      <c r="A184" s="280"/>
      <c r="B184" s="281"/>
      <c r="C184" s="282"/>
      <c r="D184" s="283"/>
      <c r="E184" s="284"/>
      <c r="F184" s="284"/>
      <c r="G184" s="284"/>
      <c r="H184" s="284"/>
      <c r="I184" s="284"/>
      <c r="J184" s="284"/>
      <c r="K184" s="284"/>
      <c r="L184" s="285"/>
      <c r="M184" s="285"/>
      <c r="N184" s="284"/>
      <c r="O184" s="286"/>
      <c r="P184" s="286"/>
      <c r="Q184" s="286"/>
      <c r="R184" s="319"/>
      <c r="S184" s="319"/>
      <c r="T184" s="319"/>
      <c r="U184" s="319"/>
      <c r="V184" s="319"/>
      <c r="W184" s="287"/>
    </row>
    <row r="185" spans="1:23" ht="27" thickTop="1">
      <c r="A185" s="492" t="s">
        <v>2079</v>
      </c>
      <c r="B185" s="493"/>
      <c r="C185" s="493"/>
      <c r="D185" s="493"/>
      <c r="E185" s="493"/>
      <c r="F185" s="493"/>
      <c r="G185" s="493"/>
      <c r="H185" s="493"/>
      <c r="I185" s="493"/>
      <c r="J185" s="493"/>
      <c r="K185" s="493"/>
      <c r="L185" s="493"/>
      <c r="M185" s="493"/>
      <c r="N185" s="493"/>
      <c r="O185" s="493"/>
      <c r="P185" s="493"/>
      <c r="Q185" s="493"/>
      <c r="R185" s="493"/>
      <c r="S185" s="493"/>
      <c r="T185" s="493"/>
      <c r="U185" s="493"/>
      <c r="V185" s="493"/>
      <c r="W185" s="494"/>
    </row>
    <row r="186" spans="1:23">
      <c r="A186" s="299"/>
      <c r="B186" s="268"/>
      <c r="C186" s="269"/>
      <c r="D186" s="270"/>
      <c r="E186" s="271"/>
      <c r="F186" s="271"/>
      <c r="G186" s="271"/>
      <c r="H186" s="271"/>
      <c r="I186" s="271"/>
      <c r="J186" s="271"/>
      <c r="K186" s="271"/>
      <c r="L186" s="272"/>
      <c r="M186" s="272"/>
      <c r="N186" s="271"/>
      <c r="O186" s="273"/>
      <c r="P186" s="273"/>
      <c r="Q186" s="273"/>
      <c r="R186" s="317"/>
      <c r="S186" s="317"/>
      <c r="T186" s="317"/>
      <c r="U186" s="317"/>
      <c r="V186" s="317"/>
      <c r="W186" s="275"/>
    </row>
    <row r="187" spans="1:23">
      <c r="A187" s="299"/>
      <c r="B187" s="268"/>
      <c r="C187" s="269"/>
      <c r="D187" s="270"/>
      <c r="E187" s="271"/>
      <c r="F187" s="271"/>
      <c r="G187" s="271"/>
      <c r="H187" s="271"/>
      <c r="I187" s="271"/>
      <c r="J187" s="271"/>
      <c r="K187" s="271"/>
      <c r="L187" s="272"/>
      <c r="M187" s="272"/>
      <c r="N187" s="501" t="s">
        <v>2086</v>
      </c>
      <c r="O187" s="501"/>
      <c r="P187" s="502"/>
      <c r="Q187" s="502"/>
      <c r="R187" s="317"/>
      <c r="S187" s="317"/>
      <c r="T187" s="317"/>
      <c r="U187" s="317"/>
      <c r="V187" s="317"/>
      <c r="W187" s="275"/>
    </row>
    <row r="188" spans="1:23" ht="37.5" customHeight="1">
      <c r="A188" s="299"/>
      <c r="B188" s="439" t="s">
        <v>2050</v>
      </c>
      <c r="C188" s="439"/>
      <c r="D188" s="439"/>
      <c r="E188" s="439"/>
      <c r="F188" s="439"/>
      <c r="G188" s="439"/>
      <c r="H188" s="439"/>
      <c r="I188" s="439"/>
      <c r="J188" s="439" t="s">
        <v>2051</v>
      </c>
      <c r="K188" s="439"/>
      <c r="L188" s="439"/>
      <c r="M188" s="439"/>
      <c r="N188" s="439" t="s">
        <v>2052</v>
      </c>
      <c r="O188" s="439"/>
      <c r="P188" s="439"/>
      <c r="Q188" s="439"/>
      <c r="R188" s="314"/>
      <c r="S188" s="314"/>
      <c r="T188" s="314"/>
      <c r="U188" s="314"/>
      <c r="V188" s="314"/>
      <c r="W188" s="300"/>
    </row>
    <row r="189" spans="1:23" ht="21" customHeight="1">
      <c r="A189" s="299"/>
      <c r="B189" s="432" t="s">
        <v>1558</v>
      </c>
      <c r="C189" s="432"/>
      <c r="D189" s="432"/>
      <c r="E189" s="432"/>
      <c r="F189" s="432"/>
      <c r="G189" s="432"/>
      <c r="H189" s="432"/>
      <c r="I189" s="432"/>
      <c r="J189" s="431" t="e">
        <f>'Risk Calc'!$I$57</f>
        <v>#N/A</v>
      </c>
      <c r="K189" s="426"/>
      <c r="L189" s="426"/>
      <c r="M189" s="427"/>
      <c r="N189" s="425" t="e">
        <f>'Risk Calc'!AE40</f>
        <v>#DIV/0!</v>
      </c>
      <c r="O189" s="426"/>
      <c r="P189" s="426"/>
      <c r="Q189" s="427"/>
      <c r="R189" s="315"/>
      <c r="S189" s="315"/>
      <c r="T189" s="315"/>
      <c r="U189" s="315"/>
      <c r="V189" s="315"/>
      <c r="W189" s="275"/>
    </row>
    <row r="190" spans="1:23" ht="30.75" customHeight="1">
      <c r="A190" s="299"/>
      <c r="B190" s="424" t="s">
        <v>1557</v>
      </c>
      <c r="C190" s="424"/>
      <c r="D190" s="424"/>
      <c r="E190" s="424"/>
      <c r="F190" s="424"/>
      <c r="G190" s="424"/>
      <c r="H190" s="424"/>
      <c r="I190" s="424"/>
      <c r="J190" s="428"/>
      <c r="K190" s="429"/>
      <c r="L190" s="429"/>
      <c r="M190" s="430"/>
      <c r="N190" s="428"/>
      <c r="O190" s="429"/>
      <c r="P190" s="429"/>
      <c r="Q190" s="430"/>
      <c r="R190" s="315"/>
      <c r="S190" s="315"/>
      <c r="T190" s="315"/>
      <c r="U190" s="315"/>
      <c r="V190" s="315"/>
      <c r="W190" s="275"/>
    </row>
    <row r="191" spans="1:23" ht="18.75" customHeight="1">
      <c r="A191" s="299"/>
      <c r="B191" s="432" t="s">
        <v>1559</v>
      </c>
      <c r="C191" s="432"/>
      <c r="D191" s="432"/>
      <c r="E191" s="432"/>
      <c r="F191" s="432"/>
      <c r="G191" s="432"/>
      <c r="H191" s="432"/>
      <c r="I191" s="432"/>
      <c r="J191" s="431" t="e">
        <f>'Risk Calc'!$I$57</f>
        <v>#N/A</v>
      </c>
      <c r="K191" s="426"/>
      <c r="L191" s="426"/>
      <c r="M191" s="427"/>
      <c r="N191" s="425" t="e">
        <f>'Risk Calc'!AE41</f>
        <v>#DIV/0!</v>
      </c>
      <c r="O191" s="426"/>
      <c r="P191" s="426"/>
      <c r="Q191" s="427"/>
      <c r="R191" s="315"/>
      <c r="S191" s="315"/>
      <c r="T191" s="315"/>
      <c r="U191" s="315"/>
      <c r="V191" s="315"/>
      <c r="W191" s="275"/>
    </row>
    <row r="192" spans="1:23" ht="30.75" customHeight="1">
      <c r="A192" s="299"/>
      <c r="B192" s="424" t="s">
        <v>1560</v>
      </c>
      <c r="C192" s="424"/>
      <c r="D192" s="424"/>
      <c r="E192" s="424"/>
      <c r="F192" s="424"/>
      <c r="G192" s="424"/>
      <c r="H192" s="424"/>
      <c r="I192" s="424"/>
      <c r="J192" s="428"/>
      <c r="K192" s="429"/>
      <c r="L192" s="429"/>
      <c r="M192" s="430"/>
      <c r="N192" s="428"/>
      <c r="O192" s="429"/>
      <c r="P192" s="429"/>
      <c r="Q192" s="430"/>
      <c r="R192" s="315"/>
      <c r="S192" s="315"/>
      <c r="T192" s="315"/>
      <c r="U192" s="315"/>
      <c r="V192" s="315"/>
      <c r="W192" s="275"/>
    </row>
    <row r="193" spans="1:23" ht="18.75" customHeight="1">
      <c r="A193" s="299"/>
      <c r="B193" s="432" t="s">
        <v>1504</v>
      </c>
      <c r="C193" s="432"/>
      <c r="D193" s="432"/>
      <c r="E193" s="432"/>
      <c r="F193" s="432"/>
      <c r="G193" s="432"/>
      <c r="H193" s="432"/>
      <c r="I193" s="432"/>
      <c r="J193" s="431" t="e">
        <f>'Risk Calc'!$I$57</f>
        <v>#N/A</v>
      </c>
      <c r="K193" s="426"/>
      <c r="L193" s="426"/>
      <c r="M193" s="427"/>
      <c r="N193" s="425" t="e">
        <f>'Risk Calc'!AE42</f>
        <v>#DIV/0!</v>
      </c>
      <c r="O193" s="426"/>
      <c r="P193" s="426"/>
      <c r="Q193" s="427"/>
      <c r="R193" s="315"/>
      <c r="S193" s="315"/>
      <c r="T193" s="315"/>
      <c r="U193" s="315"/>
      <c r="V193" s="315"/>
      <c r="W193" s="275"/>
    </row>
    <row r="194" spans="1:23" ht="30.75" customHeight="1">
      <c r="A194" s="299"/>
      <c r="B194" s="424" t="s">
        <v>1870</v>
      </c>
      <c r="C194" s="424"/>
      <c r="D194" s="424"/>
      <c r="E194" s="424"/>
      <c r="F194" s="424"/>
      <c r="G194" s="424"/>
      <c r="H194" s="424"/>
      <c r="I194" s="424"/>
      <c r="J194" s="428"/>
      <c r="K194" s="429"/>
      <c r="L194" s="429"/>
      <c r="M194" s="430"/>
      <c r="N194" s="428"/>
      <c r="O194" s="429"/>
      <c r="P194" s="429"/>
      <c r="Q194" s="430"/>
      <c r="R194" s="315"/>
      <c r="S194" s="315"/>
      <c r="T194" s="315"/>
      <c r="U194" s="315"/>
      <c r="V194" s="315"/>
      <c r="W194" s="275"/>
    </row>
    <row r="195" spans="1:23" ht="18.75" customHeight="1">
      <c r="A195" s="299"/>
      <c r="B195" s="432" t="s">
        <v>1505</v>
      </c>
      <c r="C195" s="432"/>
      <c r="D195" s="432"/>
      <c r="E195" s="432"/>
      <c r="F195" s="432"/>
      <c r="G195" s="432"/>
      <c r="H195" s="432"/>
      <c r="I195" s="432"/>
      <c r="J195" s="431" t="e">
        <f>'Risk Calc'!$I$57</f>
        <v>#N/A</v>
      </c>
      <c r="K195" s="426"/>
      <c r="L195" s="426"/>
      <c r="M195" s="427"/>
      <c r="N195" s="425" t="e">
        <f>'Risk Calc'!AE43</f>
        <v>#DIV/0!</v>
      </c>
      <c r="O195" s="426"/>
      <c r="P195" s="426"/>
      <c r="Q195" s="427"/>
      <c r="R195" s="315"/>
      <c r="S195" s="315"/>
      <c r="T195" s="315"/>
      <c r="U195" s="315"/>
      <c r="V195" s="315"/>
      <c r="W195" s="275"/>
    </row>
    <row r="196" spans="1:23" ht="30.75" customHeight="1">
      <c r="A196" s="299"/>
      <c r="B196" s="424" t="s">
        <v>1561</v>
      </c>
      <c r="C196" s="424"/>
      <c r="D196" s="424"/>
      <c r="E196" s="424"/>
      <c r="F196" s="424"/>
      <c r="G196" s="424"/>
      <c r="H196" s="424"/>
      <c r="I196" s="424"/>
      <c r="J196" s="428"/>
      <c r="K196" s="429"/>
      <c r="L196" s="429"/>
      <c r="M196" s="430"/>
      <c r="N196" s="428"/>
      <c r="O196" s="429"/>
      <c r="P196" s="429"/>
      <c r="Q196" s="430"/>
      <c r="R196" s="315"/>
      <c r="S196" s="315"/>
      <c r="T196" s="315"/>
      <c r="U196" s="315"/>
      <c r="V196" s="315"/>
      <c r="W196" s="275"/>
    </row>
    <row r="197" spans="1:23" ht="18.75" customHeight="1">
      <c r="A197" s="299"/>
      <c r="B197" s="432" t="s">
        <v>1506</v>
      </c>
      <c r="C197" s="432"/>
      <c r="D197" s="432"/>
      <c r="E197" s="432"/>
      <c r="F197" s="432"/>
      <c r="G197" s="432"/>
      <c r="H197" s="432"/>
      <c r="I197" s="432"/>
      <c r="J197" s="431" t="e">
        <f>'Risk Calc'!$I$57</f>
        <v>#N/A</v>
      </c>
      <c r="K197" s="426"/>
      <c r="L197" s="426"/>
      <c r="M197" s="427"/>
      <c r="N197" s="425" t="e">
        <f>'Risk Calc'!AE44</f>
        <v>#DIV/0!</v>
      </c>
      <c r="O197" s="426"/>
      <c r="P197" s="426"/>
      <c r="Q197" s="427"/>
      <c r="R197" s="315"/>
      <c r="S197" s="315"/>
      <c r="T197" s="315"/>
      <c r="U197" s="315"/>
      <c r="V197" s="315"/>
      <c r="W197" s="275"/>
    </row>
    <row r="198" spans="1:23" ht="30.75" customHeight="1">
      <c r="A198" s="299"/>
      <c r="B198" s="424" t="s">
        <v>1562</v>
      </c>
      <c r="C198" s="424"/>
      <c r="D198" s="424"/>
      <c r="E198" s="424"/>
      <c r="F198" s="424"/>
      <c r="G198" s="424"/>
      <c r="H198" s="424"/>
      <c r="I198" s="424"/>
      <c r="J198" s="428"/>
      <c r="K198" s="429"/>
      <c r="L198" s="429"/>
      <c r="M198" s="430"/>
      <c r="N198" s="428"/>
      <c r="O198" s="429"/>
      <c r="P198" s="429"/>
      <c r="Q198" s="430"/>
      <c r="R198" s="315"/>
      <c r="S198" s="315"/>
      <c r="T198" s="315"/>
      <c r="U198" s="315"/>
      <c r="V198" s="315"/>
      <c r="W198" s="275"/>
    </row>
    <row r="199" spans="1:23" ht="48" customHeight="1">
      <c r="A199" s="299"/>
      <c r="B199" s="268"/>
      <c r="C199" s="269"/>
      <c r="D199" s="270"/>
      <c r="E199" s="271"/>
      <c r="F199" s="415" t="s">
        <v>2053</v>
      </c>
      <c r="G199" s="415"/>
      <c r="H199" s="415"/>
      <c r="I199" s="415"/>
      <c r="J199" s="396" t="str">
        <f>'Risk Calc'!AD58</f>
        <v>Unknown</v>
      </c>
      <c r="K199" s="397"/>
      <c r="L199" s="397"/>
      <c r="M199" s="397"/>
      <c r="N199" s="397"/>
      <c r="O199" s="397"/>
      <c r="P199" s="397"/>
      <c r="Q199" s="398"/>
      <c r="R199" s="316"/>
      <c r="S199" s="316"/>
      <c r="T199" s="316"/>
      <c r="U199" s="316"/>
      <c r="V199" s="316"/>
      <c r="W199" s="275"/>
    </row>
    <row r="200" spans="1:23" ht="21" customHeight="1">
      <c r="A200" s="299"/>
      <c r="B200" s="268"/>
      <c r="C200" s="269"/>
      <c r="D200" s="270"/>
      <c r="E200" s="271"/>
      <c r="F200" s="399" t="s">
        <v>1920</v>
      </c>
      <c r="G200" s="399"/>
      <c r="H200" s="399"/>
      <c r="I200" s="399"/>
      <c r="J200" s="399"/>
      <c r="K200" s="399"/>
      <c r="L200" s="399"/>
      <c r="M200" s="399"/>
      <c r="N200" s="399"/>
      <c r="O200" s="399"/>
      <c r="P200" s="399"/>
      <c r="Q200" s="399"/>
      <c r="R200" s="317"/>
      <c r="S200" s="317"/>
      <c r="T200" s="317"/>
      <c r="U200" s="317"/>
      <c r="V200" s="317"/>
      <c r="W200" s="275"/>
    </row>
    <row r="201" spans="1:23" ht="16">
      <c r="A201" s="299"/>
      <c r="B201" s="416" t="s">
        <v>2055</v>
      </c>
      <c r="C201" s="417"/>
      <c r="D201" s="417"/>
      <c r="E201" s="417"/>
      <c r="F201" s="417"/>
      <c r="G201" s="417"/>
      <c r="H201" s="417"/>
      <c r="I201" s="417"/>
      <c r="J201" s="418" t="s">
        <v>2054</v>
      </c>
      <c r="K201" s="419"/>
      <c r="L201" s="419"/>
      <c r="M201" s="419"/>
      <c r="N201" s="419"/>
      <c r="O201" s="419"/>
      <c r="P201" s="419"/>
      <c r="Q201" s="420"/>
      <c r="R201" s="306"/>
      <c r="S201" s="306"/>
      <c r="T201" s="306"/>
      <c r="U201" s="306"/>
      <c r="V201" s="306"/>
      <c r="W201" s="275"/>
    </row>
    <row r="202" spans="1:23" ht="16">
      <c r="A202" s="299"/>
      <c r="B202" s="421" t="s">
        <v>1502</v>
      </c>
      <c r="C202" s="422"/>
      <c r="D202" s="422" t="s">
        <v>1418</v>
      </c>
      <c r="E202" s="422"/>
      <c r="F202" s="422"/>
      <c r="G202" s="422" t="s">
        <v>1573</v>
      </c>
      <c r="H202" s="422"/>
      <c r="I202" s="422"/>
      <c r="J202" s="423" t="s">
        <v>1503</v>
      </c>
      <c r="K202" s="413"/>
      <c r="L202" s="413" t="s">
        <v>1418</v>
      </c>
      <c r="M202" s="413"/>
      <c r="N202" s="413"/>
      <c r="O202" s="413" t="s">
        <v>1573</v>
      </c>
      <c r="P202" s="413"/>
      <c r="Q202" s="414"/>
      <c r="R202" s="305"/>
      <c r="S202" s="305"/>
      <c r="T202" s="305"/>
      <c r="U202" s="305"/>
      <c r="V202" s="305"/>
      <c r="W202" s="275"/>
    </row>
    <row r="203" spans="1:23" ht="51" customHeight="1">
      <c r="A203" s="299"/>
      <c r="B203" s="407" t="s">
        <v>1567</v>
      </c>
      <c r="C203" s="408"/>
      <c r="D203" s="409" t="s">
        <v>2057</v>
      </c>
      <c r="E203" s="409"/>
      <c r="F203" s="409"/>
      <c r="G203" s="409"/>
      <c r="H203" s="409"/>
      <c r="I203" s="410"/>
      <c r="J203" s="411" t="s">
        <v>1568</v>
      </c>
      <c r="K203" s="408"/>
      <c r="L203" s="409" t="s">
        <v>2060</v>
      </c>
      <c r="M203" s="409"/>
      <c r="N203" s="409"/>
      <c r="O203" s="409"/>
      <c r="P203" s="409"/>
      <c r="Q203" s="412"/>
      <c r="R203" s="309"/>
      <c r="S203" s="309"/>
      <c r="T203" s="309"/>
      <c r="U203" s="309"/>
      <c r="V203" s="309"/>
      <c r="W203" s="275"/>
    </row>
    <row r="204" spans="1:23" ht="51" customHeight="1">
      <c r="A204" s="299"/>
      <c r="B204" s="407" t="s">
        <v>1570</v>
      </c>
      <c r="C204" s="408"/>
      <c r="D204" s="409" t="s">
        <v>2058</v>
      </c>
      <c r="E204" s="409"/>
      <c r="F204" s="409"/>
      <c r="G204" s="409"/>
      <c r="H204" s="409"/>
      <c r="I204" s="410"/>
      <c r="J204" s="411" t="s">
        <v>1572</v>
      </c>
      <c r="K204" s="408"/>
      <c r="L204" s="409" t="s">
        <v>2061</v>
      </c>
      <c r="M204" s="409"/>
      <c r="N204" s="409"/>
      <c r="O204" s="409"/>
      <c r="P204" s="409"/>
      <c r="Q204" s="412"/>
      <c r="R204" s="309"/>
      <c r="S204" s="309"/>
      <c r="T204" s="309"/>
      <c r="U204" s="309"/>
      <c r="V204" s="309"/>
      <c r="W204" s="275"/>
    </row>
    <row r="205" spans="1:23" ht="51" customHeight="1">
      <c r="A205" s="299"/>
      <c r="B205" s="401" t="s">
        <v>1571</v>
      </c>
      <c r="C205" s="402"/>
      <c r="D205" s="403" t="s">
        <v>2059</v>
      </c>
      <c r="E205" s="403"/>
      <c r="F205" s="403"/>
      <c r="G205" s="403"/>
      <c r="H205" s="403"/>
      <c r="I205" s="404"/>
      <c r="J205" s="405" t="s">
        <v>1569</v>
      </c>
      <c r="K205" s="402"/>
      <c r="L205" s="403" t="s">
        <v>2062</v>
      </c>
      <c r="M205" s="403"/>
      <c r="N205" s="403"/>
      <c r="O205" s="403"/>
      <c r="P205" s="403"/>
      <c r="Q205" s="406"/>
      <c r="R205" s="309"/>
      <c r="S205" s="309"/>
      <c r="T205" s="309"/>
      <c r="U205" s="309"/>
      <c r="V205" s="309"/>
      <c r="W205" s="275"/>
    </row>
    <row r="206" spans="1:23" ht="22" thickBot="1">
      <c r="A206" s="292"/>
      <c r="B206" s="301"/>
      <c r="C206" s="282"/>
      <c r="D206" s="283"/>
      <c r="E206" s="302"/>
      <c r="F206" s="302"/>
      <c r="G206" s="302"/>
      <c r="H206" s="302"/>
      <c r="I206" s="302"/>
      <c r="J206" s="302"/>
      <c r="K206" s="302"/>
      <c r="L206" s="285"/>
      <c r="M206" s="285"/>
      <c r="N206" s="302"/>
      <c r="O206" s="303"/>
      <c r="P206" s="303"/>
      <c r="Q206" s="303"/>
      <c r="R206" s="319"/>
      <c r="S206" s="319"/>
      <c r="T206" s="319"/>
      <c r="U206" s="319"/>
      <c r="V206" s="319"/>
      <c r="W206" s="287"/>
    </row>
    <row r="207" spans="1:23" ht="22" thickTop="1"/>
  </sheetData>
  <mergeCells count="562">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43:Q43"/>
    <mergeCell ref="B56:Q56"/>
    <mergeCell ref="B124:Q124"/>
    <mergeCell ref="B131:Q131"/>
    <mergeCell ref="B137:Q137"/>
    <mergeCell ref="B142:Q142"/>
    <mergeCell ref="B148:Q148"/>
    <mergeCell ref="B159:Q159"/>
    <mergeCell ref="B166:Q166"/>
    <mergeCell ref="B63:Q63"/>
    <mergeCell ref="L65:M65"/>
    <mergeCell ref="D66:K66"/>
    <mergeCell ref="B68:Q68"/>
    <mergeCell ref="L57:M57"/>
    <mergeCell ref="N57:Q57"/>
    <mergeCell ref="N62:Q62"/>
    <mergeCell ref="N61:Q61"/>
    <mergeCell ref="N60:Q60"/>
    <mergeCell ref="N59:Q59"/>
    <mergeCell ref="N58:Q58"/>
    <mergeCell ref="D58:K58"/>
    <mergeCell ref="D59:K59"/>
    <mergeCell ref="D60:K60"/>
    <mergeCell ref="D61:K61"/>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B108:B111"/>
    <mergeCell ref="B113:B117"/>
    <mergeCell ref="D88:K88"/>
    <mergeCell ref="N66:Q66"/>
    <mergeCell ref="N65:Q65"/>
    <mergeCell ref="N82:Q82"/>
    <mergeCell ref="N81:Q81"/>
    <mergeCell ref="N80:Q80"/>
    <mergeCell ref="B167:B172"/>
    <mergeCell ref="B174:B178"/>
    <mergeCell ref="B180:B181"/>
    <mergeCell ref="B125:B130"/>
    <mergeCell ref="B132:B136"/>
    <mergeCell ref="B138:B141"/>
    <mergeCell ref="B143:B147"/>
    <mergeCell ref="B149:B158"/>
    <mergeCell ref="B160:B165"/>
    <mergeCell ref="B173:Q173"/>
    <mergeCell ref="B179:Q179"/>
    <mergeCell ref="D62:K62"/>
    <mergeCell ref="D57:K57"/>
    <mergeCell ref="L62:M62"/>
    <mergeCell ref="L61:M61"/>
    <mergeCell ref="L60:M60"/>
    <mergeCell ref="L59:M59"/>
    <mergeCell ref="D78:K78"/>
    <mergeCell ref="D77:K77"/>
    <mergeCell ref="D76:K76"/>
    <mergeCell ref="L76:M76"/>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N77:Q77"/>
    <mergeCell ref="N76:Q76"/>
    <mergeCell ref="L78:M78"/>
    <mergeCell ref="L77:M77"/>
    <mergeCell ref="B75:Q75"/>
    <mergeCell ref="N79:Q79"/>
    <mergeCell ref="N78:Q78"/>
    <mergeCell ref="D81:K81"/>
    <mergeCell ref="D80:K80"/>
    <mergeCell ref="D79:K79"/>
    <mergeCell ref="D83:K83"/>
    <mergeCell ref="D82:K82"/>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94:K94"/>
    <mergeCell ref="D93:K93"/>
    <mergeCell ref="D92:K92"/>
    <mergeCell ref="D91:K91"/>
    <mergeCell ref="D90:K90"/>
    <mergeCell ref="N94:Q94"/>
    <mergeCell ref="N93:Q93"/>
    <mergeCell ref="N92:Q92"/>
    <mergeCell ref="N91:Q91"/>
    <mergeCell ref="N90:Q90"/>
    <mergeCell ref="L94:M94"/>
    <mergeCell ref="L93:M93"/>
    <mergeCell ref="L92:M92"/>
    <mergeCell ref="L98:M98"/>
    <mergeCell ref="L97:M97"/>
    <mergeCell ref="L96:M96"/>
    <mergeCell ref="N101:Q101"/>
    <mergeCell ref="N100:Q100"/>
    <mergeCell ref="N99:Q99"/>
    <mergeCell ref="N98:Q98"/>
    <mergeCell ref="N97:Q97"/>
    <mergeCell ref="N96:Q96"/>
    <mergeCell ref="N106:Q106"/>
    <mergeCell ref="N105:Q105"/>
    <mergeCell ref="N104:Q104"/>
    <mergeCell ref="N103:Q103"/>
    <mergeCell ref="L106:M106"/>
    <mergeCell ref="L105:M105"/>
    <mergeCell ref="L101:M101"/>
    <mergeCell ref="L100:M100"/>
    <mergeCell ref="L99:M99"/>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D128:K128"/>
    <mergeCell ref="D127:K127"/>
    <mergeCell ref="D126:K126"/>
    <mergeCell ref="D125:K125"/>
    <mergeCell ref="D136:K136"/>
    <mergeCell ref="D135:K135"/>
    <mergeCell ref="D134:K134"/>
    <mergeCell ref="D133:K133"/>
    <mergeCell ref="D132:K132"/>
    <mergeCell ref="N133:Q133"/>
    <mergeCell ref="N132:Q132"/>
    <mergeCell ref="L136:M136"/>
    <mergeCell ref="L135:M135"/>
    <mergeCell ref="L134:M134"/>
    <mergeCell ref="L133:M133"/>
    <mergeCell ref="L132:M132"/>
    <mergeCell ref="N136:Q136"/>
    <mergeCell ref="N135:Q135"/>
    <mergeCell ref="N134:Q134"/>
    <mergeCell ref="D141:K141"/>
    <mergeCell ref="D140:K140"/>
    <mergeCell ref="D139:K139"/>
    <mergeCell ref="D138:K138"/>
    <mergeCell ref="N141:Q141"/>
    <mergeCell ref="N140:Q140"/>
    <mergeCell ref="N139:Q139"/>
    <mergeCell ref="N138:Q138"/>
    <mergeCell ref="L141:M141"/>
    <mergeCell ref="L140:M140"/>
    <mergeCell ref="L139:M139"/>
    <mergeCell ref="L138:M138"/>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D165:K165"/>
    <mergeCell ref="D164:K164"/>
    <mergeCell ref="D163:K163"/>
    <mergeCell ref="D162:K162"/>
    <mergeCell ref="D161:K161"/>
    <mergeCell ref="D160:K160"/>
    <mergeCell ref="N162:Q162"/>
    <mergeCell ref="N161:Q161"/>
    <mergeCell ref="N160:Q160"/>
    <mergeCell ref="L165:M165"/>
    <mergeCell ref="L164:M164"/>
    <mergeCell ref="L163:M163"/>
    <mergeCell ref="L162:M162"/>
    <mergeCell ref="L161:M161"/>
    <mergeCell ref="L160:M160"/>
    <mergeCell ref="N165:Q165"/>
    <mergeCell ref="N164:Q164"/>
    <mergeCell ref="N163:Q163"/>
    <mergeCell ref="N172:Q172"/>
    <mergeCell ref="N171:Q171"/>
    <mergeCell ref="N170:Q170"/>
    <mergeCell ref="N169:Q169"/>
    <mergeCell ref="N168:Q168"/>
    <mergeCell ref="N167:Q167"/>
    <mergeCell ref="L172:M172"/>
    <mergeCell ref="L171:M171"/>
    <mergeCell ref="L170:M170"/>
    <mergeCell ref="L169:M169"/>
    <mergeCell ref="L168:M168"/>
    <mergeCell ref="L167:M167"/>
    <mergeCell ref="D172:K172"/>
    <mergeCell ref="D171:K171"/>
    <mergeCell ref="D170:K170"/>
    <mergeCell ref="D169:K169"/>
    <mergeCell ref="D168:K168"/>
    <mergeCell ref="D167:K167"/>
    <mergeCell ref="D181:K181"/>
    <mergeCell ref="D180:K180"/>
    <mergeCell ref="D178:K178"/>
    <mergeCell ref="D177:K177"/>
    <mergeCell ref="D176:K176"/>
    <mergeCell ref="D175:K175"/>
    <mergeCell ref="D174:K174"/>
    <mergeCell ref="N174:Q174"/>
    <mergeCell ref="L181:M181"/>
    <mergeCell ref="L180:M180"/>
    <mergeCell ref="L178:M178"/>
    <mergeCell ref="L177:M177"/>
    <mergeCell ref="L176:M176"/>
    <mergeCell ref="L175:M175"/>
    <mergeCell ref="L174:M174"/>
    <mergeCell ref="N181:Q181"/>
    <mergeCell ref="N180:Q180"/>
    <mergeCell ref="N178:Q178"/>
    <mergeCell ref="N177:Q177"/>
    <mergeCell ref="N176:Q176"/>
    <mergeCell ref="N175:Q175"/>
    <mergeCell ref="B8:D8"/>
    <mergeCell ref="B11:Q11"/>
    <mergeCell ref="F12:I12"/>
    <mergeCell ref="J12:M12"/>
    <mergeCell ref="N12:Q12"/>
    <mergeCell ref="P1:Q1"/>
    <mergeCell ref="N1:O1"/>
    <mergeCell ref="D1:M1"/>
    <mergeCell ref="B5:Q5"/>
    <mergeCell ref="B6:D6"/>
    <mergeCell ref="B7:D7"/>
    <mergeCell ref="B9:D9"/>
    <mergeCell ref="B12:E12"/>
    <mergeCell ref="A3:W3"/>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26:Q26"/>
    <mergeCell ref="J28:M28"/>
    <mergeCell ref="F28:I28"/>
    <mergeCell ref="B28:E28"/>
    <mergeCell ref="B29:E29"/>
    <mergeCell ref="F29:I29"/>
    <mergeCell ref="J29:M29"/>
    <mergeCell ref="N27:Q27"/>
    <mergeCell ref="J27:M27"/>
    <mergeCell ref="F27:I27"/>
    <mergeCell ref="B27:E27"/>
    <mergeCell ref="B32:E32"/>
    <mergeCell ref="F32:I32"/>
    <mergeCell ref="J32:M32"/>
    <mergeCell ref="B34:I34"/>
    <mergeCell ref="J34:Q34"/>
    <mergeCell ref="B33:Q33"/>
    <mergeCell ref="B30:E30"/>
    <mergeCell ref="F30:I30"/>
    <mergeCell ref="J30:M30"/>
    <mergeCell ref="B31:E31"/>
    <mergeCell ref="F31:I31"/>
    <mergeCell ref="J31:M31"/>
    <mergeCell ref="N28:Q32"/>
    <mergeCell ref="G38:I38"/>
    <mergeCell ref="J38:K38"/>
    <mergeCell ref="L38:N38"/>
    <mergeCell ref="O38:Q38"/>
    <mergeCell ref="J36:K36"/>
    <mergeCell ref="B37:C37"/>
    <mergeCell ref="D37:F37"/>
    <mergeCell ref="G37:I37"/>
    <mergeCell ref="J37:K37"/>
    <mergeCell ref="L37:N37"/>
    <mergeCell ref="B36:C36"/>
    <mergeCell ref="D36:F36"/>
    <mergeCell ref="G36:I36"/>
    <mergeCell ref="O36:Q36"/>
    <mergeCell ref="L36:N36"/>
    <mergeCell ref="B183:Q183"/>
    <mergeCell ref="D45:K45"/>
    <mergeCell ref="L45:M45"/>
    <mergeCell ref="D46:K46"/>
    <mergeCell ref="L46:M46"/>
    <mergeCell ref="D47:K47"/>
    <mergeCell ref="O35:Q35"/>
    <mergeCell ref="L35:N35"/>
    <mergeCell ref="J35:K35"/>
    <mergeCell ref="G35:I35"/>
    <mergeCell ref="D35:F35"/>
    <mergeCell ref="B35:C35"/>
    <mergeCell ref="B39:C39"/>
    <mergeCell ref="D39:F39"/>
    <mergeCell ref="G39:I39"/>
    <mergeCell ref="J39:K39"/>
    <mergeCell ref="L39:N39"/>
    <mergeCell ref="O39:Q39"/>
    <mergeCell ref="O37:Q37"/>
    <mergeCell ref="B38:C38"/>
    <mergeCell ref="D38:F38"/>
    <mergeCell ref="N52:Q52"/>
    <mergeCell ref="D51:K51"/>
    <mergeCell ref="L51:M51"/>
    <mergeCell ref="D52:K52"/>
    <mergeCell ref="L52:M52"/>
    <mergeCell ref="D53:K53"/>
    <mergeCell ref="L53:M53"/>
    <mergeCell ref="L47:M47"/>
    <mergeCell ref="D48:K48"/>
    <mergeCell ref="L48:M48"/>
    <mergeCell ref="D49:K49"/>
    <mergeCell ref="L49:M49"/>
    <mergeCell ref="D50:K50"/>
    <mergeCell ref="L50:M50"/>
    <mergeCell ref="B190:I190"/>
    <mergeCell ref="B191:I191"/>
    <mergeCell ref="N189:Q190"/>
    <mergeCell ref="J189:M190"/>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B196:I196"/>
    <mergeCell ref="B197:I197"/>
    <mergeCell ref="N195:Q196"/>
    <mergeCell ref="J195:M196"/>
    <mergeCell ref="B194:I194"/>
    <mergeCell ref="B195:I195"/>
    <mergeCell ref="N193:Q194"/>
    <mergeCell ref="J193:M194"/>
    <mergeCell ref="B192:I192"/>
    <mergeCell ref="B193:I193"/>
    <mergeCell ref="N191:Q192"/>
    <mergeCell ref="J191:M192"/>
    <mergeCell ref="B201:I201"/>
    <mergeCell ref="J201:Q201"/>
    <mergeCell ref="B202:C202"/>
    <mergeCell ref="D202:F202"/>
    <mergeCell ref="G202:I202"/>
    <mergeCell ref="J202:K202"/>
    <mergeCell ref="L202:N202"/>
    <mergeCell ref="B198:I198"/>
    <mergeCell ref="N197:Q198"/>
    <mergeCell ref="J197:M198"/>
    <mergeCell ref="B44:C44"/>
    <mergeCell ref="J199:Q199"/>
    <mergeCell ref="F200:Q200"/>
    <mergeCell ref="B182:V182"/>
    <mergeCell ref="B205:C205"/>
    <mergeCell ref="D205:F205"/>
    <mergeCell ref="G205:I205"/>
    <mergeCell ref="J205:K205"/>
    <mergeCell ref="L205:N205"/>
    <mergeCell ref="O205:Q205"/>
    <mergeCell ref="B204:C204"/>
    <mergeCell ref="D204:F204"/>
    <mergeCell ref="G204:I204"/>
    <mergeCell ref="J204:K204"/>
    <mergeCell ref="L204:N204"/>
    <mergeCell ref="O204:Q204"/>
    <mergeCell ref="O202:Q202"/>
    <mergeCell ref="B203:C203"/>
    <mergeCell ref="D203:F203"/>
    <mergeCell ref="G203:I203"/>
    <mergeCell ref="J203:K203"/>
    <mergeCell ref="L203:N203"/>
    <mergeCell ref="O203:Q203"/>
    <mergeCell ref="F199:I199"/>
  </mergeCells>
  <conditionalFormatting sqref="L57 L184:M184 L206:M1048576 L186:M187">
    <cfRule type="containsText" dxfId="905" priority="569" operator="containsText" text="Optional">
      <formula>NOT(ISERROR(SEARCH("Optional",L57)))</formula>
    </cfRule>
    <cfRule type="containsText" dxfId="904" priority="570" operator="containsText" text="Recommend">
      <formula>NOT(ISERROR(SEARCH("Recommend",L57)))</formula>
    </cfRule>
    <cfRule type="containsText" dxfId="903" priority="571" operator="containsText" text="Required">
      <formula>NOT(ISERROR(SEARCH("Required",L57)))</formula>
    </cfRule>
  </conditionalFormatting>
  <conditionalFormatting sqref="L58">
    <cfRule type="containsText" dxfId="902" priority="563" operator="containsText" text="Optional">
      <formula>NOT(ISERROR(SEARCH("Optional",L58)))</formula>
    </cfRule>
    <cfRule type="containsText" dxfId="901" priority="564" operator="containsText" text="Recommend">
      <formula>NOT(ISERROR(SEARCH("Recommend",L58)))</formula>
    </cfRule>
    <cfRule type="containsText" dxfId="900" priority="565" operator="containsText" text="Required">
      <formula>NOT(ISERROR(SEARCH("Required",L58)))</formula>
    </cfRule>
  </conditionalFormatting>
  <conditionalFormatting sqref="L59:L62">
    <cfRule type="containsText" dxfId="899" priority="158" operator="containsText" text="Optional">
      <formula>NOT(ISERROR(SEARCH("Optional",L59)))</formula>
    </cfRule>
    <cfRule type="containsText" dxfId="898" priority="159" operator="containsText" text="Recommend">
      <formula>NOT(ISERROR(SEARCH("Recommend",L59)))</formula>
    </cfRule>
    <cfRule type="containsText" dxfId="897" priority="160" operator="containsText" text="Required">
      <formula>NOT(ISERROR(SEARCH("Required",L59)))</formula>
    </cfRule>
  </conditionalFormatting>
  <conditionalFormatting sqref="L90:L94">
    <cfRule type="containsText" dxfId="896" priority="80" operator="containsText" text="Optional">
      <formula>NOT(ISERROR(SEARCH("Optional",L90)))</formula>
    </cfRule>
    <cfRule type="containsText" dxfId="895" priority="81" operator="containsText" text="Recommend">
      <formula>NOT(ISERROR(SEARCH("Recommend",L90)))</formula>
    </cfRule>
    <cfRule type="containsText" dxfId="894" priority="82" operator="containsText" text="Required">
      <formula>NOT(ISERROR(SEARCH("Required",L90)))</formula>
    </cfRule>
  </conditionalFormatting>
  <conditionalFormatting sqref="L85:L88">
    <cfRule type="containsText" dxfId="893" priority="84" operator="containsText" text="Optional">
      <formula>NOT(ISERROR(SEARCH("Optional",L85)))</formula>
    </cfRule>
    <cfRule type="containsText" dxfId="892" priority="85" operator="containsText" text="Recommend">
      <formula>NOT(ISERROR(SEARCH("Recommend",L85)))</formula>
    </cfRule>
    <cfRule type="containsText" dxfId="891" priority="86" operator="containsText" text="Required">
      <formula>NOT(ISERROR(SEARCH("Required",L85)))</formula>
    </cfRule>
  </conditionalFormatting>
  <conditionalFormatting sqref="L76:L83">
    <cfRule type="containsText" dxfId="890" priority="88" operator="containsText" text="Optional">
      <formula>NOT(ISERROR(SEARCH("Optional",L76)))</formula>
    </cfRule>
    <cfRule type="containsText" dxfId="889" priority="89" operator="containsText" text="Recommend">
      <formula>NOT(ISERROR(SEARCH("Recommend",L76)))</formula>
    </cfRule>
    <cfRule type="containsText" dxfId="888" priority="90" operator="containsText" text="Required">
      <formula>NOT(ISERROR(SEARCH("Required",L76)))</formula>
    </cfRule>
  </conditionalFormatting>
  <conditionalFormatting sqref="L69:L74">
    <cfRule type="containsText" dxfId="887" priority="92" operator="containsText" text="Optional">
      <formula>NOT(ISERROR(SEARCH("Optional",L69)))</formula>
    </cfRule>
    <cfRule type="containsText" dxfId="886" priority="93" operator="containsText" text="Recommend">
      <formula>NOT(ISERROR(SEARCH("Recommend",L69)))</formula>
    </cfRule>
    <cfRule type="containsText" dxfId="885" priority="94" operator="containsText" text="Required">
      <formula>NOT(ISERROR(SEARCH("Required",L69)))</formula>
    </cfRule>
  </conditionalFormatting>
  <conditionalFormatting sqref="L64:L67">
    <cfRule type="containsText" dxfId="884" priority="96" operator="containsText" text="Optional">
      <formula>NOT(ISERROR(SEARCH("Optional",L64)))</formula>
    </cfRule>
    <cfRule type="containsText" dxfId="883" priority="97" operator="containsText" text="Recommend">
      <formula>NOT(ISERROR(SEARCH("Recommend",L64)))</formula>
    </cfRule>
    <cfRule type="containsText" dxfId="882" priority="98" operator="containsText" text="Required">
      <formula>NOT(ISERROR(SEARCH("Required",L64)))</formula>
    </cfRule>
  </conditionalFormatting>
  <conditionalFormatting sqref="L58:M62">
    <cfRule type="containsBlanks" dxfId="881" priority="99">
      <formula>LEN(TRIM(L58))=0</formula>
    </cfRule>
  </conditionalFormatting>
  <conditionalFormatting sqref="L64:M67">
    <cfRule type="containsBlanks" dxfId="880" priority="95">
      <formula>LEN(TRIM(L64))=0</formula>
    </cfRule>
  </conditionalFormatting>
  <conditionalFormatting sqref="L69:M74">
    <cfRule type="containsBlanks" dxfId="879" priority="91">
      <formula>LEN(TRIM(L69))=0</formula>
    </cfRule>
  </conditionalFormatting>
  <conditionalFormatting sqref="L76:M83">
    <cfRule type="containsBlanks" dxfId="878" priority="87">
      <formula>LEN(TRIM(L76))=0</formula>
    </cfRule>
  </conditionalFormatting>
  <conditionalFormatting sqref="L85:M88">
    <cfRule type="containsBlanks" dxfId="877" priority="83">
      <formula>LEN(TRIM(L85))=0</formula>
    </cfRule>
  </conditionalFormatting>
  <conditionalFormatting sqref="L96:L101">
    <cfRule type="containsText" dxfId="876" priority="76" operator="containsText" text="Optional">
      <formula>NOT(ISERROR(SEARCH("Optional",L96)))</formula>
    </cfRule>
    <cfRule type="containsText" dxfId="875" priority="77" operator="containsText" text="Recommend">
      <formula>NOT(ISERROR(SEARCH("Recommend",L96)))</formula>
    </cfRule>
    <cfRule type="containsText" dxfId="874" priority="78" operator="containsText" text="Required">
      <formula>NOT(ISERROR(SEARCH("Required",L96)))</formula>
    </cfRule>
  </conditionalFormatting>
  <conditionalFormatting sqref="L90:M94">
    <cfRule type="containsBlanks" dxfId="873" priority="79">
      <formula>LEN(TRIM(L90))=0</formula>
    </cfRule>
  </conditionalFormatting>
  <conditionalFormatting sqref="L96:M101">
    <cfRule type="containsBlanks" dxfId="872" priority="75">
      <formula>LEN(TRIM(L96))=0</formula>
    </cfRule>
  </conditionalFormatting>
  <conditionalFormatting sqref="L103:L106">
    <cfRule type="containsText" dxfId="871" priority="72" operator="containsText" text="Optional">
      <formula>NOT(ISERROR(SEARCH("Optional",L103)))</formula>
    </cfRule>
    <cfRule type="containsText" dxfId="870" priority="73" operator="containsText" text="Recommend">
      <formula>NOT(ISERROR(SEARCH("Recommend",L103)))</formula>
    </cfRule>
    <cfRule type="containsText" dxfId="869" priority="74" operator="containsText" text="Required">
      <formula>NOT(ISERROR(SEARCH("Required",L103)))</formula>
    </cfRule>
  </conditionalFormatting>
  <conditionalFormatting sqref="L103:M106">
    <cfRule type="containsBlanks" dxfId="868" priority="71">
      <formula>LEN(TRIM(L103))=0</formula>
    </cfRule>
  </conditionalFormatting>
  <conditionalFormatting sqref="L108:L111">
    <cfRule type="containsText" dxfId="867" priority="68" operator="containsText" text="Optional">
      <formula>NOT(ISERROR(SEARCH("Optional",L108)))</formula>
    </cfRule>
    <cfRule type="containsText" dxfId="866" priority="69" operator="containsText" text="Recommend">
      <formula>NOT(ISERROR(SEARCH("Recommend",L108)))</formula>
    </cfRule>
    <cfRule type="containsText" dxfId="865" priority="70" operator="containsText" text="Required">
      <formula>NOT(ISERROR(SEARCH("Required",L108)))</formula>
    </cfRule>
  </conditionalFormatting>
  <conditionalFormatting sqref="L108:M111">
    <cfRule type="containsBlanks" dxfId="864" priority="67">
      <formula>LEN(TRIM(L108))=0</formula>
    </cfRule>
  </conditionalFormatting>
  <conditionalFormatting sqref="L113:L117">
    <cfRule type="containsText" dxfId="863" priority="64" operator="containsText" text="Optional">
      <formula>NOT(ISERROR(SEARCH("Optional",L113)))</formula>
    </cfRule>
    <cfRule type="containsText" dxfId="862" priority="65" operator="containsText" text="Recommend">
      <formula>NOT(ISERROR(SEARCH("Recommend",L113)))</formula>
    </cfRule>
    <cfRule type="containsText" dxfId="861" priority="66" operator="containsText" text="Required">
      <formula>NOT(ISERROR(SEARCH("Required",L113)))</formula>
    </cfRule>
  </conditionalFormatting>
  <conditionalFormatting sqref="L113:M117">
    <cfRule type="containsBlanks" dxfId="860" priority="63">
      <formula>LEN(TRIM(L113))=0</formula>
    </cfRule>
  </conditionalFormatting>
  <conditionalFormatting sqref="L119:L123">
    <cfRule type="containsText" dxfId="859" priority="60" operator="containsText" text="Optional">
      <formula>NOT(ISERROR(SEARCH("Optional",L119)))</formula>
    </cfRule>
    <cfRule type="containsText" dxfId="858" priority="61" operator="containsText" text="Recommend">
      <formula>NOT(ISERROR(SEARCH("Recommend",L119)))</formula>
    </cfRule>
    <cfRule type="containsText" dxfId="857" priority="62" operator="containsText" text="Required">
      <formula>NOT(ISERROR(SEARCH("Required",L119)))</formula>
    </cfRule>
  </conditionalFormatting>
  <conditionalFormatting sqref="L119:M123">
    <cfRule type="containsBlanks" dxfId="856" priority="59">
      <formula>LEN(TRIM(L119))=0</formula>
    </cfRule>
  </conditionalFormatting>
  <conditionalFormatting sqref="L125:L130">
    <cfRule type="containsText" dxfId="855" priority="56" operator="containsText" text="Optional">
      <formula>NOT(ISERROR(SEARCH("Optional",L125)))</formula>
    </cfRule>
    <cfRule type="containsText" dxfId="854" priority="57" operator="containsText" text="Recommend">
      <formula>NOT(ISERROR(SEARCH("Recommend",L125)))</formula>
    </cfRule>
    <cfRule type="containsText" dxfId="853" priority="58" operator="containsText" text="Required">
      <formula>NOT(ISERROR(SEARCH("Required",L125)))</formula>
    </cfRule>
  </conditionalFormatting>
  <conditionalFormatting sqref="L125:M130">
    <cfRule type="containsBlanks" dxfId="852" priority="55">
      <formula>LEN(TRIM(L125))=0</formula>
    </cfRule>
  </conditionalFormatting>
  <conditionalFormatting sqref="L132:L136">
    <cfRule type="containsText" dxfId="851" priority="52" operator="containsText" text="Optional">
      <formula>NOT(ISERROR(SEARCH("Optional",L132)))</formula>
    </cfRule>
    <cfRule type="containsText" dxfId="850" priority="53" operator="containsText" text="Recommend">
      <formula>NOT(ISERROR(SEARCH("Recommend",L132)))</formula>
    </cfRule>
    <cfRule type="containsText" dxfId="849" priority="54" operator="containsText" text="Required">
      <formula>NOT(ISERROR(SEARCH("Required",L132)))</formula>
    </cfRule>
  </conditionalFormatting>
  <conditionalFormatting sqref="L132:M136">
    <cfRule type="containsBlanks" dxfId="848" priority="51">
      <formula>LEN(TRIM(L132))=0</formula>
    </cfRule>
  </conditionalFormatting>
  <conditionalFormatting sqref="L138:L141">
    <cfRule type="containsText" dxfId="847" priority="48" operator="containsText" text="Optional">
      <formula>NOT(ISERROR(SEARCH("Optional",L138)))</formula>
    </cfRule>
    <cfRule type="containsText" dxfId="846" priority="49" operator="containsText" text="Recommend">
      <formula>NOT(ISERROR(SEARCH("Recommend",L138)))</formula>
    </cfRule>
    <cfRule type="containsText" dxfId="845" priority="50" operator="containsText" text="Required">
      <formula>NOT(ISERROR(SEARCH("Required",L138)))</formula>
    </cfRule>
  </conditionalFormatting>
  <conditionalFormatting sqref="L138:M141">
    <cfRule type="containsBlanks" dxfId="844" priority="47">
      <formula>LEN(TRIM(L138))=0</formula>
    </cfRule>
  </conditionalFormatting>
  <conditionalFormatting sqref="L143:L147">
    <cfRule type="containsText" dxfId="843" priority="44" operator="containsText" text="Optional">
      <formula>NOT(ISERROR(SEARCH("Optional",L143)))</formula>
    </cfRule>
    <cfRule type="containsText" dxfId="842" priority="45" operator="containsText" text="Recommend">
      <formula>NOT(ISERROR(SEARCH("Recommend",L143)))</formula>
    </cfRule>
    <cfRule type="containsText" dxfId="841" priority="46" operator="containsText" text="Required">
      <formula>NOT(ISERROR(SEARCH("Required",L143)))</formula>
    </cfRule>
  </conditionalFormatting>
  <conditionalFormatting sqref="L143:M147">
    <cfRule type="containsBlanks" dxfId="840" priority="43">
      <formula>LEN(TRIM(L143))=0</formula>
    </cfRule>
  </conditionalFormatting>
  <conditionalFormatting sqref="L149:L158">
    <cfRule type="containsText" dxfId="839" priority="40" operator="containsText" text="Optional">
      <formula>NOT(ISERROR(SEARCH("Optional",L149)))</formula>
    </cfRule>
    <cfRule type="containsText" dxfId="838" priority="41" operator="containsText" text="Recommend">
      <formula>NOT(ISERROR(SEARCH("Recommend",L149)))</formula>
    </cfRule>
    <cfRule type="containsText" dxfId="837" priority="42" operator="containsText" text="Required">
      <formula>NOT(ISERROR(SEARCH("Required",L149)))</formula>
    </cfRule>
  </conditionalFormatting>
  <conditionalFormatting sqref="L149:M158">
    <cfRule type="containsBlanks" dxfId="836" priority="39">
      <formula>LEN(TRIM(L149))=0</formula>
    </cfRule>
  </conditionalFormatting>
  <conditionalFormatting sqref="L160:L165">
    <cfRule type="containsText" dxfId="835" priority="36" operator="containsText" text="Optional">
      <formula>NOT(ISERROR(SEARCH("Optional",L160)))</formula>
    </cfRule>
    <cfRule type="containsText" dxfId="834" priority="37" operator="containsText" text="Recommend">
      <formula>NOT(ISERROR(SEARCH("Recommend",L160)))</formula>
    </cfRule>
    <cfRule type="containsText" dxfId="833" priority="38" operator="containsText" text="Required">
      <formula>NOT(ISERROR(SEARCH("Required",L160)))</formula>
    </cfRule>
  </conditionalFormatting>
  <conditionalFormatting sqref="L160:M165">
    <cfRule type="containsBlanks" dxfId="832" priority="35">
      <formula>LEN(TRIM(L160))=0</formula>
    </cfRule>
  </conditionalFormatting>
  <conditionalFormatting sqref="L167:L172">
    <cfRule type="containsText" dxfId="831" priority="32" operator="containsText" text="Optional">
      <formula>NOT(ISERROR(SEARCH("Optional",L167)))</formula>
    </cfRule>
    <cfRule type="containsText" dxfId="830" priority="33" operator="containsText" text="Recommend">
      <formula>NOT(ISERROR(SEARCH("Recommend",L167)))</formula>
    </cfRule>
    <cfRule type="containsText" dxfId="829" priority="34" operator="containsText" text="Required">
      <formula>NOT(ISERROR(SEARCH("Required",L167)))</formula>
    </cfRule>
  </conditionalFormatting>
  <conditionalFormatting sqref="L167:M172">
    <cfRule type="containsBlanks" dxfId="828" priority="31">
      <formula>LEN(TRIM(L167))=0</formula>
    </cfRule>
  </conditionalFormatting>
  <conditionalFormatting sqref="L174:L178">
    <cfRule type="containsText" dxfId="827" priority="28" operator="containsText" text="Optional">
      <formula>NOT(ISERROR(SEARCH("Optional",L174)))</formula>
    </cfRule>
    <cfRule type="containsText" dxfId="826" priority="29" operator="containsText" text="Recommend">
      <formula>NOT(ISERROR(SEARCH("Recommend",L174)))</formula>
    </cfRule>
    <cfRule type="containsText" dxfId="825" priority="30" operator="containsText" text="Required">
      <formula>NOT(ISERROR(SEARCH("Required",L174)))</formula>
    </cfRule>
  </conditionalFormatting>
  <conditionalFormatting sqref="L174:M178">
    <cfRule type="containsBlanks" dxfId="824" priority="27">
      <formula>LEN(TRIM(L174))=0</formula>
    </cfRule>
  </conditionalFormatting>
  <conditionalFormatting sqref="L180:L181">
    <cfRule type="containsText" dxfId="823" priority="24" operator="containsText" text="Optional">
      <formula>NOT(ISERROR(SEARCH("Optional",L180)))</formula>
    </cfRule>
    <cfRule type="containsText" dxfId="822" priority="25" operator="containsText" text="Recommend">
      <formula>NOT(ISERROR(SEARCH("Recommend",L180)))</formula>
    </cfRule>
    <cfRule type="containsText" dxfId="821" priority="26" operator="containsText" text="Required">
      <formula>NOT(ISERROR(SEARCH("Required",L180)))</formula>
    </cfRule>
  </conditionalFormatting>
  <conditionalFormatting sqref="L180:M181">
    <cfRule type="containsBlanks" dxfId="820" priority="23">
      <formula>LEN(TRIM(L180))=0</formula>
    </cfRule>
  </conditionalFormatting>
  <conditionalFormatting sqref="L45:L53">
    <cfRule type="containsText" dxfId="819" priority="20" operator="containsText" text="Optional">
      <formula>NOT(ISERROR(SEARCH("Optional",L45)))</formula>
    </cfRule>
    <cfRule type="containsText" dxfId="818" priority="21" operator="containsText" text="Recommend">
      <formula>NOT(ISERROR(SEARCH("Recommend",L45)))</formula>
    </cfRule>
    <cfRule type="containsText" dxfId="817" priority="22" operator="containsText" text="Required">
      <formula>NOT(ISERROR(SEARCH("Required",L45)))</formula>
    </cfRule>
  </conditionalFormatting>
  <conditionalFormatting sqref="L45:M53">
    <cfRule type="containsBlanks" dxfId="816" priority="19">
      <formula>LEN(TRIM(L45))=0</formula>
    </cfRule>
  </conditionalFormatting>
  <conditionalFormatting sqref="L44">
    <cfRule type="containsText" dxfId="815" priority="16" operator="containsText" text="Optional">
      <formula>NOT(ISERROR(SEARCH("Optional",L44)))</formula>
    </cfRule>
    <cfRule type="containsText" dxfId="814" priority="17" operator="containsText" text="Recommend">
      <formula>NOT(ISERROR(SEARCH("Recommend",L44)))</formula>
    </cfRule>
    <cfRule type="containsText" dxfId="813" priority="18" operator="containsText" text="Required">
      <formula>NOT(ISERROR(SEARCH("Required",L44)))</formula>
    </cfRule>
  </conditionalFormatting>
  <conditionalFormatting sqref="B183:V183">
    <cfRule type="containsText" dxfId="812" priority="11" operator="containsText" text="MISSING">
      <formula>NOT(ISERROR(SEARCH("MISSING",B183)))</formula>
    </cfRule>
    <cfRule type="containsText" dxfId="811" priority="12" operator="containsText" text="COMPLETE">
      <formula>NOT(ISERROR(SEARCH("COMPLETE",B183)))</formula>
    </cfRule>
  </conditionalFormatting>
  <conditionalFormatting sqref="B29:E32">
    <cfRule type="expression" dxfId="810" priority="9">
      <formula>N29&gt;="Unknown"</formula>
    </cfRule>
  </conditionalFormatting>
  <conditionalFormatting sqref="E22:K22 B28:M28">
    <cfRule type="containsBlanks" dxfId="809" priority="8">
      <formula>LEN(TRIM(B22))=0</formula>
    </cfRule>
  </conditionalFormatting>
  <conditionalFormatting sqref="E6">
    <cfRule type="containsBlanks" dxfId="808" priority="7">
      <formula>LEN(TRIM(E6))=0</formula>
    </cfRule>
  </conditionalFormatting>
  <conditionalFormatting sqref="P6">
    <cfRule type="containsBlanks" dxfId="807" priority="6">
      <formula>LEN(TRIM(P6))=0</formula>
    </cfRule>
  </conditionalFormatting>
  <conditionalFormatting sqref="J189:Q198">
    <cfRule type="containsErrors" dxfId="806" priority="572">
      <formula>ISERROR(J189)</formula>
    </cfRule>
  </conditionalFormatting>
  <conditionalFormatting sqref="P187">
    <cfRule type="containsText" dxfId="805" priority="2" operator="containsText" text="Optional">
      <formula>NOT(ISERROR(SEARCH("Optional",P187)))</formula>
    </cfRule>
    <cfRule type="containsText" dxfId="804" priority="3" operator="containsText" text="Recommend">
      <formula>NOT(ISERROR(SEARCH("Recommend",P187)))</formula>
    </cfRule>
    <cfRule type="containsText" dxfId="803" priority="4" operator="containsText" text="Required">
      <formula>NOT(ISERROR(SEARCH("Required",P187)))</formula>
    </cfRule>
  </conditionalFormatting>
  <conditionalFormatting sqref="P187:Q187">
    <cfRule type="containsBlanks" dxfId="802" priority="1">
      <formula>LEN(TRIM(P187))=0</formula>
    </cfRule>
  </conditionalFormatting>
  <dataValidations count="9">
    <dataValidation type="list" allowBlank="1" showInputMessage="1" showErrorMessage="1" sqref="L167:L172 L58:L62 L64:L67 L69:L74 L76:L83 L85:L88 L90:L94 L96:L101 L103:L106 L108:L111 L113:L117 L119:L123 L125:L130 L132:L136 L138:L141 L143:L147 L149:L158 L160:L165 L180:L181 L174:L178"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28"/>
  <sheetViews>
    <sheetView showGridLines="0" zoomScale="70" zoomScaleNormal="70" workbookViewId="0">
      <selection activeCell="A2" sqref="A2"/>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346"/>
      <c r="B1" s="346"/>
      <c r="C1" s="383"/>
      <c r="D1" s="383"/>
      <c r="E1" s="520" t="s">
        <v>2155</v>
      </c>
      <c r="F1" s="520"/>
      <c r="G1" s="520"/>
      <c r="H1" s="520"/>
      <c r="I1" s="520"/>
      <c r="J1" s="520"/>
      <c r="K1" s="520"/>
      <c r="L1" s="520"/>
      <c r="M1" s="520"/>
      <c r="N1" s="520"/>
      <c r="O1" s="520"/>
      <c r="P1" s="520"/>
      <c r="Q1" s="383"/>
      <c r="R1" s="383"/>
      <c r="S1" s="592">
        <f ca="1">TODAY()</f>
        <v>44131</v>
      </c>
      <c r="T1" s="593"/>
    </row>
    <row r="2" spans="1:20" ht="30" thickTop="1">
      <c r="A2" s="386"/>
      <c r="B2" s="387"/>
      <c r="C2" s="384"/>
      <c r="D2" s="384"/>
      <c r="E2" s="521">
        <f>'VENDOR QUESTIONNAIRE'!E6</f>
        <v>0</v>
      </c>
      <c r="F2" s="521"/>
      <c r="G2" s="521"/>
      <c r="H2" s="521"/>
      <c r="I2" s="521"/>
      <c r="J2" s="521"/>
      <c r="K2" s="521"/>
      <c r="L2" s="521"/>
      <c r="M2" s="521"/>
      <c r="N2" s="521"/>
      <c r="O2" s="521"/>
      <c r="P2" s="521"/>
      <c r="Q2" s="384"/>
      <c r="R2" s="384"/>
      <c r="S2" s="384"/>
      <c r="T2" s="385"/>
    </row>
    <row r="3" spans="1:20" ht="17" thickBot="1">
      <c r="A3" s="274"/>
      <c r="B3" s="343"/>
      <c r="C3" s="343"/>
      <c r="D3" s="343"/>
      <c r="E3" s="343"/>
      <c r="F3" s="343"/>
      <c r="G3" s="343"/>
      <c r="H3" s="343"/>
      <c r="I3" s="343"/>
      <c r="J3" s="343"/>
      <c r="K3" s="343"/>
      <c r="L3" s="343"/>
      <c r="M3" s="343"/>
      <c r="N3" s="343"/>
      <c r="O3" s="343"/>
      <c r="P3" s="343"/>
      <c r="Q3" s="343"/>
      <c r="R3" s="343"/>
      <c r="S3" s="343"/>
      <c r="T3" s="275"/>
    </row>
    <row r="4" spans="1:20" s="102" customFormat="1" ht="20" customHeight="1">
      <c r="A4" s="340"/>
      <c r="B4" s="341"/>
      <c r="C4" s="599" t="s">
        <v>1528</v>
      </c>
      <c r="D4" s="600"/>
      <c r="E4" s="599" t="s">
        <v>1511</v>
      </c>
      <c r="F4" s="600"/>
      <c r="G4" s="599" t="s">
        <v>1923</v>
      </c>
      <c r="H4" s="600"/>
      <c r="I4" s="341"/>
      <c r="J4" s="341"/>
      <c r="K4" s="603" t="s">
        <v>1915</v>
      </c>
      <c r="L4" s="604"/>
      <c r="M4" s="607" t="s">
        <v>1542</v>
      </c>
      <c r="N4" s="608"/>
      <c r="O4" s="611" t="s">
        <v>2049</v>
      </c>
      <c r="P4" s="612"/>
      <c r="Q4" s="624" t="s">
        <v>1916</v>
      </c>
      <c r="R4" s="625"/>
      <c r="S4" s="341"/>
      <c r="T4" s="342"/>
    </row>
    <row r="5" spans="1:20" s="102" customFormat="1" ht="20" customHeight="1" thickBot="1">
      <c r="A5" s="340"/>
      <c r="B5" s="341"/>
      <c r="C5" s="601"/>
      <c r="D5" s="602"/>
      <c r="E5" s="601"/>
      <c r="F5" s="602"/>
      <c r="G5" s="601"/>
      <c r="H5" s="602"/>
      <c r="I5" s="341"/>
      <c r="J5" s="341"/>
      <c r="K5" s="605"/>
      <c r="L5" s="606"/>
      <c r="M5" s="609"/>
      <c r="N5" s="610"/>
      <c r="O5" s="613"/>
      <c r="P5" s="614"/>
      <c r="Q5" s="626"/>
      <c r="R5" s="627"/>
      <c r="S5" s="341"/>
      <c r="T5" s="342"/>
    </row>
    <row r="6" spans="1:20" ht="16" customHeight="1">
      <c r="A6" s="274"/>
      <c r="B6" s="343"/>
      <c r="C6" s="554" t="str">
        <f>'Risk Calc'!U14</f>
        <v>Unknown</v>
      </c>
      <c r="D6" s="555"/>
      <c r="E6" s="554" t="str">
        <f>'Risk Calc'!AD58</f>
        <v>Unknown</v>
      </c>
      <c r="F6" s="555"/>
      <c r="G6" s="554" t="str">
        <f>'Risk Calc'!AB79</f>
        <v>Unknown</v>
      </c>
      <c r="H6" s="555"/>
      <c r="I6" s="343"/>
      <c r="J6" s="343"/>
      <c r="K6" s="562">
        <f>J38</f>
        <v>0</v>
      </c>
      <c r="L6" s="563"/>
      <c r="M6" s="562">
        <f>L38</f>
        <v>0</v>
      </c>
      <c r="N6" s="563"/>
      <c r="O6" s="562">
        <f>M38</f>
        <v>0</v>
      </c>
      <c r="P6" s="563"/>
      <c r="Q6" s="562">
        <f>M93+M94+M95+M96+M7</f>
        <v>0</v>
      </c>
      <c r="R6" s="563"/>
      <c r="S6" s="343"/>
      <c r="T6" s="275"/>
    </row>
    <row r="7" spans="1:20" ht="16" customHeight="1">
      <c r="A7" s="274"/>
      <c r="B7" s="343"/>
      <c r="C7" s="556"/>
      <c r="D7" s="557"/>
      <c r="E7" s="556"/>
      <c r="F7" s="557"/>
      <c r="G7" s="556"/>
      <c r="H7" s="557"/>
      <c r="I7" s="343"/>
      <c r="J7" s="343"/>
      <c r="K7" s="564"/>
      <c r="L7" s="565"/>
      <c r="M7" s="564"/>
      <c r="N7" s="565"/>
      <c r="O7" s="564"/>
      <c r="P7" s="565"/>
      <c r="Q7" s="564"/>
      <c r="R7" s="565"/>
      <c r="S7" s="343"/>
      <c r="T7" s="275"/>
    </row>
    <row r="8" spans="1:20" ht="16" customHeight="1">
      <c r="A8" s="274"/>
      <c r="B8" s="343"/>
      <c r="C8" s="556"/>
      <c r="D8" s="557"/>
      <c r="E8" s="556"/>
      <c r="F8" s="557"/>
      <c r="G8" s="556"/>
      <c r="H8" s="557"/>
      <c r="I8" s="343"/>
      <c r="J8" s="343"/>
      <c r="K8" s="564"/>
      <c r="L8" s="565"/>
      <c r="M8" s="564"/>
      <c r="N8" s="565"/>
      <c r="O8" s="564"/>
      <c r="P8" s="565"/>
      <c r="Q8" s="564"/>
      <c r="R8" s="565"/>
      <c r="S8" s="343"/>
      <c r="T8" s="275"/>
    </row>
    <row r="9" spans="1:20" ht="16" customHeight="1">
      <c r="A9" s="274"/>
      <c r="B9" s="343"/>
      <c r="C9" s="556"/>
      <c r="D9" s="557"/>
      <c r="E9" s="556"/>
      <c r="F9" s="557"/>
      <c r="G9" s="556"/>
      <c r="H9" s="557"/>
      <c r="I9" s="343"/>
      <c r="J9" s="343"/>
      <c r="K9" s="564"/>
      <c r="L9" s="565"/>
      <c r="M9" s="564"/>
      <c r="N9" s="565"/>
      <c r="O9" s="564"/>
      <c r="P9" s="565"/>
      <c r="Q9" s="564"/>
      <c r="R9" s="565"/>
      <c r="S9" s="343"/>
      <c r="T9" s="275"/>
    </row>
    <row r="10" spans="1:20" ht="17" customHeight="1" thickBot="1">
      <c r="A10" s="274"/>
      <c r="B10" s="343"/>
      <c r="C10" s="558"/>
      <c r="D10" s="559"/>
      <c r="E10" s="558"/>
      <c r="F10" s="559"/>
      <c r="G10" s="558"/>
      <c r="H10" s="559"/>
      <c r="I10" s="343"/>
      <c r="J10" s="343"/>
      <c r="K10" s="566"/>
      <c r="L10" s="567"/>
      <c r="M10" s="566"/>
      <c r="N10" s="567"/>
      <c r="O10" s="566"/>
      <c r="P10" s="567"/>
      <c r="Q10" s="566"/>
      <c r="R10" s="567"/>
      <c r="S10" s="343"/>
      <c r="T10" s="275"/>
    </row>
    <row r="11" spans="1:20">
      <c r="A11" s="274"/>
      <c r="B11" s="343"/>
      <c r="C11" s="343"/>
      <c r="D11" s="343"/>
      <c r="E11" s="343"/>
      <c r="F11" s="343"/>
      <c r="G11" s="343"/>
      <c r="H11" s="343"/>
      <c r="I11" s="560"/>
      <c r="J11" s="560"/>
      <c r="K11" s="561"/>
      <c r="L11" s="561"/>
      <c r="M11" s="561"/>
      <c r="N11" s="561"/>
      <c r="O11" s="343"/>
      <c r="P11" s="343"/>
      <c r="Q11" s="343"/>
      <c r="R11" s="343"/>
      <c r="S11" s="343"/>
      <c r="T11" s="275"/>
    </row>
    <row r="12" spans="1:20">
      <c r="A12" s="274"/>
      <c r="B12" s="519" t="s">
        <v>1541</v>
      </c>
      <c r="C12" s="519"/>
      <c r="D12" s="519"/>
      <c r="E12" s="519"/>
      <c r="F12" s="519"/>
      <c r="G12" s="519"/>
      <c r="H12" s="519"/>
      <c r="I12" s="519"/>
      <c r="J12" s="519"/>
      <c r="K12" s="519"/>
      <c r="L12" s="519"/>
      <c r="M12" s="519"/>
      <c r="N12" s="519"/>
      <c r="O12" s="519"/>
      <c r="P12" s="519"/>
      <c r="Q12" s="519"/>
      <c r="R12" s="519"/>
      <c r="S12" s="519"/>
      <c r="T12" s="275"/>
    </row>
    <row r="13" spans="1:20" ht="17" thickBot="1">
      <c r="A13" s="274"/>
      <c r="B13" s="519"/>
      <c r="C13" s="519"/>
      <c r="D13" s="519"/>
      <c r="E13" s="519"/>
      <c r="F13" s="519"/>
      <c r="G13" s="519"/>
      <c r="H13" s="519"/>
      <c r="I13" s="519"/>
      <c r="J13" s="519"/>
      <c r="K13" s="519"/>
      <c r="L13" s="519"/>
      <c r="M13" s="519"/>
      <c r="N13" s="519"/>
      <c r="O13" s="519"/>
      <c r="P13" s="519"/>
      <c r="Q13" s="519"/>
      <c r="R13" s="519"/>
      <c r="S13" s="519"/>
      <c r="T13" s="275"/>
    </row>
    <row r="14" spans="1:20" ht="16.5" customHeight="1" thickBot="1">
      <c r="A14" s="274"/>
      <c r="B14" s="628"/>
      <c r="C14" s="629"/>
      <c r="D14" s="629"/>
      <c r="E14" s="629"/>
      <c r="F14" s="629"/>
      <c r="G14" s="629"/>
      <c r="H14" s="629"/>
      <c r="I14" s="629"/>
      <c r="J14" s="574" t="s">
        <v>1538</v>
      </c>
      <c r="K14" s="574"/>
      <c r="L14" s="574"/>
      <c r="M14" s="574"/>
      <c r="N14" s="574"/>
      <c r="O14" s="165"/>
      <c r="P14" s="232"/>
      <c r="Q14" s="232"/>
      <c r="R14" s="232"/>
      <c r="S14" s="233"/>
      <c r="T14" s="275"/>
    </row>
    <row r="15" spans="1:20" ht="17" customHeight="1">
      <c r="A15" s="274"/>
      <c r="B15" s="630"/>
      <c r="C15" s="631"/>
      <c r="D15" s="631"/>
      <c r="E15" s="631"/>
      <c r="F15" s="631"/>
      <c r="G15" s="631"/>
      <c r="H15" s="631"/>
      <c r="I15" s="631"/>
      <c r="J15" s="615" t="s">
        <v>9</v>
      </c>
      <c r="K15" s="616"/>
      <c r="L15" s="616"/>
      <c r="M15" s="616"/>
      <c r="N15" s="617"/>
      <c r="O15" s="596" t="s">
        <v>1928</v>
      </c>
      <c r="P15" s="597"/>
      <c r="Q15" s="597"/>
      <c r="R15" s="597"/>
      <c r="S15" s="598"/>
      <c r="T15" s="275"/>
    </row>
    <row r="16" spans="1:20" ht="17" customHeight="1">
      <c r="A16" s="274"/>
      <c r="B16" s="587" t="s">
        <v>1533</v>
      </c>
      <c r="C16" s="588"/>
      <c r="D16" s="588"/>
      <c r="E16" s="588"/>
      <c r="F16" s="588"/>
      <c r="G16" s="588"/>
      <c r="H16" s="588"/>
      <c r="I16" s="589"/>
      <c r="J16" s="572" t="s">
        <v>1539</v>
      </c>
      <c r="K16" s="570" t="s">
        <v>1531</v>
      </c>
      <c r="L16" s="568" t="s">
        <v>1532</v>
      </c>
      <c r="M16" s="622" t="s">
        <v>2049</v>
      </c>
      <c r="N16" s="620" t="s">
        <v>1540</v>
      </c>
      <c r="O16" s="618" t="s">
        <v>1429</v>
      </c>
      <c r="P16" s="577" t="s">
        <v>1430</v>
      </c>
      <c r="Q16" s="577" t="s">
        <v>1431</v>
      </c>
      <c r="R16" s="577" t="s">
        <v>1473</v>
      </c>
      <c r="S16" s="594" t="s">
        <v>2089</v>
      </c>
      <c r="T16" s="275"/>
    </row>
    <row r="17" spans="1:20" ht="15.75" customHeight="1">
      <c r="A17" s="274"/>
      <c r="B17" s="590"/>
      <c r="C17" s="517"/>
      <c r="D17" s="517"/>
      <c r="E17" s="517"/>
      <c r="F17" s="517"/>
      <c r="G17" s="517"/>
      <c r="H17" s="517"/>
      <c r="I17" s="591"/>
      <c r="J17" s="573"/>
      <c r="K17" s="571"/>
      <c r="L17" s="569"/>
      <c r="M17" s="623"/>
      <c r="N17" s="621"/>
      <c r="O17" s="619"/>
      <c r="P17" s="578"/>
      <c r="Q17" s="578"/>
      <c r="R17" s="578"/>
      <c r="S17" s="595"/>
      <c r="T17" s="275"/>
    </row>
    <row r="18" spans="1:20" ht="15.75" customHeight="1">
      <c r="A18" s="274"/>
      <c r="B18" s="584" t="s">
        <v>43</v>
      </c>
      <c r="C18" s="585"/>
      <c r="D18" s="585"/>
      <c r="E18" s="585"/>
      <c r="F18" s="585"/>
      <c r="G18" s="585"/>
      <c r="H18" s="585"/>
      <c r="I18" s="586"/>
      <c r="J18" s="164">
        <f>COUNTIFS('VENDOR QUESTIONNAIRE'!$R$58:$R$181,B18,'VENDOR QUESTIONNAIRE'!$T$58:$T$181,$J$15)</f>
        <v>0</v>
      </c>
      <c r="K18" s="77">
        <f>COUNTIFS('VENDOR QUESTIONNAIRE'!$R$58:$R$181,B18,'VENDOR QUESTIONNAIRE'!$T$58:$T$181,$J$15,'VENDOR QUESTIONNAIRE'!$L$58:$L$181,$K$16)</f>
        <v>0</v>
      </c>
      <c r="L18" s="77">
        <f>COUNTIFS('VENDOR QUESTIONNAIRE'!$R$58:$R$181,$B18,'VENDOR QUESTIONNAIRE'!$T$58:$T$181,$J$15,'VENDOR QUESTIONNAIRE'!$L$58:$L$181,$L$16)</f>
        <v>0</v>
      </c>
      <c r="M18" s="77">
        <f>COUNTIFS('VENDOR QUESTIONNAIRE'!$R$58:$R$181,$B18,'VENDOR QUESTIONNAIRE'!$T$58:$T$181,$J$15,'VENDOR QUESTIONNAIRE'!$L$58:$L$181,$M$16)</f>
        <v>0</v>
      </c>
      <c r="N18" s="334" t="e">
        <f>(K18+M18)/J18</f>
        <v>#DIV/0!</v>
      </c>
      <c r="O18" s="336">
        <f>COUNTIFS('VENDOR QUESTIONNAIRE'!$R$58:$R$181,$B18,'VENDOR QUESTIONNAIRE'!$S$58:$S$181,O$16,'VENDOR QUESTIONNAIRE'!$L$58:$L$181,"Yes",'VENDOR QUESTIONNAIRE'!$T$58:$T$181,"Required")</f>
        <v>0</v>
      </c>
      <c r="P18" s="234">
        <f>COUNTIFS('VENDOR QUESTIONNAIRE'!$R$58:$R$181,$B18,'VENDOR QUESTIONNAIRE'!$S$58:$S$181,P$16,'VENDOR QUESTIONNAIRE'!$L$58:$L$181,"Yes",'VENDOR QUESTIONNAIRE'!$T$58:$T$181,"Required")</f>
        <v>0</v>
      </c>
      <c r="Q18" s="234">
        <f>COUNTIFS('VENDOR QUESTIONNAIRE'!$R$58:$R$181,$B18,'VENDOR QUESTIONNAIRE'!$S$58:$S$181,Q$16,'VENDOR QUESTIONNAIRE'!$L$58:$L$181,"Yes",'VENDOR QUESTIONNAIRE'!$T$58:$T$181,"Required")</f>
        <v>0</v>
      </c>
      <c r="R18" s="234">
        <f>COUNTIFS('VENDOR QUESTIONNAIRE'!$R$58:$R$181,$B18,'VENDOR QUESTIONNAIRE'!$S$58:$S$181,R$16,'VENDOR QUESTIONNAIRE'!$L$58:$L$181,"Yes",'VENDOR QUESTIONNAIRE'!$T$58:$T$181,"Required")</f>
        <v>0</v>
      </c>
      <c r="S18" s="235">
        <f>COUNTIFS('VENDOR QUESTIONNAIRE'!$R$58:$R$181,$B18,'VENDOR QUESTIONNAIRE'!$S$58:$S$181,S$16,'VENDOR QUESTIONNAIRE'!$L$58:$L$181,"Yes",'VENDOR QUESTIONNAIRE'!$T$58:$T$181,"Required")</f>
        <v>0</v>
      </c>
      <c r="T18" s="275"/>
    </row>
    <row r="19" spans="1:20" ht="15.75" customHeight="1">
      <c r="A19" s="274"/>
      <c r="B19" s="584" t="s">
        <v>44</v>
      </c>
      <c r="C19" s="585"/>
      <c r="D19" s="585"/>
      <c r="E19" s="585"/>
      <c r="F19" s="585"/>
      <c r="G19" s="585"/>
      <c r="H19" s="585"/>
      <c r="I19" s="586"/>
      <c r="J19" s="164">
        <f>COUNTIFS('VENDOR QUESTIONNAIRE'!$R$58:$R$181,B19,'VENDOR QUESTIONNAIRE'!$T$58:$T$181,$J$15)</f>
        <v>0</v>
      </c>
      <c r="K19" s="77">
        <f>COUNTIFS('VENDOR QUESTIONNAIRE'!$R$58:$R$181,B19,'VENDOR QUESTIONNAIRE'!$T$58:$T$181,$J$15,'VENDOR QUESTIONNAIRE'!$L$58:$L$181,$K$16)</f>
        <v>0</v>
      </c>
      <c r="L19" s="77">
        <f>COUNTIFS('VENDOR QUESTIONNAIRE'!$R$58:$R$181,$B19,'VENDOR QUESTIONNAIRE'!$T$58:$T$181,$J$15,'VENDOR QUESTIONNAIRE'!$L$58:$L$181,$L$16)</f>
        <v>0</v>
      </c>
      <c r="M19" s="77">
        <f>COUNTIFS('VENDOR QUESTIONNAIRE'!$R$58:$R$181,$B19,'VENDOR QUESTIONNAIRE'!$T$58:$T$181,$J$15,'VENDOR QUESTIONNAIRE'!$L$58:$L$181,$M$16)</f>
        <v>0</v>
      </c>
      <c r="N19" s="334" t="e">
        <f t="shared" ref="N19:N37" si="0">(K19+M19)/J19</f>
        <v>#DIV/0!</v>
      </c>
      <c r="O19" s="336">
        <f>COUNTIFS('VENDOR QUESTIONNAIRE'!$R$58:$R$181,B19,'VENDOR QUESTIONNAIRE'!$S$58:$S$181,$O$16,'VENDOR QUESTIONNAIRE'!$L$58:$L$181,"Yes",'VENDOR QUESTIONNAIRE'!$T$58:$T$181,"Required")</f>
        <v>0</v>
      </c>
      <c r="P19" s="234">
        <f>COUNTIFS('VENDOR QUESTIONNAIRE'!$R$58:$R$181,$B19,'VENDOR QUESTIONNAIRE'!$S$58:$S$181,P$16,'VENDOR QUESTIONNAIRE'!$L$58:$L$181,"Yes",'VENDOR QUESTIONNAIRE'!$T$58:$T$181,"Required")</f>
        <v>0</v>
      </c>
      <c r="Q19" s="234">
        <f>COUNTIFS('VENDOR QUESTIONNAIRE'!$R$58:$R$181,$B19,'VENDOR QUESTIONNAIRE'!$S$58:$S$181,Q$16,'VENDOR QUESTIONNAIRE'!$L$58:$L$181,"Yes",'VENDOR QUESTIONNAIRE'!$T$58:$T$181,"Required")</f>
        <v>0</v>
      </c>
      <c r="R19" s="234">
        <f>COUNTIFS('VENDOR QUESTIONNAIRE'!$R$58:$R$181,$B19,'VENDOR QUESTIONNAIRE'!$S$58:$S$181,R$16,'VENDOR QUESTIONNAIRE'!$L$58:$L$181,"Yes",'VENDOR QUESTIONNAIRE'!$T$58:$T$181,"Required")</f>
        <v>0</v>
      </c>
      <c r="S19" s="235">
        <f>COUNTIFS('VENDOR QUESTIONNAIRE'!$R$58:$R$181,$B19,'VENDOR QUESTIONNAIRE'!$S$58:$S$181,S$16,'VENDOR QUESTIONNAIRE'!$L$58:$L$181,"Yes",'VENDOR QUESTIONNAIRE'!$T$58:$T$181,"Required")</f>
        <v>0</v>
      </c>
      <c r="T19" s="275"/>
    </row>
    <row r="20" spans="1:20" ht="15.75" customHeight="1">
      <c r="A20" s="274"/>
      <c r="B20" s="584" t="s">
        <v>45</v>
      </c>
      <c r="C20" s="585"/>
      <c r="D20" s="585"/>
      <c r="E20" s="585"/>
      <c r="F20" s="585"/>
      <c r="G20" s="585"/>
      <c r="H20" s="585"/>
      <c r="I20" s="586"/>
      <c r="J20" s="164">
        <f>COUNTIFS('VENDOR QUESTIONNAIRE'!$R$58:$R$181,B20,'VENDOR QUESTIONNAIRE'!$T$58:$T$181,$J$15)</f>
        <v>0</v>
      </c>
      <c r="K20" s="77">
        <f>COUNTIFS('VENDOR QUESTIONNAIRE'!$R$58:$R$181,B20,'VENDOR QUESTIONNAIRE'!$T$58:$T$181,$J$15,'VENDOR QUESTIONNAIRE'!$L$58:$L$181,$K$16)</f>
        <v>0</v>
      </c>
      <c r="L20" s="77">
        <f>COUNTIFS('VENDOR QUESTIONNAIRE'!$R$58:$R$181,$B20,'VENDOR QUESTIONNAIRE'!$T$58:$T$181,$J$15,'VENDOR QUESTIONNAIRE'!$L$58:$L$181,$L$16)</f>
        <v>0</v>
      </c>
      <c r="M20" s="77">
        <f>COUNTIFS('VENDOR QUESTIONNAIRE'!$R$58:$R$181,$B20,'VENDOR QUESTIONNAIRE'!$T$58:$T$181,$J$15,'VENDOR QUESTIONNAIRE'!$L$58:$L$181,$M$16)</f>
        <v>0</v>
      </c>
      <c r="N20" s="334" t="e">
        <f t="shared" si="0"/>
        <v>#DIV/0!</v>
      </c>
      <c r="O20" s="336">
        <f>COUNTIFS('VENDOR QUESTIONNAIRE'!$R$58:$R$181,B20,'VENDOR QUESTIONNAIRE'!$S$58:$S$181,$O$16,'VENDOR QUESTIONNAIRE'!$L$58:$L$181,"Yes",'VENDOR QUESTIONNAIRE'!$T$58:$T$181,"Required")</f>
        <v>0</v>
      </c>
      <c r="P20" s="234">
        <f>COUNTIFS('VENDOR QUESTIONNAIRE'!$R$58:$R$181,$B20,'VENDOR QUESTIONNAIRE'!$S$58:$S$181,P$16,'VENDOR QUESTIONNAIRE'!$L$58:$L$181,"Yes",'VENDOR QUESTIONNAIRE'!$T$58:$T$181,"Required")</f>
        <v>0</v>
      </c>
      <c r="Q20" s="234">
        <f>COUNTIFS('VENDOR QUESTIONNAIRE'!$R$58:$R$181,$B20,'VENDOR QUESTIONNAIRE'!$S$58:$S$181,Q$16,'VENDOR QUESTIONNAIRE'!$L$58:$L$181,"Yes",'VENDOR QUESTIONNAIRE'!$T$58:$T$181,"Required")</f>
        <v>0</v>
      </c>
      <c r="R20" s="234">
        <f>COUNTIFS('VENDOR QUESTIONNAIRE'!$R$58:$R$181,$B20,'VENDOR QUESTIONNAIRE'!$S$58:$S$181,R$16,'VENDOR QUESTIONNAIRE'!$L$58:$L$181,"Yes",'VENDOR QUESTIONNAIRE'!$T$58:$T$181,"Required")</f>
        <v>0</v>
      </c>
      <c r="S20" s="235">
        <f>COUNTIFS('VENDOR QUESTIONNAIRE'!$R$58:$R$181,$B20,'VENDOR QUESTIONNAIRE'!$S$58:$S$181,S$16,'VENDOR QUESTIONNAIRE'!$L$58:$L$181,"Yes",'VENDOR QUESTIONNAIRE'!$T$58:$T$181,"Required")</f>
        <v>0</v>
      </c>
      <c r="T20" s="275"/>
    </row>
    <row r="21" spans="1:20" ht="15.75" customHeight="1">
      <c r="A21" s="274"/>
      <c r="B21" s="584" t="s">
        <v>48</v>
      </c>
      <c r="C21" s="585"/>
      <c r="D21" s="585"/>
      <c r="E21" s="585"/>
      <c r="F21" s="585"/>
      <c r="G21" s="585"/>
      <c r="H21" s="585"/>
      <c r="I21" s="586"/>
      <c r="J21" s="164">
        <f>COUNTIFS('VENDOR QUESTIONNAIRE'!$R$58:$R$181,B21,'VENDOR QUESTIONNAIRE'!$T$58:$T$181,$J$15)</f>
        <v>0</v>
      </c>
      <c r="K21" s="77">
        <f>COUNTIFS('VENDOR QUESTIONNAIRE'!$R$58:$R$181,B21,'VENDOR QUESTIONNAIRE'!$T$58:$T$181,$J$15,'VENDOR QUESTIONNAIRE'!$L$58:$L$181,$K$16)</f>
        <v>0</v>
      </c>
      <c r="L21" s="77">
        <f>COUNTIFS('VENDOR QUESTIONNAIRE'!$R$58:$R$181,$B21,'VENDOR QUESTIONNAIRE'!$T$58:$T$181,$J$15,'VENDOR QUESTIONNAIRE'!$L$58:$L$181,$L$16)</f>
        <v>0</v>
      </c>
      <c r="M21" s="77">
        <f>COUNTIFS('VENDOR QUESTIONNAIRE'!$R$58:$R$181,$B21,'VENDOR QUESTIONNAIRE'!$T$58:$T$181,$J$15,'VENDOR QUESTIONNAIRE'!$L$58:$L$181,$M$16)</f>
        <v>0</v>
      </c>
      <c r="N21" s="334" t="e">
        <f t="shared" si="0"/>
        <v>#DIV/0!</v>
      </c>
      <c r="O21" s="336">
        <f>COUNTIFS('VENDOR QUESTIONNAIRE'!$R$58:$R$181,B21,'VENDOR QUESTIONNAIRE'!$S$58:$S$181,$O$16,'VENDOR QUESTIONNAIRE'!$L$58:$L$181,"Yes",'VENDOR QUESTIONNAIRE'!$T$58:$T$181,"Required")</f>
        <v>0</v>
      </c>
      <c r="P21" s="234">
        <f>COUNTIFS('VENDOR QUESTIONNAIRE'!$R$58:$R$181,$B21,'VENDOR QUESTIONNAIRE'!$S$58:$S$181,P$16,'VENDOR QUESTIONNAIRE'!$L$58:$L$181,"Yes",'VENDOR QUESTIONNAIRE'!$T$58:$T$181,"Required")</f>
        <v>0</v>
      </c>
      <c r="Q21" s="234">
        <f>COUNTIFS('VENDOR QUESTIONNAIRE'!$R$58:$R$181,$B21,'VENDOR QUESTIONNAIRE'!$S$58:$S$181,Q$16,'VENDOR QUESTIONNAIRE'!$L$58:$L$181,"Yes",'VENDOR QUESTIONNAIRE'!$T$58:$T$181,"Required")</f>
        <v>0</v>
      </c>
      <c r="R21" s="234">
        <f>COUNTIFS('VENDOR QUESTIONNAIRE'!$R$58:$R$181,$B21,'VENDOR QUESTIONNAIRE'!$S$58:$S$181,R$16,'VENDOR QUESTIONNAIRE'!$L$58:$L$181,"Yes",'VENDOR QUESTIONNAIRE'!$T$58:$T$181,"Required")</f>
        <v>0</v>
      </c>
      <c r="S21" s="235">
        <f>COUNTIFS('VENDOR QUESTIONNAIRE'!$R$58:$R$181,$B21,'VENDOR QUESTIONNAIRE'!$S$58:$S$181,S$16,'VENDOR QUESTIONNAIRE'!$L$58:$L$181,"Yes",'VENDOR QUESTIONNAIRE'!$T$58:$T$181,"Required")</f>
        <v>0</v>
      </c>
      <c r="T21" s="275"/>
    </row>
    <row r="22" spans="1:20" ht="15.75" customHeight="1">
      <c r="A22" s="274"/>
      <c r="B22" s="584" t="s">
        <v>63</v>
      </c>
      <c r="C22" s="585"/>
      <c r="D22" s="585"/>
      <c r="E22" s="585"/>
      <c r="F22" s="585"/>
      <c r="G22" s="585"/>
      <c r="H22" s="585"/>
      <c r="I22" s="586"/>
      <c r="J22" s="164">
        <f>COUNTIFS('VENDOR QUESTIONNAIRE'!$R$58:$R$181,B22,'VENDOR QUESTIONNAIRE'!$T$58:$T$181,$J$15)</f>
        <v>0</v>
      </c>
      <c r="K22" s="77">
        <f>COUNTIFS('VENDOR QUESTIONNAIRE'!$R$58:$R$181,B22,'VENDOR QUESTIONNAIRE'!$T$58:$T$181,$J$15,'VENDOR QUESTIONNAIRE'!$L$58:$L$181,$K$16)</f>
        <v>0</v>
      </c>
      <c r="L22" s="77">
        <f>COUNTIFS('VENDOR QUESTIONNAIRE'!$R$58:$R$181,$B22,'VENDOR QUESTIONNAIRE'!$T$58:$T$181,$J$15,'VENDOR QUESTIONNAIRE'!$L$58:$L$181,$L$16)</f>
        <v>0</v>
      </c>
      <c r="M22" s="77">
        <f>COUNTIFS('VENDOR QUESTIONNAIRE'!$R$58:$R$181,$B22,'VENDOR QUESTIONNAIRE'!$T$58:$T$181,$J$15,'VENDOR QUESTIONNAIRE'!$L$58:$L$181,$M$16)</f>
        <v>0</v>
      </c>
      <c r="N22" s="334" t="e">
        <f t="shared" si="0"/>
        <v>#DIV/0!</v>
      </c>
      <c r="O22" s="336">
        <f>COUNTIFS('VENDOR QUESTIONNAIRE'!$R$58:$R$181,B22,'VENDOR QUESTIONNAIRE'!$S$58:$S$181,$O$16,'VENDOR QUESTIONNAIRE'!$L$58:$L$181,"Yes",'VENDOR QUESTIONNAIRE'!$T$58:$T$181,"Required")</f>
        <v>0</v>
      </c>
      <c r="P22" s="234">
        <f>COUNTIFS('VENDOR QUESTIONNAIRE'!$R$58:$R$181,$B22,'VENDOR QUESTIONNAIRE'!$S$58:$S$181,P$16,'VENDOR QUESTIONNAIRE'!$L$58:$L$181,"Yes",'VENDOR QUESTIONNAIRE'!$T$58:$T$181,"Required")</f>
        <v>0</v>
      </c>
      <c r="Q22" s="234">
        <f>COUNTIFS('VENDOR QUESTIONNAIRE'!$R$58:$R$181,$B22,'VENDOR QUESTIONNAIRE'!$S$58:$S$181,Q$16,'VENDOR QUESTIONNAIRE'!$L$58:$L$181,"Yes",'VENDOR QUESTIONNAIRE'!$T$58:$T$181,"Required")</f>
        <v>0</v>
      </c>
      <c r="R22" s="234">
        <f>COUNTIFS('VENDOR QUESTIONNAIRE'!$R$58:$R$181,$B22,'VENDOR QUESTIONNAIRE'!$S$58:$S$181,R$16,'VENDOR QUESTIONNAIRE'!$L$58:$L$181,"Yes",'VENDOR QUESTIONNAIRE'!$T$58:$T$181,"Required")</f>
        <v>0</v>
      </c>
      <c r="S22" s="235">
        <f>COUNTIFS('VENDOR QUESTIONNAIRE'!$R$58:$R$181,$B22,'VENDOR QUESTIONNAIRE'!$S$58:$S$181,S$16,'VENDOR QUESTIONNAIRE'!$L$58:$L$181,"Yes",'VENDOR QUESTIONNAIRE'!$T$58:$T$181,"Required")</f>
        <v>0</v>
      </c>
      <c r="T22" s="275"/>
    </row>
    <row r="23" spans="1:20" ht="15.75" customHeight="1">
      <c r="A23" s="274"/>
      <c r="B23" s="584" t="s">
        <v>73</v>
      </c>
      <c r="C23" s="585"/>
      <c r="D23" s="585"/>
      <c r="E23" s="585"/>
      <c r="F23" s="585"/>
      <c r="G23" s="585"/>
      <c r="H23" s="585"/>
      <c r="I23" s="586"/>
      <c r="J23" s="164">
        <f>COUNTIFS('VENDOR QUESTIONNAIRE'!$R$58:$R$181,B23,'VENDOR QUESTIONNAIRE'!$T$58:$T$181,$J$15)</f>
        <v>0</v>
      </c>
      <c r="K23" s="77">
        <f>COUNTIFS('VENDOR QUESTIONNAIRE'!$R$58:$R$181,B23,'VENDOR QUESTIONNAIRE'!$T$58:$T$181,$J$15,'VENDOR QUESTIONNAIRE'!$L$58:$L$181,$K$16)</f>
        <v>0</v>
      </c>
      <c r="L23" s="77">
        <f>COUNTIFS('VENDOR QUESTIONNAIRE'!$R$58:$R$181,$B23,'VENDOR QUESTIONNAIRE'!$T$58:$T$181,$J$15,'VENDOR QUESTIONNAIRE'!$L$58:$L$181,$L$16)</f>
        <v>0</v>
      </c>
      <c r="M23" s="77">
        <f>COUNTIFS('VENDOR QUESTIONNAIRE'!$R$58:$R$181,$B23,'VENDOR QUESTIONNAIRE'!$T$58:$T$181,$J$15,'VENDOR QUESTIONNAIRE'!$L$58:$L$181,$M$16)</f>
        <v>0</v>
      </c>
      <c r="N23" s="334" t="e">
        <f t="shared" si="0"/>
        <v>#DIV/0!</v>
      </c>
      <c r="O23" s="336">
        <f>COUNTIFS('VENDOR QUESTIONNAIRE'!$R$58:$R$181,B23,'VENDOR QUESTIONNAIRE'!$S$58:$S$181,$O$16,'VENDOR QUESTIONNAIRE'!$L$58:$L$181,"Yes",'VENDOR QUESTIONNAIRE'!$T$58:$T$181,"Required")</f>
        <v>0</v>
      </c>
      <c r="P23" s="234">
        <f>COUNTIFS('VENDOR QUESTIONNAIRE'!$R$58:$R$181,$B23,'VENDOR QUESTIONNAIRE'!$S$58:$S$181,P$16,'VENDOR QUESTIONNAIRE'!$L$58:$L$181,"Yes",'VENDOR QUESTIONNAIRE'!$T$58:$T$181,"Required")</f>
        <v>0</v>
      </c>
      <c r="Q23" s="234">
        <f>COUNTIFS('VENDOR QUESTIONNAIRE'!$R$58:$R$181,$B23,'VENDOR QUESTIONNAIRE'!$S$58:$S$181,Q$16,'VENDOR QUESTIONNAIRE'!$L$58:$L$181,"Yes",'VENDOR QUESTIONNAIRE'!$T$58:$T$181,"Required")</f>
        <v>0</v>
      </c>
      <c r="R23" s="234">
        <f>COUNTIFS('VENDOR QUESTIONNAIRE'!$R$58:$R$181,$B23,'VENDOR QUESTIONNAIRE'!$S$58:$S$181,R$16,'VENDOR QUESTIONNAIRE'!$L$58:$L$181,"Yes",'VENDOR QUESTIONNAIRE'!$T$58:$T$181,"Required")</f>
        <v>0</v>
      </c>
      <c r="S23" s="235">
        <f>COUNTIFS('VENDOR QUESTIONNAIRE'!$R$58:$R$181,$B23,'VENDOR QUESTIONNAIRE'!$S$58:$S$181,S$16,'VENDOR QUESTIONNAIRE'!$L$58:$L$181,"Yes",'VENDOR QUESTIONNAIRE'!$T$58:$T$181,"Required")</f>
        <v>0</v>
      </c>
      <c r="T23" s="275"/>
    </row>
    <row r="24" spans="1:20" ht="16" customHeight="1">
      <c r="A24" s="274"/>
      <c r="B24" s="584" t="s">
        <v>83</v>
      </c>
      <c r="C24" s="585"/>
      <c r="D24" s="585"/>
      <c r="E24" s="585"/>
      <c r="F24" s="585"/>
      <c r="G24" s="585"/>
      <c r="H24" s="585"/>
      <c r="I24" s="586"/>
      <c r="J24" s="164">
        <f>COUNTIFS('VENDOR QUESTIONNAIRE'!$R$58:$R$181,B24,'VENDOR QUESTIONNAIRE'!$T$58:$T$181,$J$15)</f>
        <v>0</v>
      </c>
      <c r="K24" s="77">
        <f>COUNTIFS('VENDOR QUESTIONNAIRE'!$R$58:$R$181,B24,'VENDOR QUESTIONNAIRE'!$T$58:$T$181,$J$15,'VENDOR QUESTIONNAIRE'!$L$58:$L$181,$K$16)</f>
        <v>0</v>
      </c>
      <c r="L24" s="77">
        <f>COUNTIFS('VENDOR QUESTIONNAIRE'!$R$58:$R$181,$B24,'VENDOR QUESTIONNAIRE'!$T$58:$T$181,$J$15,'VENDOR QUESTIONNAIRE'!$L$58:$L$181,$L$16)</f>
        <v>0</v>
      </c>
      <c r="M24" s="77">
        <f>COUNTIFS('VENDOR QUESTIONNAIRE'!$R$58:$R$181,$B24,'VENDOR QUESTIONNAIRE'!$T$58:$T$181,$J$15,'VENDOR QUESTIONNAIRE'!$L$58:$L$181,$M$16)</f>
        <v>0</v>
      </c>
      <c r="N24" s="334" t="e">
        <f t="shared" si="0"/>
        <v>#DIV/0!</v>
      </c>
      <c r="O24" s="336">
        <f>COUNTIFS('VENDOR QUESTIONNAIRE'!$R$58:$R$181,B24,'VENDOR QUESTIONNAIRE'!$S$58:$S$181,$O$16,'VENDOR QUESTIONNAIRE'!$L$58:$L$181,"Yes",'VENDOR QUESTIONNAIRE'!$T$58:$T$181,"Required")</f>
        <v>0</v>
      </c>
      <c r="P24" s="234">
        <f>COUNTIFS('VENDOR QUESTIONNAIRE'!$R$58:$R$181,$B24,'VENDOR QUESTIONNAIRE'!$S$58:$S$181,P$16,'VENDOR QUESTIONNAIRE'!$L$58:$L$181,"Yes",'VENDOR QUESTIONNAIRE'!$T$58:$T$181,"Required")</f>
        <v>0</v>
      </c>
      <c r="Q24" s="234">
        <f>COUNTIFS('VENDOR QUESTIONNAIRE'!$R$58:$R$181,$B24,'VENDOR QUESTIONNAIRE'!$S$58:$S$181,Q$16,'VENDOR QUESTIONNAIRE'!$L$58:$L$181,"Yes",'VENDOR QUESTIONNAIRE'!$T$58:$T$181,"Required")</f>
        <v>0</v>
      </c>
      <c r="R24" s="234">
        <f>COUNTIFS('VENDOR QUESTIONNAIRE'!$R$58:$R$181,$B24,'VENDOR QUESTIONNAIRE'!$S$58:$S$181,R$16,'VENDOR QUESTIONNAIRE'!$L$58:$L$181,"Yes",'VENDOR QUESTIONNAIRE'!$T$58:$T$181,"Required")</f>
        <v>0</v>
      </c>
      <c r="S24" s="235">
        <f>COUNTIFS('VENDOR QUESTIONNAIRE'!$R$58:$R$181,$B24,'VENDOR QUESTIONNAIRE'!$S$58:$S$181,S$16,'VENDOR QUESTIONNAIRE'!$L$58:$L$181,"Yes",'VENDOR QUESTIONNAIRE'!$T$58:$T$181,"Required")</f>
        <v>0</v>
      </c>
      <c r="T24" s="275"/>
    </row>
    <row r="25" spans="1:20" ht="16" customHeight="1">
      <c r="A25" s="274"/>
      <c r="B25" s="584" t="s">
        <v>88</v>
      </c>
      <c r="C25" s="585"/>
      <c r="D25" s="585"/>
      <c r="E25" s="585"/>
      <c r="F25" s="585"/>
      <c r="G25" s="585"/>
      <c r="H25" s="585"/>
      <c r="I25" s="586"/>
      <c r="J25" s="164">
        <f>COUNTIFS('VENDOR QUESTIONNAIRE'!$R$58:$R$181,B25,'VENDOR QUESTIONNAIRE'!$T$58:$T$181,$J$15)</f>
        <v>0</v>
      </c>
      <c r="K25" s="77">
        <f>COUNTIFS('VENDOR QUESTIONNAIRE'!$R$58:$R$181,B25,'VENDOR QUESTIONNAIRE'!$T$58:$T$181,$J$15,'VENDOR QUESTIONNAIRE'!$L$58:$L$181,$K$16)</f>
        <v>0</v>
      </c>
      <c r="L25" s="77">
        <f>COUNTIFS('VENDOR QUESTIONNAIRE'!$R$58:$R$181,$B25,'VENDOR QUESTIONNAIRE'!$T$58:$T$181,$J$15,'VENDOR QUESTIONNAIRE'!$L$58:$L$181,$L$16)</f>
        <v>0</v>
      </c>
      <c r="M25" s="77">
        <f>COUNTIFS('VENDOR QUESTIONNAIRE'!$R$58:$R$181,$B25,'VENDOR QUESTIONNAIRE'!$T$58:$T$181,$J$15,'VENDOR QUESTIONNAIRE'!$L$58:$L$181,$M$16)</f>
        <v>0</v>
      </c>
      <c r="N25" s="334" t="e">
        <f t="shared" si="0"/>
        <v>#DIV/0!</v>
      </c>
      <c r="O25" s="336">
        <f>COUNTIFS('VENDOR QUESTIONNAIRE'!$R$58:$R$181,B25,'VENDOR QUESTIONNAIRE'!$S$58:$S$181,$O$16,'VENDOR QUESTIONNAIRE'!$L$58:$L$181,"Yes",'VENDOR QUESTIONNAIRE'!$T$58:$T$181,"Required")</f>
        <v>0</v>
      </c>
      <c r="P25" s="234">
        <f>COUNTIFS('VENDOR QUESTIONNAIRE'!$R$58:$R$181,$B25,'VENDOR QUESTIONNAIRE'!$S$58:$S$181,P$16,'VENDOR QUESTIONNAIRE'!$L$58:$L$181,"Yes",'VENDOR QUESTIONNAIRE'!$T$58:$T$181,"Required")</f>
        <v>0</v>
      </c>
      <c r="Q25" s="234">
        <f>COUNTIFS('VENDOR QUESTIONNAIRE'!$R$58:$R$181,$B25,'VENDOR QUESTIONNAIRE'!$S$58:$S$181,Q$16,'VENDOR QUESTIONNAIRE'!$L$58:$L$181,"Yes",'VENDOR QUESTIONNAIRE'!$T$58:$T$181,"Required")</f>
        <v>0</v>
      </c>
      <c r="R25" s="234">
        <f>COUNTIFS('VENDOR QUESTIONNAIRE'!$R$58:$R$181,$B25,'VENDOR QUESTIONNAIRE'!$S$58:$S$181,R$16,'VENDOR QUESTIONNAIRE'!$L$58:$L$181,"Yes",'VENDOR QUESTIONNAIRE'!$T$58:$T$181,"Required")</f>
        <v>0</v>
      </c>
      <c r="S25" s="235">
        <f>COUNTIFS('VENDOR QUESTIONNAIRE'!$R$58:$R$181,$B25,'VENDOR QUESTIONNAIRE'!$S$58:$S$181,S$16,'VENDOR QUESTIONNAIRE'!$L$58:$L$181,"Yes",'VENDOR QUESTIONNAIRE'!$T$58:$T$181,"Required")</f>
        <v>0</v>
      </c>
      <c r="T25" s="275"/>
    </row>
    <row r="26" spans="1:20" ht="15.75" customHeight="1">
      <c r="A26" s="274"/>
      <c r="B26" s="584" t="s">
        <v>99</v>
      </c>
      <c r="C26" s="585"/>
      <c r="D26" s="585"/>
      <c r="E26" s="585"/>
      <c r="F26" s="585"/>
      <c r="G26" s="585"/>
      <c r="H26" s="585"/>
      <c r="I26" s="586"/>
      <c r="J26" s="164">
        <f>COUNTIFS('VENDOR QUESTIONNAIRE'!$R$58:$R$181,B26,'VENDOR QUESTIONNAIRE'!$T$58:$T$181,$J$15)</f>
        <v>0</v>
      </c>
      <c r="K26" s="77">
        <f>COUNTIFS('VENDOR QUESTIONNAIRE'!$R$58:$R$181,B26,'VENDOR QUESTIONNAIRE'!$T$58:$T$181,$J$15,'VENDOR QUESTIONNAIRE'!$L$58:$L$181,$K$16)</f>
        <v>0</v>
      </c>
      <c r="L26" s="77">
        <f>COUNTIFS('VENDOR QUESTIONNAIRE'!$R$58:$R$181,$B26,'VENDOR QUESTIONNAIRE'!$T$58:$T$181,$J$15,'VENDOR QUESTIONNAIRE'!$L$58:$L$181,$L$16)</f>
        <v>0</v>
      </c>
      <c r="M26" s="77">
        <f>COUNTIFS('VENDOR QUESTIONNAIRE'!$R$58:$R$181,$B26,'VENDOR QUESTIONNAIRE'!$T$58:$T$181,$J$15,'VENDOR QUESTIONNAIRE'!$L$58:$L$181,$M$16)</f>
        <v>0</v>
      </c>
      <c r="N26" s="334" t="e">
        <f t="shared" si="0"/>
        <v>#DIV/0!</v>
      </c>
      <c r="O26" s="336">
        <f>COUNTIFS('VENDOR QUESTIONNAIRE'!$R$58:$R$181,B26,'VENDOR QUESTIONNAIRE'!$S$58:$S$181,$O$16,'VENDOR QUESTIONNAIRE'!$L$58:$L$181,"Yes",'VENDOR QUESTIONNAIRE'!$T$58:$T$181,"Required")</f>
        <v>0</v>
      </c>
      <c r="P26" s="234">
        <f>COUNTIFS('VENDOR QUESTIONNAIRE'!$R$58:$R$181,$B26,'VENDOR QUESTIONNAIRE'!$S$58:$S$181,P$16,'VENDOR QUESTIONNAIRE'!$L$58:$L$181,"Yes",'VENDOR QUESTIONNAIRE'!$T$58:$T$181,"Required")</f>
        <v>0</v>
      </c>
      <c r="Q26" s="234">
        <f>COUNTIFS('VENDOR QUESTIONNAIRE'!$R$58:$R$181,$B26,'VENDOR QUESTIONNAIRE'!$S$58:$S$181,Q$16,'VENDOR QUESTIONNAIRE'!$L$58:$L$181,"Yes",'VENDOR QUESTIONNAIRE'!$T$58:$T$181,"Required")</f>
        <v>0</v>
      </c>
      <c r="R26" s="234">
        <f>COUNTIFS('VENDOR QUESTIONNAIRE'!$R$58:$R$181,$B26,'VENDOR QUESTIONNAIRE'!$S$58:$S$181,R$16,'VENDOR QUESTIONNAIRE'!$L$58:$L$181,"Yes",'VENDOR QUESTIONNAIRE'!$T$58:$T$181,"Required")</f>
        <v>0</v>
      </c>
      <c r="S26" s="235">
        <f>COUNTIFS('VENDOR QUESTIONNAIRE'!$R$58:$R$181,$B26,'VENDOR QUESTIONNAIRE'!$S$58:$S$181,S$16,'VENDOR QUESTIONNAIRE'!$L$58:$L$181,"Yes",'VENDOR QUESTIONNAIRE'!$T$58:$T$181,"Required")</f>
        <v>0</v>
      </c>
      <c r="T26" s="275"/>
    </row>
    <row r="27" spans="1:20" ht="15.75" customHeight="1">
      <c r="A27" s="274"/>
      <c r="B27" s="584" t="s">
        <v>106</v>
      </c>
      <c r="C27" s="585"/>
      <c r="D27" s="585"/>
      <c r="E27" s="585"/>
      <c r="F27" s="585"/>
      <c r="G27" s="585"/>
      <c r="H27" s="585"/>
      <c r="I27" s="586"/>
      <c r="J27" s="164">
        <f>COUNTIFS('VENDOR QUESTIONNAIRE'!$R$58:$R$181,B27,'VENDOR QUESTIONNAIRE'!$T$58:$T$181,$J$15)</f>
        <v>0</v>
      </c>
      <c r="K27" s="77">
        <f>COUNTIFS('VENDOR QUESTIONNAIRE'!$R$58:$R$181,B27,'VENDOR QUESTIONNAIRE'!$T$58:$T$181,$J$15,'VENDOR QUESTIONNAIRE'!$L$58:$L$181,$K$16)</f>
        <v>0</v>
      </c>
      <c r="L27" s="77">
        <f>COUNTIFS('VENDOR QUESTIONNAIRE'!$R$58:$R$181,$B27,'VENDOR QUESTIONNAIRE'!$T$58:$T$181,$J$15,'VENDOR QUESTIONNAIRE'!$L$58:$L$181,$L$16)</f>
        <v>0</v>
      </c>
      <c r="M27" s="77">
        <f>COUNTIFS('VENDOR QUESTIONNAIRE'!$R$58:$R$181,$B27,'VENDOR QUESTIONNAIRE'!$T$58:$T$181,$J$15,'VENDOR QUESTIONNAIRE'!$L$58:$L$181,$M$16)</f>
        <v>0</v>
      </c>
      <c r="N27" s="334" t="e">
        <f t="shared" si="0"/>
        <v>#DIV/0!</v>
      </c>
      <c r="O27" s="336">
        <f>COUNTIFS('VENDOR QUESTIONNAIRE'!$R$58:$R$181,B27,'VENDOR QUESTIONNAIRE'!$S$58:$S$181,$O$16,'VENDOR QUESTIONNAIRE'!$L$58:$L$181,"Yes",'VENDOR QUESTIONNAIRE'!$T$58:$T$181,"Required")</f>
        <v>0</v>
      </c>
      <c r="P27" s="234">
        <f>COUNTIFS('VENDOR QUESTIONNAIRE'!$R$58:$R$181,$B27,'VENDOR QUESTIONNAIRE'!$S$58:$S$181,P$16,'VENDOR QUESTIONNAIRE'!$L$58:$L$181,"Yes",'VENDOR QUESTIONNAIRE'!$T$58:$T$181,"Required")</f>
        <v>0</v>
      </c>
      <c r="Q27" s="234">
        <f>COUNTIFS('VENDOR QUESTIONNAIRE'!$R$58:$R$181,$B27,'VENDOR QUESTIONNAIRE'!$S$58:$S$181,Q$16,'VENDOR QUESTIONNAIRE'!$L$58:$L$181,"Yes",'VENDOR QUESTIONNAIRE'!$T$58:$T$181,"Required")</f>
        <v>0</v>
      </c>
      <c r="R27" s="234">
        <f>COUNTIFS('VENDOR QUESTIONNAIRE'!$R$58:$R$181,$B27,'VENDOR QUESTIONNAIRE'!$S$58:$S$181,R$16,'VENDOR QUESTIONNAIRE'!$L$58:$L$181,"Yes",'VENDOR QUESTIONNAIRE'!$T$58:$T$181,"Required")</f>
        <v>0</v>
      </c>
      <c r="S27" s="235">
        <f>COUNTIFS('VENDOR QUESTIONNAIRE'!$R$58:$R$181,$B27,'VENDOR QUESTIONNAIRE'!$S$58:$S$181,S$16,'VENDOR QUESTIONNAIRE'!$L$58:$L$181,"Yes",'VENDOR QUESTIONNAIRE'!$T$58:$T$181,"Required")</f>
        <v>0</v>
      </c>
      <c r="T27" s="275"/>
    </row>
    <row r="28" spans="1:20" ht="15.75" customHeight="1">
      <c r="A28" s="274"/>
      <c r="B28" s="584" t="s">
        <v>114</v>
      </c>
      <c r="C28" s="585"/>
      <c r="D28" s="585"/>
      <c r="E28" s="585"/>
      <c r="F28" s="585"/>
      <c r="G28" s="585"/>
      <c r="H28" s="585"/>
      <c r="I28" s="586"/>
      <c r="J28" s="164">
        <f>COUNTIFS('VENDOR QUESTIONNAIRE'!$R$58:$R$181,B28,'VENDOR QUESTIONNAIRE'!$T$58:$T$181,$J$15)</f>
        <v>0</v>
      </c>
      <c r="K28" s="77">
        <f>COUNTIFS('VENDOR QUESTIONNAIRE'!$R$58:$R$181,B28,'VENDOR QUESTIONNAIRE'!$T$58:$T$181,$J$15,'VENDOR QUESTIONNAIRE'!$L$58:$L$181,$K$16)</f>
        <v>0</v>
      </c>
      <c r="L28" s="77">
        <f>COUNTIFS('VENDOR QUESTIONNAIRE'!$R$58:$R$181,$B28,'VENDOR QUESTIONNAIRE'!$T$58:$T$181,$J$15,'VENDOR QUESTIONNAIRE'!$L$58:$L$181,$L$16)</f>
        <v>0</v>
      </c>
      <c r="M28" s="77">
        <f>COUNTIFS('VENDOR QUESTIONNAIRE'!$R$58:$R$181,$B28,'VENDOR QUESTIONNAIRE'!$T$58:$T$181,$J$15,'VENDOR QUESTIONNAIRE'!$L$58:$L$181,$M$16)</f>
        <v>0</v>
      </c>
      <c r="N28" s="334" t="e">
        <f t="shared" si="0"/>
        <v>#DIV/0!</v>
      </c>
      <c r="O28" s="336">
        <f>COUNTIFS('VENDOR QUESTIONNAIRE'!$R$58:$R$181,B28,'VENDOR QUESTIONNAIRE'!$S$58:$S$181,$O$16,'VENDOR QUESTIONNAIRE'!$L$58:$L$181,"Yes",'VENDOR QUESTIONNAIRE'!$T$58:$T$181,"Required")</f>
        <v>0</v>
      </c>
      <c r="P28" s="234">
        <f>COUNTIFS('VENDOR QUESTIONNAIRE'!$R$58:$R$181,$B28,'VENDOR QUESTIONNAIRE'!$S$58:$S$181,P$16,'VENDOR QUESTIONNAIRE'!$L$58:$L$181,"Yes",'VENDOR QUESTIONNAIRE'!$T$58:$T$181,"Required")</f>
        <v>0</v>
      </c>
      <c r="Q28" s="234">
        <f>COUNTIFS('VENDOR QUESTIONNAIRE'!$R$58:$R$181,$B28,'VENDOR QUESTIONNAIRE'!$S$58:$S$181,Q$16,'VENDOR QUESTIONNAIRE'!$L$58:$L$181,"Yes",'VENDOR QUESTIONNAIRE'!$T$58:$T$181,"Required")</f>
        <v>0</v>
      </c>
      <c r="R28" s="234">
        <f>COUNTIFS('VENDOR QUESTIONNAIRE'!$R$58:$R$181,$B28,'VENDOR QUESTIONNAIRE'!$S$58:$S$181,R$16,'VENDOR QUESTIONNAIRE'!$L$58:$L$181,"Yes",'VENDOR QUESTIONNAIRE'!$T$58:$T$181,"Required")</f>
        <v>0</v>
      </c>
      <c r="S28" s="235">
        <f>COUNTIFS('VENDOR QUESTIONNAIRE'!$R$58:$R$181,$B28,'VENDOR QUESTIONNAIRE'!$S$58:$S$181,S$16,'VENDOR QUESTIONNAIRE'!$L$58:$L$181,"Yes",'VENDOR QUESTIONNAIRE'!$T$58:$T$181,"Required")</f>
        <v>0</v>
      </c>
      <c r="T28" s="275"/>
    </row>
    <row r="29" spans="1:20" ht="15.75" customHeight="1">
      <c r="A29" s="274"/>
      <c r="B29" s="584" t="s">
        <v>121</v>
      </c>
      <c r="C29" s="585"/>
      <c r="D29" s="585"/>
      <c r="E29" s="585"/>
      <c r="F29" s="585"/>
      <c r="G29" s="585"/>
      <c r="H29" s="585"/>
      <c r="I29" s="586"/>
      <c r="J29" s="164">
        <f>COUNTIFS('VENDOR QUESTIONNAIRE'!$R$58:$R$181,B29,'VENDOR QUESTIONNAIRE'!$T$58:$T$181,$J$15)</f>
        <v>0</v>
      </c>
      <c r="K29" s="77">
        <f>COUNTIFS('VENDOR QUESTIONNAIRE'!$R$58:$R$181,B29,'VENDOR QUESTIONNAIRE'!$T$58:$T$181,$J$15,'VENDOR QUESTIONNAIRE'!$L$58:$L$181,$K$16)</f>
        <v>0</v>
      </c>
      <c r="L29" s="77">
        <f>COUNTIFS('VENDOR QUESTIONNAIRE'!$R$58:$R$181,$B29,'VENDOR QUESTIONNAIRE'!$T$58:$T$181,$J$15,'VENDOR QUESTIONNAIRE'!$L$58:$L$181,$L$16)</f>
        <v>0</v>
      </c>
      <c r="M29" s="77">
        <f>COUNTIFS('VENDOR QUESTIONNAIRE'!$R$58:$R$181,$B29,'VENDOR QUESTIONNAIRE'!$T$58:$T$181,$J$15,'VENDOR QUESTIONNAIRE'!$L$58:$L$181,$M$16)</f>
        <v>0</v>
      </c>
      <c r="N29" s="334" t="e">
        <f t="shared" si="0"/>
        <v>#DIV/0!</v>
      </c>
      <c r="O29" s="336">
        <f>COUNTIFS('VENDOR QUESTIONNAIRE'!$R$58:$R$181,B29,'VENDOR QUESTIONNAIRE'!$S$58:$S$181,$O$16,'VENDOR QUESTIONNAIRE'!$L$58:$L$181,"Yes",'VENDOR QUESTIONNAIRE'!$T$58:$T$181,"Required")</f>
        <v>0</v>
      </c>
      <c r="P29" s="234">
        <f>COUNTIFS('VENDOR QUESTIONNAIRE'!$R$58:$R$181,$B29,'VENDOR QUESTIONNAIRE'!$S$58:$S$181,P$16,'VENDOR QUESTIONNAIRE'!$L$58:$L$181,"Yes",'VENDOR QUESTIONNAIRE'!$T$58:$T$181,"Required")</f>
        <v>0</v>
      </c>
      <c r="Q29" s="234">
        <f>COUNTIFS('VENDOR QUESTIONNAIRE'!$R$58:$R$181,$B29,'VENDOR QUESTIONNAIRE'!$S$58:$S$181,Q$16,'VENDOR QUESTIONNAIRE'!$L$58:$L$181,"Yes",'VENDOR QUESTIONNAIRE'!$T$58:$T$181,"Required")</f>
        <v>0</v>
      </c>
      <c r="R29" s="234">
        <f>COUNTIFS('VENDOR QUESTIONNAIRE'!$R$58:$R$181,$B29,'VENDOR QUESTIONNAIRE'!$S$58:$S$181,R$16,'VENDOR QUESTIONNAIRE'!$L$58:$L$181,"Yes",'VENDOR QUESTIONNAIRE'!$T$58:$T$181,"Required")</f>
        <v>0</v>
      </c>
      <c r="S29" s="235">
        <f>COUNTIFS('VENDOR QUESTIONNAIRE'!$R$58:$R$181,$B29,'VENDOR QUESTIONNAIRE'!$S$58:$S$181,S$16,'VENDOR QUESTIONNAIRE'!$L$58:$L$181,"Yes",'VENDOR QUESTIONNAIRE'!$T$58:$T$181,"Required")</f>
        <v>0</v>
      </c>
      <c r="T29" s="275"/>
    </row>
    <row r="30" spans="1:20" ht="15.75" customHeight="1">
      <c r="A30" s="274"/>
      <c r="B30" s="584" t="s">
        <v>122</v>
      </c>
      <c r="C30" s="585"/>
      <c r="D30" s="585"/>
      <c r="E30" s="585"/>
      <c r="F30" s="585"/>
      <c r="G30" s="585"/>
      <c r="H30" s="585"/>
      <c r="I30" s="586"/>
      <c r="J30" s="164">
        <f>COUNTIFS('VENDOR QUESTIONNAIRE'!$R$58:$R$181,B30,'VENDOR QUESTIONNAIRE'!$T$58:$T$181,$J$15)</f>
        <v>0</v>
      </c>
      <c r="K30" s="77">
        <f>COUNTIFS('VENDOR QUESTIONNAIRE'!$R$58:$R$181,B30,'VENDOR QUESTIONNAIRE'!$T$58:$T$181,$J$15,'VENDOR QUESTIONNAIRE'!$L$58:$L$181,$K$16)</f>
        <v>0</v>
      </c>
      <c r="L30" s="77">
        <f>COUNTIFS('VENDOR QUESTIONNAIRE'!$R$58:$R$181,$B30,'VENDOR QUESTIONNAIRE'!$T$58:$T$181,$J$15,'VENDOR QUESTIONNAIRE'!$L$58:$L$181,$L$16)</f>
        <v>0</v>
      </c>
      <c r="M30" s="77">
        <f>COUNTIFS('VENDOR QUESTIONNAIRE'!$R$58:$R$181,$B30,'VENDOR QUESTIONNAIRE'!$T$58:$T$181,$J$15,'VENDOR QUESTIONNAIRE'!$L$58:$L$181,$M$16)</f>
        <v>0</v>
      </c>
      <c r="N30" s="334" t="e">
        <f t="shared" si="0"/>
        <v>#DIV/0!</v>
      </c>
      <c r="O30" s="336">
        <f>COUNTIFS('VENDOR QUESTIONNAIRE'!$R$58:$R$181,B30,'VENDOR QUESTIONNAIRE'!$S$58:$S$181,$O$16,'VENDOR QUESTIONNAIRE'!$L$58:$L$181,"Yes",'VENDOR QUESTIONNAIRE'!$T$58:$T$181,"Required")</f>
        <v>0</v>
      </c>
      <c r="P30" s="234">
        <f>COUNTIFS('VENDOR QUESTIONNAIRE'!$R$58:$R$181,$B30,'VENDOR QUESTIONNAIRE'!$S$58:$S$181,P$16,'VENDOR QUESTIONNAIRE'!$L$58:$L$181,"Yes",'VENDOR QUESTIONNAIRE'!$T$58:$T$181,"Required")</f>
        <v>0</v>
      </c>
      <c r="Q30" s="234">
        <f>COUNTIFS('VENDOR QUESTIONNAIRE'!$R$58:$R$181,$B30,'VENDOR QUESTIONNAIRE'!$S$58:$S$181,Q$16,'VENDOR QUESTIONNAIRE'!$L$58:$L$181,"Yes",'VENDOR QUESTIONNAIRE'!$T$58:$T$181,"Required")</f>
        <v>0</v>
      </c>
      <c r="R30" s="234">
        <f>COUNTIFS('VENDOR QUESTIONNAIRE'!$R$58:$R$181,$B30,'VENDOR QUESTIONNAIRE'!$S$58:$S$181,R$16,'VENDOR QUESTIONNAIRE'!$L$58:$L$181,"Yes",'VENDOR QUESTIONNAIRE'!$T$58:$T$181,"Required")</f>
        <v>0</v>
      </c>
      <c r="S30" s="235">
        <f>COUNTIFS('VENDOR QUESTIONNAIRE'!$R$58:$R$181,$B30,'VENDOR QUESTIONNAIRE'!$S$58:$S$181,S$16,'VENDOR QUESTIONNAIRE'!$L$58:$L$181,"Yes",'VENDOR QUESTIONNAIRE'!$T$58:$T$181,"Required")</f>
        <v>0</v>
      </c>
      <c r="T30" s="275"/>
    </row>
    <row r="31" spans="1:20" ht="15.75" customHeight="1">
      <c r="A31" s="274"/>
      <c r="B31" s="584" t="s">
        <v>123</v>
      </c>
      <c r="C31" s="585"/>
      <c r="D31" s="585"/>
      <c r="E31" s="585"/>
      <c r="F31" s="585"/>
      <c r="G31" s="585"/>
      <c r="H31" s="585"/>
      <c r="I31" s="586"/>
      <c r="J31" s="164">
        <f>COUNTIFS('VENDOR QUESTIONNAIRE'!$R$58:$R$181,B31,'VENDOR QUESTIONNAIRE'!$T$58:$T$181,$J$15)</f>
        <v>0</v>
      </c>
      <c r="K31" s="77">
        <f>COUNTIFS('VENDOR QUESTIONNAIRE'!$R$58:$R$181,B31,'VENDOR QUESTIONNAIRE'!$T$58:$T$181,$J$15,'VENDOR QUESTIONNAIRE'!$L$58:$L$181,$K$16)</f>
        <v>0</v>
      </c>
      <c r="L31" s="77">
        <f>COUNTIFS('VENDOR QUESTIONNAIRE'!$R$58:$R$181,$B31,'VENDOR QUESTIONNAIRE'!$T$58:$T$181,$J$15,'VENDOR QUESTIONNAIRE'!$L$58:$L$181,$L$16)</f>
        <v>0</v>
      </c>
      <c r="M31" s="77">
        <f>COUNTIFS('VENDOR QUESTIONNAIRE'!$R$58:$R$181,$B31,'VENDOR QUESTIONNAIRE'!$T$58:$T$181,$J$15,'VENDOR QUESTIONNAIRE'!$L$58:$L$181,$M$16)</f>
        <v>0</v>
      </c>
      <c r="N31" s="334" t="e">
        <f t="shared" si="0"/>
        <v>#DIV/0!</v>
      </c>
      <c r="O31" s="336">
        <f>COUNTIFS('VENDOR QUESTIONNAIRE'!$R$58:$R$181,B31,'VENDOR QUESTIONNAIRE'!$S$58:$S$181,$O$16,'VENDOR QUESTIONNAIRE'!$L$58:$L$181,"Yes",'VENDOR QUESTIONNAIRE'!$T$58:$T$181,"Required")</f>
        <v>0</v>
      </c>
      <c r="P31" s="234">
        <f>COUNTIFS('VENDOR QUESTIONNAIRE'!$R$58:$R$181,$B31,'VENDOR QUESTIONNAIRE'!$S$58:$S$181,P$16,'VENDOR QUESTIONNAIRE'!$L$58:$L$181,"Yes",'VENDOR QUESTIONNAIRE'!$T$58:$T$181,"Required")</f>
        <v>0</v>
      </c>
      <c r="Q31" s="234">
        <f>COUNTIFS('VENDOR QUESTIONNAIRE'!$R$58:$R$181,$B31,'VENDOR QUESTIONNAIRE'!$S$58:$S$181,Q$16,'VENDOR QUESTIONNAIRE'!$L$58:$L$181,"Yes",'VENDOR QUESTIONNAIRE'!$T$58:$T$181,"Required")</f>
        <v>0</v>
      </c>
      <c r="R31" s="234">
        <f>COUNTIFS('VENDOR QUESTIONNAIRE'!$R$58:$R$181,$B31,'VENDOR QUESTIONNAIRE'!$S$58:$S$181,R$16,'VENDOR QUESTIONNAIRE'!$L$58:$L$181,"Yes",'VENDOR QUESTIONNAIRE'!$T$58:$T$181,"Required")</f>
        <v>0</v>
      </c>
      <c r="S31" s="235">
        <f>COUNTIFS('VENDOR QUESTIONNAIRE'!$R$58:$R$181,$B31,'VENDOR QUESTIONNAIRE'!$S$58:$S$181,S$16,'VENDOR QUESTIONNAIRE'!$L$58:$L$181,"Yes",'VENDOR QUESTIONNAIRE'!$T$58:$T$181,"Required")</f>
        <v>0</v>
      </c>
      <c r="T31" s="275"/>
    </row>
    <row r="32" spans="1:20" ht="15.75" customHeight="1">
      <c r="A32" s="274"/>
      <c r="B32" s="584" t="s">
        <v>124</v>
      </c>
      <c r="C32" s="585"/>
      <c r="D32" s="585"/>
      <c r="E32" s="585"/>
      <c r="F32" s="585"/>
      <c r="G32" s="585"/>
      <c r="H32" s="585"/>
      <c r="I32" s="586"/>
      <c r="J32" s="164">
        <f>COUNTIFS('VENDOR QUESTIONNAIRE'!$R$58:$R$181,B32,'VENDOR QUESTIONNAIRE'!$T$58:$T$181,$J$15)</f>
        <v>0</v>
      </c>
      <c r="K32" s="77">
        <f>COUNTIFS('VENDOR QUESTIONNAIRE'!$R$58:$R$181,B32,'VENDOR QUESTIONNAIRE'!$T$58:$T$181,$J$15,'VENDOR QUESTIONNAIRE'!$L$58:$L$181,$K$16)</f>
        <v>0</v>
      </c>
      <c r="L32" s="77">
        <f>COUNTIFS('VENDOR QUESTIONNAIRE'!$R$58:$R$181,$B32,'VENDOR QUESTIONNAIRE'!$T$58:$T$181,$J$15,'VENDOR QUESTIONNAIRE'!$L$58:$L$181,$L$16)</f>
        <v>0</v>
      </c>
      <c r="M32" s="77">
        <f>COUNTIFS('VENDOR QUESTIONNAIRE'!$R$58:$R$181,$B32,'VENDOR QUESTIONNAIRE'!$T$58:$T$181,$J$15,'VENDOR QUESTIONNAIRE'!$L$58:$L$181,$M$16)</f>
        <v>0</v>
      </c>
      <c r="N32" s="334" t="e">
        <f t="shared" si="0"/>
        <v>#DIV/0!</v>
      </c>
      <c r="O32" s="336">
        <f>COUNTIFS('VENDOR QUESTIONNAIRE'!$R$58:$R$181,B32,'VENDOR QUESTIONNAIRE'!$S$58:$S$181,$O$16,'VENDOR QUESTIONNAIRE'!$L$58:$L$181,"Yes",'VENDOR QUESTIONNAIRE'!$T$58:$T$181,"Required")</f>
        <v>0</v>
      </c>
      <c r="P32" s="234">
        <f>COUNTIFS('VENDOR QUESTIONNAIRE'!$R$58:$R$181,$B32,'VENDOR QUESTIONNAIRE'!$S$58:$S$181,P$16,'VENDOR QUESTIONNAIRE'!$L$58:$L$181,"Yes",'VENDOR QUESTIONNAIRE'!$T$58:$T$181,"Required")</f>
        <v>0</v>
      </c>
      <c r="Q32" s="234">
        <f>COUNTIFS('VENDOR QUESTIONNAIRE'!$R$58:$R$181,$B32,'VENDOR QUESTIONNAIRE'!$S$58:$S$181,Q$16,'VENDOR QUESTIONNAIRE'!$L$58:$L$181,"Yes",'VENDOR QUESTIONNAIRE'!$T$58:$T$181,"Required")</f>
        <v>0</v>
      </c>
      <c r="R32" s="234">
        <f>COUNTIFS('VENDOR QUESTIONNAIRE'!$R$58:$R$181,$B32,'VENDOR QUESTIONNAIRE'!$S$58:$S$181,R$16,'VENDOR QUESTIONNAIRE'!$L$58:$L$181,"Yes",'VENDOR QUESTIONNAIRE'!$T$58:$T$181,"Required")</f>
        <v>0</v>
      </c>
      <c r="S32" s="235">
        <f>COUNTIFS('VENDOR QUESTIONNAIRE'!$R$58:$R$181,$B32,'VENDOR QUESTIONNAIRE'!$S$58:$S$181,S$16,'VENDOR QUESTIONNAIRE'!$L$58:$L$181,"Yes",'VENDOR QUESTIONNAIRE'!$T$58:$T$181,"Required")</f>
        <v>0</v>
      </c>
      <c r="T32" s="275"/>
    </row>
    <row r="33" spans="1:20" ht="15.75" customHeight="1">
      <c r="A33" s="274"/>
      <c r="B33" s="584" t="s">
        <v>125</v>
      </c>
      <c r="C33" s="585"/>
      <c r="D33" s="585"/>
      <c r="E33" s="585"/>
      <c r="F33" s="585"/>
      <c r="G33" s="585"/>
      <c r="H33" s="585"/>
      <c r="I33" s="586"/>
      <c r="J33" s="164">
        <f>COUNTIFS('VENDOR QUESTIONNAIRE'!$R$58:$R$181,B33,'VENDOR QUESTIONNAIRE'!$T$58:$T$181,$J$15)</f>
        <v>0</v>
      </c>
      <c r="K33" s="77">
        <f>COUNTIFS('VENDOR QUESTIONNAIRE'!$R$58:$R$181,B33,'VENDOR QUESTIONNAIRE'!$T$58:$T$181,$J$15,'VENDOR QUESTIONNAIRE'!$L$58:$L$181,$K$16)</f>
        <v>0</v>
      </c>
      <c r="L33" s="77">
        <f>COUNTIFS('VENDOR QUESTIONNAIRE'!$R$58:$R$181,$B33,'VENDOR QUESTIONNAIRE'!$T$58:$T$181,$J$15,'VENDOR QUESTIONNAIRE'!$L$58:$L$181,$L$16)</f>
        <v>0</v>
      </c>
      <c r="M33" s="77">
        <f>COUNTIFS('VENDOR QUESTIONNAIRE'!$R$58:$R$181,$B33,'VENDOR QUESTIONNAIRE'!$T$58:$T$181,$J$15,'VENDOR QUESTIONNAIRE'!$L$58:$L$181,$M$16)</f>
        <v>0</v>
      </c>
      <c r="N33" s="334" t="e">
        <f t="shared" si="0"/>
        <v>#DIV/0!</v>
      </c>
      <c r="O33" s="336">
        <f>COUNTIFS('VENDOR QUESTIONNAIRE'!$R$58:$R$181,B33,'VENDOR QUESTIONNAIRE'!$S$58:$S$181,$O$16,'VENDOR QUESTIONNAIRE'!$L$58:$L$181,"Yes",'VENDOR QUESTIONNAIRE'!$T$58:$T$181,"Required")</f>
        <v>0</v>
      </c>
      <c r="P33" s="234">
        <f>COUNTIFS('VENDOR QUESTIONNAIRE'!$R$58:$R$181,$B33,'VENDOR QUESTIONNAIRE'!$S$58:$S$181,P$16,'VENDOR QUESTIONNAIRE'!$L$58:$L$181,"Yes",'VENDOR QUESTIONNAIRE'!$T$58:$T$181,"Required")</f>
        <v>0</v>
      </c>
      <c r="Q33" s="234">
        <f>COUNTIFS('VENDOR QUESTIONNAIRE'!$R$58:$R$181,$B33,'VENDOR QUESTIONNAIRE'!$S$58:$S$181,Q$16,'VENDOR QUESTIONNAIRE'!$L$58:$L$181,"Yes",'VENDOR QUESTIONNAIRE'!$T$58:$T$181,"Required")</f>
        <v>0</v>
      </c>
      <c r="R33" s="234">
        <f>COUNTIFS('VENDOR QUESTIONNAIRE'!$R$58:$R$181,$B33,'VENDOR QUESTIONNAIRE'!$S$58:$S$181,R$16,'VENDOR QUESTIONNAIRE'!$L$58:$L$181,"Yes",'VENDOR QUESTIONNAIRE'!$T$58:$T$181,"Required")</f>
        <v>0</v>
      </c>
      <c r="S33" s="235">
        <f>COUNTIFS('VENDOR QUESTIONNAIRE'!$R$58:$R$181,$B33,'VENDOR QUESTIONNAIRE'!$S$58:$S$181,S$16,'VENDOR QUESTIONNAIRE'!$L$58:$L$181,"Yes",'VENDOR QUESTIONNAIRE'!$T$58:$T$181,"Required")</f>
        <v>0</v>
      </c>
      <c r="T33" s="275"/>
    </row>
    <row r="34" spans="1:20" ht="15.75" customHeight="1">
      <c r="A34" s="274"/>
      <c r="B34" s="584" t="s">
        <v>126</v>
      </c>
      <c r="C34" s="585"/>
      <c r="D34" s="585"/>
      <c r="E34" s="585"/>
      <c r="F34" s="585"/>
      <c r="G34" s="585"/>
      <c r="H34" s="585"/>
      <c r="I34" s="586"/>
      <c r="J34" s="164">
        <f>COUNTIFS('VENDOR QUESTIONNAIRE'!$R$58:$R$181,B34,'VENDOR QUESTIONNAIRE'!$T$58:$T$181,$J$15)</f>
        <v>0</v>
      </c>
      <c r="K34" s="77">
        <f>COUNTIFS('VENDOR QUESTIONNAIRE'!$R$58:$R$181,B34,'VENDOR QUESTIONNAIRE'!$T$58:$T$181,$J$15,'VENDOR QUESTIONNAIRE'!$L$58:$L$181,$K$16)</f>
        <v>0</v>
      </c>
      <c r="L34" s="77">
        <f>COUNTIFS('VENDOR QUESTIONNAIRE'!$R$58:$R$181,$B34,'VENDOR QUESTIONNAIRE'!$T$58:$T$181,$J$15,'VENDOR QUESTIONNAIRE'!$L$58:$L$181,$L$16)</f>
        <v>0</v>
      </c>
      <c r="M34" s="77">
        <f>COUNTIFS('VENDOR QUESTIONNAIRE'!$R$58:$R$181,$B34,'VENDOR QUESTIONNAIRE'!$T$58:$T$181,$J$15,'VENDOR QUESTIONNAIRE'!$L$58:$L$181,$M$16)</f>
        <v>0</v>
      </c>
      <c r="N34" s="334" t="e">
        <f t="shared" si="0"/>
        <v>#DIV/0!</v>
      </c>
      <c r="O34" s="336">
        <f>COUNTIFS('VENDOR QUESTIONNAIRE'!$R$58:$R$181,B34,'VENDOR QUESTIONNAIRE'!$S$58:$S$181,$O$16,'VENDOR QUESTIONNAIRE'!$L$58:$L$181,"Yes",'VENDOR QUESTIONNAIRE'!$T$58:$T$181,"Required")</f>
        <v>0</v>
      </c>
      <c r="P34" s="234">
        <f>COUNTIFS('VENDOR QUESTIONNAIRE'!$R$58:$R$181,$B34,'VENDOR QUESTIONNAIRE'!$S$58:$S$181,P$16,'VENDOR QUESTIONNAIRE'!$L$58:$L$181,"Yes",'VENDOR QUESTIONNAIRE'!$T$58:$T$181,"Required")</f>
        <v>0</v>
      </c>
      <c r="Q34" s="234">
        <f>COUNTIFS('VENDOR QUESTIONNAIRE'!$R$58:$R$181,$B34,'VENDOR QUESTIONNAIRE'!$S$58:$S$181,Q$16,'VENDOR QUESTIONNAIRE'!$L$58:$L$181,"Yes",'VENDOR QUESTIONNAIRE'!$T$58:$T$181,"Required")</f>
        <v>0</v>
      </c>
      <c r="R34" s="234">
        <f>COUNTIFS('VENDOR QUESTIONNAIRE'!$R$58:$R$181,$B34,'VENDOR QUESTIONNAIRE'!$S$58:$S$181,R$16,'VENDOR QUESTIONNAIRE'!$L$58:$L$181,"Yes",'VENDOR QUESTIONNAIRE'!$T$58:$T$181,"Required")</f>
        <v>0</v>
      </c>
      <c r="S34" s="235">
        <f>COUNTIFS('VENDOR QUESTIONNAIRE'!$R$58:$R$181,$B34,'VENDOR QUESTIONNAIRE'!$S$58:$S$181,S$16,'VENDOR QUESTIONNAIRE'!$L$58:$L$181,"Yes",'VENDOR QUESTIONNAIRE'!$T$58:$T$181,"Required")</f>
        <v>0</v>
      </c>
      <c r="T34" s="275"/>
    </row>
    <row r="35" spans="1:20" ht="15.75" customHeight="1">
      <c r="A35" s="274"/>
      <c r="B35" s="584" t="s">
        <v>127</v>
      </c>
      <c r="C35" s="585"/>
      <c r="D35" s="585"/>
      <c r="E35" s="585"/>
      <c r="F35" s="585"/>
      <c r="G35" s="585"/>
      <c r="H35" s="585"/>
      <c r="I35" s="586"/>
      <c r="J35" s="164">
        <f>COUNTIFS('VENDOR QUESTIONNAIRE'!$R$58:$R$181,B35,'VENDOR QUESTIONNAIRE'!$T$58:$T$181,$J$15)</f>
        <v>0</v>
      </c>
      <c r="K35" s="77">
        <f>COUNTIFS('VENDOR QUESTIONNAIRE'!$R$58:$R$181,B35,'VENDOR QUESTIONNAIRE'!$T$58:$T$181,$J$15,'VENDOR QUESTIONNAIRE'!$L$58:$L$181,$K$16)</f>
        <v>0</v>
      </c>
      <c r="L35" s="77">
        <f>COUNTIFS('VENDOR QUESTIONNAIRE'!$R$58:$R$181,$B35,'VENDOR QUESTIONNAIRE'!$T$58:$T$181,$J$15,'VENDOR QUESTIONNAIRE'!$L$58:$L$181,$L$16)</f>
        <v>0</v>
      </c>
      <c r="M35" s="77">
        <f>COUNTIFS('VENDOR QUESTIONNAIRE'!$R$58:$R$181,$B35,'VENDOR QUESTIONNAIRE'!$T$58:$T$181,$J$15,'VENDOR QUESTIONNAIRE'!$L$58:$L$181,$M$16)</f>
        <v>0</v>
      </c>
      <c r="N35" s="334" t="e">
        <f t="shared" si="0"/>
        <v>#DIV/0!</v>
      </c>
      <c r="O35" s="336">
        <f>COUNTIFS('VENDOR QUESTIONNAIRE'!$R$58:$R$181,B35,'VENDOR QUESTIONNAIRE'!$S$58:$S$181,$O$16,'VENDOR QUESTIONNAIRE'!$L$58:$L$181,"Yes",'VENDOR QUESTIONNAIRE'!$T$58:$T$181,"Required")</f>
        <v>0</v>
      </c>
      <c r="P35" s="234">
        <f>COUNTIFS('VENDOR QUESTIONNAIRE'!$R$58:$R$181,$B35,'VENDOR QUESTIONNAIRE'!$S$58:$S$181,P$16,'VENDOR QUESTIONNAIRE'!$L$58:$L$181,"Yes",'VENDOR QUESTIONNAIRE'!$T$58:$T$181,"Required")</f>
        <v>0</v>
      </c>
      <c r="Q35" s="234">
        <f>COUNTIFS('VENDOR QUESTIONNAIRE'!$R$58:$R$181,$B35,'VENDOR QUESTIONNAIRE'!$S$58:$S$181,Q$16,'VENDOR QUESTIONNAIRE'!$L$58:$L$181,"Yes",'VENDOR QUESTIONNAIRE'!$T$58:$T$181,"Required")</f>
        <v>0</v>
      </c>
      <c r="R35" s="234">
        <f>COUNTIFS('VENDOR QUESTIONNAIRE'!$R$58:$R$181,$B35,'VENDOR QUESTIONNAIRE'!$S$58:$S$181,R$16,'VENDOR QUESTIONNAIRE'!$L$58:$L$181,"Yes",'VENDOR QUESTIONNAIRE'!$T$58:$T$181,"Required")</f>
        <v>0</v>
      </c>
      <c r="S35" s="235">
        <f>COUNTIFS('VENDOR QUESTIONNAIRE'!$R$58:$R$181,$B35,'VENDOR QUESTIONNAIRE'!$S$58:$S$181,S$16,'VENDOR QUESTIONNAIRE'!$L$58:$L$181,"Yes",'VENDOR QUESTIONNAIRE'!$T$58:$T$181,"Required")</f>
        <v>0</v>
      </c>
      <c r="T35" s="275"/>
    </row>
    <row r="36" spans="1:20" ht="15.75" customHeight="1">
      <c r="A36" s="274"/>
      <c r="B36" s="584" t="s">
        <v>128</v>
      </c>
      <c r="C36" s="585"/>
      <c r="D36" s="585"/>
      <c r="E36" s="585"/>
      <c r="F36" s="585"/>
      <c r="G36" s="585"/>
      <c r="H36" s="585"/>
      <c r="I36" s="586"/>
      <c r="J36" s="164">
        <f>COUNTIFS('VENDOR QUESTIONNAIRE'!$R$58:$R$181,B36,'VENDOR QUESTIONNAIRE'!$T$58:$T$181,$J$15)</f>
        <v>0</v>
      </c>
      <c r="K36" s="77">
        <f>COUNTIFS('VENDOR QUESTIONNAIRE'!$R$58:$R$181,B36,'VENDOR QUESTIONNAIRE'!$T$58:$T$181,$J$15,'VENDOR QUESTIONNAIRE'!$L$58:$L$181,$K$16)</f>
        <v>0</v>
      </c>
      <c r="L36" s="77">
        <f>COUNTIFS('VENDOR QUESTIONNAIRE'!$R$58:$R$181,$B36,'VENDOR QUESTIONNAIRE'!$T$58:$T$181,$J$15,'VENDOR QUESTIONNAIRE'!$L$58:$L$181,$L$16)</f>
        <v>0</v>
      </c>
      <c r="M36" s="77">
        <f>COUNTIFS('VENDOR QUESTIONNAIRE'!$R$58:$R$181,$B36,'VENDOR QUESTIONNAIRE'!$T$58:$T$181,$J$15,'VENDOR QUESTIONNAIRE'!$L$58:$L$181,$M$16)</f>
        <v>0</v>
      </c>
      <c r="N36" s="334" t="e">
        <f t="shared" si="0"/>
        <v>#DIV/0!</v>
      </c>
      <c r="O36" s="336">
        <f>COUNTIFS('VENDOR QUESTIONNAIRE'!$R$58:$R$181,B36,'VENDOR QUESTIONNAIRE'!$S$58:$S$181,$O$16,'VENDOR QUESTIONNAIRE'!$L$58:$L$181,"Yes",'VENDOR QUESTIONNAIRE'!$T$58:$T$181,"Required")</f>
        <v>0</v>
      </c>
      <c r="P36" s="234">
        <f>COUNTIFS('VENDOR QUESTIONNAIRE'!$R$58:$R$181,$B36,'VENDOR QUESTIONNAIRE'!$S$58:$S$181,P$16,'VENDOR QUESTIONNAIRE'!$L$58:$L$181,"Yes",'VENDOR QUESTIONNAIRE'!$T$58:$T$181,"Required")</f>
        <v>0</v>
      </c>
      <c r="Q36" s="234">
        <f>COUNTIFS('VENDOR QUESTIONNAIRE'!$R$58:$R$181,$B36,'VENDOR QUESTIONNAIRE'!$S$58:$S$181,Q$16,'VENDOR QUESTIONNAIRE'!$L$58:$L$181,"Yes",'VENDOR QUESTIONNAIRE'!$T$58:$T$181,"Required")</f>
        <v>0</v>
      </c>
      <c r="R36" s="234">
        <f>COUNTIFS('VENDOR QUESTIONNAIRE'!$R$58:$R$181,$B36,'VENDOR QUESTIONNAIRE'!$S$58:$S$181,R$16,'VENDOR QUESTIONNAIRE'!$L$58:$L$181,"Yes",'VENDOR QUESTIONNAIRE'!$T$58:$T$181,"Required")</f>
        <v>0</v>
      </c>
      <c r="S36" s="235">
        <f>COUNTIFS('VENDOR QUESTIONNAIRE'!$R$58:$R$181,$B36,'VENDOR QUESTIONNAIRE'!$S$58:$S$181,S$16,'VENDOR QUESTIONNAIRE'!$L$58:$L$181,"Yes",'VENDOR QUESTIONNAIRE'!$T$58:$T$181,"Required")</f>
        <v>0</v>
      </c>
      <c r="T36" s="275"/>
    </row>
    <row r="37" spans="1:20" ht="16.5" customHeight="1" thickBot="1">
      <c r="A37" s="274"/>
      <c r="B37" s="579" t="s">
        <v>129</v>
      </c>
      <c r="C37" s="580"/>
      <c r="D37" s="580"/>
      <c r="E37" s="580"/>
      <c r="F37" s="580"/>
      <c r="G37" s="580"/>
      <c r="H37" s="580"/>
      <c r="I37" s="581"/>
      <c r="J37" s="164">
        <f>COUNTIFS('VENDOR QUESTIONNAIRE'!$R$58:$R$181,B37,'VENDOR QUESTIONNAIRE'!$T$58:$T$181,$J$15)</f>
        <v>0</v>
      </c>
      <c r="K37" s="77">
        <f>COUNTIFS('VENDOR QUESTIONNAIRE'!$R$58:$R$181,B37,'VENDOR QUESTIONNAIRE'!$T$58:$T$181,$J$15,'VENDOR QUESTIONNAIRE'!$L$58:$L$181,$K$16)</f>
        <v>0</v>
      </c>
      <c r="L37" s="77">
        <f>COUNTIFS('VENDOR QUESTIONNAIRE'!$R$58:$R$181,$B37,'VENDOR QUESTIONNAIRE'!$T$58:$T$181,$J$15,'VENDOR QUESTIONNAIRE'!$L$58:$L$181,$L$16)</f>
        <v>0</v>
      </c>
      <c r="M37" s="77">
        <f>COUNTIFS('VENDOR QUESTIONNAIRE'!$R$58:$R$181,$B37,'VENDOR QUESTIONNAIRE'!$T$58:$T$181,$J$15,'VENDOR QUESTIONNAIRE'!$L$58:$L$181,$M$16)</f>
        <v>0</v>
      </c>
      <c r="N37" s="335" t="e">
        <f t="shared" si="0"/>
        <v>#DIV/0!</v>
      </c>
      <c r="O37" s="337">
        <f>COUNTIFS('VENDOR QUESTIONNAIRE'!$R$58:$R$181,B37,'VENDOR QUESTIONNAIRE'!$S$58:$S$181,$O$16,'VENDOR QUESTIONNAIRE'!$L$58:$L$181,"Yes",'VENDOR QUESTIONNAIRE'!$T$58:$T$181,"Required")</f>
        <v>0</v>
      </c>
      <c r="P37" s="338">
        <f>COUNTIFS('VENDOR QUESTIONNAIRE'!$R$58:$R$181,$B37,'VENDOR QUESTIONNAIRE'!$S$58:$S$181,P$16,'VENDOR QUESTIONNAIRE'!$L$58:$L$181,"Yes",'VENDOR QUESTIONNAIRE'!$T$58:$T$181,"Required")</f>
        <v>0</v>
      </c>
      <c r="Q37" s="338">
        <f>COUNTIFS('VENDOR QUESTIONNAIRE'!$R$58:$R$181,$B37,'VENDOR QUESTIONNAIRE'!$S$58:$S$181,Q$16,'VENDOR QUESTIONNAIRE'!$L$58:$L$181,"Yes",'VENDOR QUESTIONNAIRE'!$T$58:$T$181,"Required")</f>
        <v>0</v>
      </c>
      <c r="R37" s="338">
        <f>COUNTIFS('VENDOR QUESTIONNAIRE'!$R$58:$R$181,$B37,'VENDOR QUESTIONNAIRE'!$S$58:$S$181,R$16,'VENDOR QUESTIONNAIRE'!$L$58:$L$181,"Yes",'VENDOR QUESTIONNAIRE'!$T$58:$T$181,"Required")</f>
        <v>0</v>
      </c>
      <c r="S37" s="339">
        <f>COUNTIFS('VENDOR QUESTIONNAIRE'!$R$58:$R$181,$B37,'VENDOR QUESTIONNAIRE'!$S$58:$S$181,S$16,'VENDOR QUESTIONNAIRE'!$L$58:$L$181,"Yes",'VENDOR QUESTIONNAIRE'!$T$58:$T$181,"Required")</f>
        <v>0</v>
      </c>
      <c r="T37" s="275"/>
    </row>
    <row r="38" spans="1:20" ht="20" thickBot="1">
      <c r="A38" s="274"/>
      <c r="B38" s="168"/>
      <c r="C38" s="169"/>
      <c r="D38" s="169"/>
      <c r="E38" s="169"/>
      <c r="F38" s="169"/>
      <c r="G38" s="169"/>
      <c r="H38" s="582" t="s">
        <v>1912</v>
      </c>
      <c r="I38" s="583"/>
      <c r="J38" s="148">
        <f>SUM(J18:J37)</f>
        <v>0</v>
      </c>
      <c r="K38" s="148">
        <f>SUM(K18:K37)</f>
        <v>0</v>
      </c>
      <c r="L38" s="148">
        <f>SUM(L18:L37)</f>
        <v>0</v>
      </c>
      <c r="M38" s="148">
        <f>SUM(M18:M37)</f>
        <v>0</v>
      </c>
      <c r="N38" s="149" t="e">
        <f>AVERAGEIF(N18:N37,"&lt;&gt;#DIV/0!")</f>
        <v>#DIV/0!</v>
      </c>
      <c r="O38" s="172">
        <f>SUM(O18:O37)</f>
        <v>0</v>
      </c>
      <c r="P38" s="172">
        <f>SUM(P18:P37)</f>
        <v>0</v>
      </c>
      <c r="Q38" s="172">
        <f>SUM(Q18:Q37)</f>
        <v>0</v>
      </c>
      <c r="R38" s="172">
        <f>SUM(R18:R37)</f>
        <v>0</v>
      </c>
      <c r="S38" s="173">
        <f>SUM(S18:S37)</f>
        <v>0</v>
      </c>
      <c r="T38" s="275"/>
    </row>
    <row r="39" spans="1:20" ht="19">
      <c r="A39" s="274"/>
      <c r="B39" s="343"/>
      <c r="C39" s="343"/>
      <c r="D39" s="343"/>
      <c r="E39" s="343"/>
      <c r="F39" s="343"/>
      <c r="G39" s="343"/>
      <c r="H39" s="147"/>
      <c r="I39" s="147"/>
      <c r="J39" s="150"/>
      <c r="K39" s="150"/>
      <c r="L39" s="150"/>
      <c r="M39" s="150"/>
      <c r="N39" s="151"/>
      <c r="O39" s="150"/>
      <c r="P39" s="150"/>
      <c r="Q39" s="150"/>
      <c r="R39" s="150"/>
      <c r="S39" s="151"/>
      <c r="T39" s="275"/>
    </row>
    <row r="40" spans="1:20" ht="19" customHeight="1">
      <c r="A40" s="274"/>
      <c r="B40" s="519" t="s">
        <v>2003</v>
      </c>
      <c r="C40" s="519"/>
      <c r="D40" s="519"/>
      <c r="E40" s="519"/>
      <c r="F40" s="519"/>
      <c r="G40" s="519"/>
      <c r="H40" s="519"/>
      <c r="I40" s="519"/>
      <c r="J40" s="519"/>
      <c r="K40" s="519"/>
      <c r="L40" s="519"/>
      <c r="M40" s="519"/>
      <c r="N40" s="519"/>
      <c r="O40" s="519"/>
      <c r="P40" s="519"/>
      <c r="Q40" s="519"/>
      <c r="R40" s="519"/>
      <c r="S40" s="519"/>
      <c r="T40" s="275"/>
    </row>
    <row r="41" spans="1:20" ht="19" customHeight="1" thickBot="1">
      <c r="A41" s="274"/>
      <c r="B41" s="519"/>
      <c r="C41" s="519"/>
      <c r="D41" s="519"/>
      <c r="E41" s="519"/>
      <c r="F41" s="519"/>
      <c r="G41" s="519"/>
      <c r="H41" s="519"/>
      <c r="I41" s="519"/>
      <c r="J41" s="519"/>
      <c r="K41" s="519"/>
      <c r="L41" s="519"/>
      <c r="M41" s="519"/>
      <c r="N41" s="519"/>
      <c r="O41" s="519"/>
      <c r="P41" s="519"/>
      <c r="Q41" s="519"/>
      <c r="R41" s="519"/>
      <c r="S41" s="519"/>
      <c r="T41" s="275"/>
    </row>
    <row r="42" spans="1:20" ht="19" customHeight="1">
      <c r="A42" s="274"/>
      <c r="B42" s="364" t="s">
        <v>1955</v>
      </c>
      <c r="C42" s="575" t="s">
        <v>1956</v>
      </c>
      <c r="D42" s="575"/>
      <c r="E42" s="576" t="s">
        <v>1958</v>
      </c>
      <c r="F42" s="576"/>
      <c r="G42" s="576"/>
      <c r="H42" s="576"/>
      <c r="I42" s="576"/>
      <c r="J42" s="576"/>
      <c r="K42" s="575" t="s">
        <v>2066</v>
      </c>
      <c r="L42" s="575"/>
      <c r="M42" s="575"/>
      <c r="N42" s="552" t="s">
        <v>1957</v>
      </c>
      <c r="O42" s="552"/>
      <c r="P42" s="552" t="s">
        <v>1566</v>
      </c>
      <c r="Q42" s="552"/>
      <c r="R42" s="552"/>
      <c r="S42" s="553"/>
      <c r="T42" s="275"/>
    </row>
    <row r="43" spans="1:20">
      <c r="A43" s="274"/>
      <c r="B43" s="365" t="e">
        <f>'Vendor Gap Calc'!E2</f>
        <v>#NUM!</v>
      </c>
      <c r="C43" s="529" t="e">
        <f>VLOOKUP(B43,'Technology MASTER'!$B$3:$N$107,4,FALSE)</f>
        <v>#NUM!</v>
      </c>
      <c r="D43" s="529"/>
      <c r="E43" s="530" t="e">
        <f>VLOOKUP(B43,'Technology MASTER'!$B$3:$N$107,5,FALSE)</f>
        <v>#NUM!</v>
      </c>
      <c r="F43" s="530"/>
      <c r="G43" s="530"/>
      <c r="H43" s="530"/>
      <c r="I43" s="530"/>
      <c r="J43" s="530"/>
      <c r="K43" s="531" t="e">
        <f>VLOOKUP(B43,'Technology MASTER'!$B$3:$N$107,10,FALSE)</f>
        <v>#NUM!</v>
      </c>
      <c r="L43" s="531"/>
      <c r="M43" s="531"/>
      <c r="N43" s="532" t="e">
        <f>VLOOKUP(B43,'Technology MASTER'!$B$3:$N$107,11,FALSE)</f>
        <v>#NUM!</v>
      </c>
      <c r="O43" s="532"/>
      <c r="P43" s="532" t="e">
        <f>VLOOKUP(B43,'Technology MASTER'!$B$3:$N$107,13,FALSE)</f>
        <v>#NUM!</v>
      </c>
      <c r="Q43" s="532"/>
      <c r="R43" s="532"/>
      <c r="S43" s="533"/>
      <c r="T43" s="275"/>
    </row>
    <row r="44" spans="1:20">
      <c r="A44" s="274"/>
      <c r="B44" s="365" t="e">
        <f>'Vendor Gap Calc'!E3</f>
        <v>#NUM!</v>
      </c>
      <c r="C44" s="529" t="e">
        <f>VLOOKUP(B44,'Technology MASTER'!$B$3:$N$107,4,FALSE)</f>
        <v>#NUM!</v>
      </c>
      <c r="D44" s="529"/>
      <c r="E44" s="530" t="e">
        <f>VLOOKUP(B44,'Technology MASTER'!$B$3:$N$107,5,FALSE)</f>
        <v>#NUM!</v>
      </c>
      <c r="F44" s="530"/>
      <c r="G44" s="530"/>
      <c r="H44" s="530"/>
      <c r="I44" s="530"/>
      <c r="J44" s="530"/>
      <c r="K44" s="531" t="e">
        <f>VLOOKUP(B44,'Technology MASTER'!$B$3:$N$107,10,FALSE)</f>
        <v>#NUM!</v>
      </c>
      <c r="L44" s="531"/>
      <c r="M44" s="531"/>
      <c r="N44" s="532" t="e">
        <f>VLOOKUP(B44,'Technology MASTER'!$B$3:$N$107,11,FALSE)</f>
        <v>#NUM!</v>
      </c>
      <c r="O44" s="532"/>
      <c r="P44" s="532" t="e">
        <f>VLOOKUP(B44,'Technology MASTER'!$B$3:$N$107,13,FALSE)</f>
        <v>#NUM!</v>
      </c>
      <c r="Q44" s="532"/>
      <c r="R44" s="532"/>
      <c r="S44" s="533"/>
      <c r="T44" s="275"/>
    </row>
    <row r="45" spans="1:20">
      <c r="A45" s="274"/>
      <c r="B45" s="365" t="e">
        <f>'Vendor Gap Calc'!E4</f>
        <v>#NUM!</v>
      </c>
      <c r="C45" s="529" t="e">
        <f>VLOOKUP(B45,'Technology MASTER'!$B$3:$N$107,4,FALSE)</f>
        <v>#NUM!</v>
      </c>
      <c r="D45" s="529"/>
      <c r="E45" s="530" t="e">
        <f>VLOOKUP(B45,'Technology MASTER'!$B$3:$N$107,5,FALSE)</f>
        <v>#NUM!</v>
      </c>
      <c r="F45" s="530"/>
      <c r="G45" s="530"/>
      <c r="H45" s="530"/>
      <c r="I45" s="530"/>
      <c r="J45" s="530"/>
      <c r="K45" s="531" t="e">
        <f>VLOOKUP(B45,'Technology MASTER'!$B$3:$N$107,10,FALSE)</f>
        <v>#NUM!</v>
      </c>
      <c r="L45" s="531"/>
      <c r="M45" s="531"/>
      <c r="N45" s="532" t="e">
        <f>VLOOKUP(B45,'Technology MASTER'!$B$3:$N$107,11,FALSE)</f>
        <v>#NUM!</v>
      </c>
      <c r="O45" s="532"/>
      <c r="P45" s="532" t="e">
        <f>VLOOKUP(B45,'Technology MASTER'!$B$3:$N$107,13,FALSE)</f>
        <v>#NUM!</v>
      </c>
      <c r="Q45" s="532"/>
      <c r="R45" s="532"/>
      <c r="S45" s="533"/>
      <c r="T45" s="275"/>
    </row>
    <row r="46" spans="1:20">
      <c r="A46" s="274"/>
      <c r="B46" s="365" t="e">
        <f>'Vendor Gap Calc'!E5</f>
        <v>#NUM!</v>
      </c>
      <c r="C46" s="529" t="e">
        <f>VLOOKUP(B46,'Technology MASTER'!$B$3:$N$107,4,FALSE)</f>
        <v>#NUM!</v>
      </c>
      <c r="D46" s="529"/>
      <c r="E46" s="530" t="e">
        <f>VLOOKUP(B46,'Technology MASTER'!$B$3:$N$107,5,FALSE)</f>
        <v>#NUM!</v>
      </c>
      <c r="F46" s="530"/>
      <c r="G46" s="530"/>
      <c r="H46" s="530"/>
      <c r="I46" s="530"/>
      <c r="J46" s="530"/>
      <c r="K46" s="531" t="e">
        <f>VLOOKUP(B46,'Technology MASTER'!$B$3:$N$107,10,FALSE)</f>
        <v>#NUM!</v>
      </c>
      <c r="L46" s="531"/>
      <c r="M46" s="531"/>
      <c r="N46" s="532" t="e">
        <f>VLOOKUP(B46,'Technology MASTER'!$B$3:$N$107,11,FALSE)</f>
        <v>#NUM!</v>
      </c>
      <c r="O46" s="532"/>
      <c r="P46" s="532" t="e">
        <f>VLOOKUP(B46,'Technology MASTER'!$B$3:$N$107,13,FALSE)</f>
        <v>#NUM!</v>
      </c>
      <c r="Q46" s="532"/>
      <c r="R46" s="532"/>
      <c r="S46" s="533"/>
      <c r="T46" s="275"/>
    </row>
    <row r="47" spans="1:20">
      <c r="A47" s="274"/>
      <c r="B47" s="365" t="e">
        <f>'Vendor Gap Calc'!E6</f>
        <v>#NUM!</v>
      </c>
      <c r="C47" s="529" t="e">
        <f>VLOOKUP(B47,'Technology MASTER'!$B$3:$N$107,4,FALSE)</f>
        <v>#NUM!</v>
      </c>
      <c r="D47" s="529"/>
      <c r="E47" s="530" t="e">
        <f>VLOOKUP(B47,'Technology MASTER'!$B$3:$N$107,5,FALSE)</f>
        <v>#NUM!</v>
      </c>
      <c r="F47" s="530"/>
      <c r="G47" s="530"/>
      <c r="H47" s="530"/>
      <c r="I47" s="530"/>
      <c r="J47" s="530"/>
      <c r="K47" s="531" t="e">
        <f>VLOOKUP(B47,'Technology MASTER'!$B$3:$N$107,10,FALSE)</f>
        <v>#NUM!</v>
      </c>
      <c r="L47" s="531"/>
      <c r="M47" s="531"/>
      <c r="N47" s="532" t="e">
        <f>VLOOKUP(B47,'Technology MASTER'!$B$3:$N$107,11,FALSE)</f>
        <v>#NUM!</v>
      </c>
      <c r="O47" s="532"/>
      <c r="P47" s="532" t="e">
        <f>VLOOKUP(B47,'Technology MASTER'!$B$3:$N$107,13,FALSE)</f>
        <v>#NUM!</v>
      </c>
      <c r="Q47" s="532"/>
      <c r="R47" s="532"/>
      <c r="S47" s="533"/>
      <c r="T47" s="275"/>
    </row>
    <row r="48" spans="1:20">
      <c r="A48" s="274"/>
      <c r="B48" s="365" t="e">
        <f>'Vendor Gap Calc'!E7</f>
        <v>#NUM!</v>
      </c>
      <c r="C48" s="529" t="e">
        <f>VLOOKUP(B48,'Technology MASTER'!$B$3:$N$107,4,FALSE)</f>
        <v>#NUM!</v>
      </c>
      <c r="D48" s="529"/>
      <c r="E48" s="530" t="e">
        <f>VLOOKUP(B48,'Technology MASTER'!$B$3:$N$107,5,FALSE)</f>
        <v>#NUM!</v>
      </c>
      <c r="F48" s="530"/>
      <c r="G48" s="530"/>
      <c r="H48" s="530"/>
      <c r="I48" s="530"/>
      <c r="J48" s="530"/>
      <c r="K48" s="531" t="e">
        <f>VLOOKUP(B48,'Technology MASTER'!$B$3:$N$107,10,FALSE)</f>
        <v>#NUM!</v>
      </c>
      <c r="L48" s="531"/>
      <c r="M48" s="531"/>
      <c r="N48" s="532" t="e">
        <f>VLOOKUP(B48,'Technology MASTER'!$B$3:$N$107,11,FALSE)</f>
        <v>#NUM!</v>
      </c>
      <c r="O48" s="532"/>
      <c r="P48" s="532" t="e">
        <f>VLOOKUP(B48,'Technology MASTER'!$B$3:$N$107,13,FALSE)</f>
        <v>#NUM!</v>
      </c>
      <c r="Q48" s="532"/>
      <c r="R48" s="532"/>
      <c r="S48" s="533"/>
      <c r="T48" s="275"/>
    </row>
    <row r="49" spans="1:20">
      <c r="A49" s="274"/>
      <c r="B49" s="365" t="e">
        <f>'Vendor Gap Calc'!E8</f>
        <v>#NUM!</v>
      </c>
      <c r="C49" s="529" t="e">
        <f>VLOOKUP(B49,'Technology MASTER'!$B$3:$N$107,4,FALSE)</f>
        <v>#NUM!</v>
      </c>
      <c r="D49" s="529"/>
      <c r="E49" s="530" t="e">
        <f>VLOOKUP(B49,'Technology MASTER'!$B$3:$N$107,5,FALSE)</f>
        <v>#NUM!</v>
      </c>
      <c r="F49" s="530"/>
      <c r="G49" s="530"/>
      <c r="H49" s="530"/>
      <c r="I49" s="530"/>
      <c r="J49" s="530"/>
      <c r="K49" s="531" t="e">
        <f>VLOOKUP(B49,'Technology MASTER'!$B$3:$N$107,10,FALSE)</f>
        <v>#NUM!</v>
      </c>
      <c r="L49" s="531"/>
      <c r="M49" s="531"/>
      <c r="N49" s="532" t="e">
        <f>VLOOKUP(B49,'Technology MASTER'!$B$3:$N$107,11,FALSE)</f>
        <v>#NUM!</v>
      </c>
      <c r="O49" s="532"/>
      <c r="P49" s="532" t="e">
        <f>VLOOKUP(B49,'Technology MASTER'!$B$3:$N$107,13,FALSE)</f>
        <v>#NUM!</v>
      </c>
      <c r="Q49" s="532"/>
      <c r="R49" s="532"/>
      <c r="S49" s="533"/>
      <c r="T49" s="275"/>
    </row>
    <row r="50" spans="1:20">
      <c r="A50" s="274"/>
      <c r="B50" s="365" t="e">
        <f>'Vendor Gap Calc'!E9</f>
        <v>#NUM!</v>
      </c>
      <c r="C50" s="529" t="e">
        <f>VLOOKUP(B50,'Technology MASTER'!$B$3:$N$107,4,FALSE)</f>
        <v>#NUM!</v>
      </c>
      <c r="D50" s="529"/>
      <c r="E50" s="530" t="e">
        <f>VLOOKUP(B50,'Technology MASTER'!$B$3:$N$107,5,FALSE)</f>
        <v>#NUM!</v>
      </c>
      <c r="F50" s="530"/>
      <c r="G50" s="530"/>
      <c r="H50" s="530"/>
      <c r="I50" s="530"/>
      <c r="J50" s="530"/>
      <c r="K50" s="531" t="e">
        <f>VLOOKUP(B50,'Technology MASTER'!$B$3:$N$107,10,FALSE)</f>
        <v>#NUM!</v>
      </c>
      <c r="L50" s="531"/>
      <c r="M50" s="531"/>
      <c r="N50" s="532" t="e">
        <f>VLOOKUP(B50,'Technology MASTER'!$B$3:$N$107,11,FALSE)</f>
        <v>#NUM!</v>
      </c>
      <c r="O50" s="532"/>
      <c r="P50" s="532" t="e">
        <f>VLOOKUP(B50,'Technology MASTER'!$B$3:$N$107,13,FALSE)</f>
        <v>#NUM!</v>
      </c>
      <c r="Q50" s="532"/>
      <c r="R50" s="532"/>
      <c r="S50" s="533"/>
      <c r="T50" s="275"/>
    </row>
    <row r="51" spans="1:20">
      <c r="A51" s="274"/>
      <c r="B51" s="365" t="e">
        <f>'Vendor Gap Calc'!E10</f>
        <v>#NUM!</v>
      </c>
      <c r="C51" s="529" t="e">
        <f>VLOOKUP(B51,'Technology MASTER'!$B$3:$N$107,4,FALSE)</f>
        <v>#NUM!</v>
      </c>
      <c r="D51" s="529"/>
      <c r="E51" s="530" t="e">
        <f>VLOOKUP(B51,'Technology MASTER'!$B$3:$N$107,5,FALSE)</f>
        <v>#NUM!</v>
      </c>
      <c r="F51" s="530"/>
      <c r="G51" s="530"/>
      <c r="H51" s="530"/>
      <c r="I51" s="530"/>
      <c r="J51" s="530"/>
      <c r="K51" s="531" t="e">
        <f>VLOOKUP(B51,'Technology MASTER'!$B$3:$N$107,10,FALSE)</f>
        <v>#NUM!</v>
      </c>
      <c r="L51" s="531"/>
      <c r="M51" s="531"/>
      <c r="N51" s="532" t="e">
        <f>VLOOKUP(B51,'Technology MASTER'!$B$3:$N$107,11,FALSE)</f>
        <v>#NUM!</v>
      </c>
      <c r="O51" s="532"/>
      <c r="P51" s="532" t="e">
        <f>VLOOKUP(B51,'Technology MASTER'!$B$3:$N$107,13,FALSE)</f>
        <v>#NUM!</v>
      </c>
      <c r="Q51" s="532"/>
      <c r="R51" s="532"/>
      <c r="S51" s="533"/>
      <c r="T51" s="275"/>
    </row>
    <row r="52" spans="1:20">
      <c r="A52" s="274"/>
      <c r="B52" s="365" t="e">
        <f>'Vendor Gap Calc'!E11</f>
        <v>#NUM!</v>
      </c>
      <c r="C52" s="529" t="e">
        <f>VLOOKUP(B52,'Technology MASTER'!$B$3:$N$107,4,FALSE)</f>
        <v>#NUM!</v>
      </c>
      <c r="D52" s="529"/>
      <c r="E52" s="530" t="e">
        <f>VLOOKUP(B52,'Technology MASTER'!$B$3:$N$107,5,FALSE)</f>
        <v>#NUM!</v>
      </c>
      <c r="F52" s="530"/>
      <c r="G52" s="530"/>
      <c r="H52" s="530"/>
      <c r="I52" s="530"/>
      <c r="J52" s="530"/>
      <c r="K52" s="531" t="e">
        <f>VLOOKUP(B52,'Technology MASTER'!$B$3:$N$107,10,FALSE)</f>
        <v>#NUM!</v>
      </c>
      <c r="L52" s="531"/>
      <c r="M52" s="531"/>
      <c r="N52" s="532" t="e">
        <f>VLOOKUP(B52,'Technology MASTER'!$B$3:$N$107,11,FALSE)</f>
        <v>#NUM!</v>
      </c>
      <c r="O52" s="532"/>
      <c r="P52" s="532" t="e">
        <f>VLOOKUP(B52,'Technology MASTER'!$B$3:$N$107,13,FALSE)</f>
        <v>#NUM!</v>
      </c>
      <c r="Q52" s="532"/>
      <c r="R52" s="532"/>
      <c r="S52" s="533"/>
      <c r="T52" s="275"/>
    </row>
    <row r="53" spans="1:20">
      <c r="A53" s="274"/>
      <c r="B53" s="365" t="e">
        <f>'Vendor Gap Calc'!E12</f>
        <v>#NUM!</v>
      </c>
      <c r="C53" s="529" t="e">
        <f>VLOOKUP(B53,'Technology MASTER'!$B$3:$N$107,4,FALSE)</f>
        <v>#NUM!</v>
      </c>
      <c r="D53" s="529"/>
      <c r="E53" s="530" t="e">
        <f>VLOOKUP(B53,'Technology MASTER'!$B$3:$N$107,5,FALSE)</f>
        <v>#NUM!</v>
      </c>
      <c r="F53" s="530"/>
      <c r="G53" s="530"/>
      <c r="H53" s="530"/>
      <c r="I53" s="530"/>
      <c r="J53" s="530"/>
      <c r="K53" s="531" t="e">
        <f>VLOOKUP(B53,'Technology MASTER'!$B$3:$N$107,10,FALSE)</f>
        <v>#NUM!</v>
      </c>
      <c r="L53" s="531"/>
      <c r="M53" s="531"/>
      <c r="N53" s="532" t="e">
        <f>VLOOKUP(B53,'Technology MASTER'!$B$3:$N$107,11,FALSE)</f>
        <v>#NUM!</v>
      </c>
      <c r="O53" s="532"/>
      <c r="P53" s="532" t="e">
        <f>VLOOKUP(B53,'Technology MASTER'!$B$3:$N$107,13,FALSE)</f>
        <v>#NUM!</v>
      </c>
      <c r="Q53" s="532"/>
      <c r="R53" s="532"/>
      <c r="S53" s="533"/>
      <c r="T53" s="275"/>
    </row>
    <row r="54" spans="1:20">
      <c r="A54" s="274"/>
      <c r="B54" s="365" t="e">
        <f>'Vendor Gap Calc'!E13</f>
        <v>#NUM!</v>
      </c>
      <c r="C54" s="529" t="e">
        <f>VLOOKUP(B54,'Technology MASTER'!$B$3:$N$107,4,FALSE)</f>
        <v>#NUM!</v>
      </c>
      <c r="D54" s="529"/>
      <c r="E54" s="530" t="e">
        <f>VLOOKUP(B54,'Technology MASTER'!$B$3:$N$107,5,FALSE)</f>
        <v>#NUM!</v>
      </c>
      <c r="F54" s="530"/>
      <c r="G54" s="530"/>
      <c r="H54" s="530"/>
      <c r="I54" s="530"/>
      <c r="J54" s="530"/>
      <c r="K54" s="531" t="e">
        <f>VLOOKUP(B54,'Technology MASTER'!$B$3:$N$107,10,FALSE)</f>
        <v>#NUM!</v>
      </c>
      <c r="L54" s="531"/>
      <c r="M54" s="531"/>
      <c r="N54" s="532" t="e">
        <f>VLOOKUP(B54,'Technology MASTER'!$B$3:$N$107,11,FALSE)</f>
        <v>#NUM!</v>
      </c>
      <c r="O54" s="532"/>
      <c r="P54" s="532" t="e">
        <f>VLOOKUP(B54,'Technology MASTER'!$B$3:$N$107,13,FALSE)</f>
        <v>#NUM!</v>
      </c>
      <c r="Q54" s="532"/>
      <c r="R54" s="532"/>
      <c r="S54" s="533"/>
      <c r="T54" s="275"/>
    </row>
    <row r="55" spans="1:20">
      <c r="A55" s="274"/>
      <c r="B55" s="365" t="e">
        <f>'Vendor Gap Calc'!E14</f>
        <v>#NUM!</v>
      </c>
      <c r="C55" s="529" t="e">
        <f>VLOOKUP(B55,'Technology MASTER'!$B$3:$N$107,4,FALSE)</f>
        <v>#NUM!</v>
      </c>
      <c r="D55" s="529"/>
      <c r="E55" s="530" t="e">
        <f>VLOOKUP(B55,'Technology MASTER'!$B$3:$N$107,5,FALSE)</f>
        <v>#NUM!</v>
      </c>
      <c r="F55" s="530"/>
      <c r="G55" s="530"/>
      <c r="H55" s="530"/>
      <c r="I55" s="530"/>
      <c r="J55" s="530"/>
      <c r="K55" s="531" t="e">
        <f>VLOOKUP(B55,'Technology MASTER'!$B$3:$N$107,10,FALSE)</f>
        <v>#NUM!</v>
      </c>
      <c r="L55" s="531"/>
      <c r="M55" s="531"/>
      <c r="N55" s="532" t="e">
        <f>VLOOKUP(B55,'Technology MASTER'!$B$3:$N$107,11,FALSE)</f>
        <v>#NUM!</v>
      </c>
      <c r="O55" s="532"/>
      <c r="P55" s="532" t="e">
        <f>VLOOKUP(B55,'Technology MASTER'!$B$3:$N$107,13,FALSE)</f>
        <v>#NUM!</v>
      </c>
      <c r="Q55" s="532"/>
      <c r="R55" s="532"/>
      <c r="S55" s="533"/>
      <c r="T55" s="275"/>
    </row>
    <row r="56" spans="1:20">
      <c r="A56" s="274"/>
      <c r="B56" s="365" t="e">
        <f>'Vendor Gap Calc'!E15</f>
        <v>#NUM!</v>
      </c>
      <c r="C56" s="529" t="e">
        <f>VLOOKUP(B56,'Technology MASTER'!$B$3:$N$107,4,FALSE)</f>
        <v>#NUM!</v>
      </c>
      <c r="D56" s="529"/>
      <c r="E56" s="530" t="e">
        <f>VLOOKUP(B56,'Technology MASTER'!$B$3:$N$107,5,FALSE)</f>
        <v>#NUM!</v>
      </c>
      <c r="F56" s="530"/>
      <c r="G56" s="530"/>
      <c r="H56" s="530"/>
      <c r="I56" s="530"/>
      <c r="J56" s="530"/>
      <c r="K56" s="531" t="e">
        <f>VLOOKUP(B56,'Technology MASTER'!$B$3:$N$107,10,FALSE)</f>
        <v>#NUM!</v>
      </c>
      <c r="L56" s="531"/>
      <c r="M56" s="531"/>
      <c r="N56" s="532" t="e">
        <f>VLOOKUP(B56,'Technology MASTER'!$B$3:$N$107,11,FALSE)</f>
        <v>#NUM!</v>
      </c>
      <c r="O56" s="532"/>
      <c r="P56" s="532" t="e">
        <f>VLOOKUP(B56,'Technology MASTER'!$B$3:$N$107,13,FALSE)</f>
        <v>#NUM!</v>
      </c>
      <c r="Q56" s="532"/>
      <c r="R56" s="532"/>
      <c r="S56" s="533"/>
      <c r="T56" s="275"/>
    </row>
    <row r="57" spans="1:20">
      <c r="A57" s="274"/>
      <c r="B57" s="365" t="e">
        <f>'Vendor Gap Calc'!E16</f>
        <v>#NUM!</v>
      </c>
      <c r="C57" s="529" t="e">
        <f>VLOOKUP(B57,'Technology MASTER'!$B$3:$N$107,4,FALSE)</f>
        <v>#NUM!</v>
      </c>
      <c r="D57" s="529"/>
      <c r="E57" s="530" t="e">
        <f>VLOOKUP(B57,'Technology MASTER'!$B$3:$N$107,5,FALSE)</f>
        <v>#NUM!</v>
      </c>
      <c r="F57" s="530"/>
      <c r="G57" s="530"/>
      <c r="H57" s="530"/>
      <c r="I57" s="530"/>
      <c r="J57" s="530"/>
      <c r="K57" s="531" t="e">
        <f>VLOOKUP(B57,'Technology MASTER'!$B$3:$N$107,10,FALSE)</f>
        <v>#NUM!</v>
      </c>
      <c r="L57" s="531"/>
      <c r="M57" s="531"/>
      <c r="N57" s="532" t="e">
        <f>VLOOKUP(B57,'Technology MASTER'!$B$3:$N$107,11,FALSE)</f>
        <v>#NUM!</v>
      </c>
      <c r="O57" s="532"/>
      <c r="P57" s="532" t="e">
        <f>VLOOKUP(B57,'Technology MASTER'!$B$3:$N$107,13,FALSE)</f>
        <v>#NUM!</v>
      </c>
      <c r="Q57" s="532"/>
      <c r="R57" s="532"/>
      <c r="S57" s="533"/>
      <c r="T57" s="275"/>
    </row>
    <row r="58" spans="1:20">
      <c r="A58" s="274"/>
      <c r="B58" s="365" t="e">
        <f>'Vendor Gap Calc'!E17</f>
        <v>#NUM!</v>
      </c>
      <c r="C58" s="529" t="e">
        <f>VLOOKUP(B58,'Technology MASTER'!$B$3:$N$107,4,FALSE)</f>
        <v>#NUM!</v>
      </c>
      <c r="D58" s="529"/>
      <c r="E58" s="530" t="e">
        <f>VLOOKUP(B58,'Technology MASTER'!$B$3:$N$107,5,FALSE)</f>
        <v>#NUM!</v>
      </c>
      <c r="F58" s="530"/>
      <c r="G58" s="530"/>
      <c r="H58" s="530"/>
      <c r="I58" s="530"/>
      <c r="J58" s="530"/>
      <c r="K58" s="531" t="e">
        <f>VLOOKUP(B58,'Technology MASTER'!$B$3:$N$107,10,FALSE)</f>
        <v>#NUM!</v>
      </c>
      <c r="L58" s="531"/>
      <c r="M58" s="531"/>
      <c r="N58" s="532" t="e">
        <f>VLOOKUP(B58,'Technology MASTER'!$B$3:$N$107,11,FALSE)</f>
        <v>#NUM!</v>
      </c>
      <c r="O58" s="532"/>
      <c r="P58" s="532" t="e">
        <f>VLOOKUP(B58,'Technology MASTER'!$B$3:$N$107,13,FALSE)</f>
        <v>#NUM!</v>
      </c>
      <c r="Q58" s="532"/>
      <c r="R58" s="532"/>
      <c r="S58" s="533"/>
      <c r="T58" s="275"/>
    </row>
    <row r="59" spans="1:20">
      <c r="A59" s="274"/>
      <c r="B59" s="365" t="e">
        <f>'Vendor Gap Calc'!E18</f>
        <v>#NUM!</v>
      </c>
      <c r="C59" s="529" t="e">
        <f>VLOOKUP(B59,'Technology MASTER'!$B$3:$N$107,4,FALSE)</f>
        <v>#NUM!</v>
      </c>
      <c r="D59" s="529"/>
      <c r="E59" s="530" t="e">
        <f>VLOOKUP(B59,'Technology MASTER'!$B$3:$N$107,5,FALSE)</f>
        <v>#NUM!</v>
      </c>
      <c r="F59" s="530"/>
      <c r="G59" s="530"/>
      <c r="H59" s="530"/>
      <c r="I59" s="530"/>
      <c r="J59" s="530"/>
      <c r="K59" s="531" t="e">
        <f>VLOOKUP(B59,'Technology MASTER'!$B$3:$N$107,10,FALSE)</f>
        <v>#NUM!</v>
      </c>
      <c r="L59" s="531"/>
      <c r="M59" s="531"/>
      <c r="N59" s="532" t="e">
        <f>VLOOKUP(B59,'Technology MASTER'!$B$3:$N$107,11,FALSE)</f>
        <v>#NUM!</v>
      </c>
      <c r="O59" s="532"/>
      <c r="P59" s="532" t="e">
        <f>VLOOKUP(B59,'Technology MASTER'!$B$3:$N$107,13,FALSE)</f>
        <v>#NUM!</v>
      </c>
      <c r="Q59" s="532"/>
      <c r="R59" s="532"/>
      <c r="S59" s="533"/>
      <c r="T59" s="275"/>
    </row>
    <row r="60" spans="1:20">
      <c r="A60" s="274"/>
      <c r="B60" s="365" t="e">
        <f>'Vendor Gap Calc'!E19</f>
        <v>#NUM!</v>
      </c>
      <c r="C60" s="529" t="e">
        <f>VLOOKUP(B60,'Technology MASTER'!$B$3:$N$107,4,FALSE)</f>
        <v>#NUM!</v>
      </c>
      <c r="D60" s="529"/>
      <c r="E60" s="530" t="e">
        <f>VLOOKUP(B60,'Technology MASTER'!$B$3:$N$107,5,FALSE)</f>
        <v>#NUM!</v>
      </c>
      <c r="F60" s="530"/>
      <c r="G60" s="530"/>
      <c r="H60" s="530"/>
      <c r="I60" s="530"/>
      <c r="J60" s="530"/>
      <c r="K60" s="531" t="e">
        <f>VLOOKUP(B60,'Technology MASTER'!$B$3:$N$107,10,FALSE)</f>
        <v>#NUM!</v>
      </c>
      <c r="L60" s="531"/>
      <c r="M60" s="531"/>
      <c r="N60" s="532" t="e">
        <f>VLOOKUP(B60,'Technology MASTER'!$B$3:$N$107,11,FALSE)</f>
        <v>#NUM!</v>
      </c>
      <c r="O60" s="532"/>
      <c r="P60" s="532" t="e">
        <f>VLOOKUP(B60,'Technology MASTER'!$B$3:$N$107,13,FALSE)</f>
        <v>#NUM!</v>
      </c>
      <c r="Q60" s="532"/>
      <c r="R60" s="532"/>
      <c r="S60" s="533"/>
      <c r="T60" s="275"/>
    </row>
    <row r="61" spans="1:20">
      <c r="A61" s="274"/>
      <c r="B61" s="365" t="e">
        <f>'Vendor Gap Calc'!E20</f>
        <v>#NUM!</v>
      </c>
      <c r="C61" s="529" t="e">
        <f>VLOOKUP(B61,'Technology MASTER'!$B$3:$N$107,4,FALSE)</f>
        <v>#NUM!</v>
      </c>
      <c r="D61" s="529"/>
      <c r="E61" s="530" t="e">
        <f>VLOOKUP(B61,'Technology MASTER'!$B$3:$N$107,5,FALSE)</f>
        <v>#NUM!</v>
      </c>
      <c r="F61" s="530"/>
      <c r="G61" s="530"/>
      <c r="H61" s="530"/>
      <c r="I61" s="530"/>
      <c r="J61" s="530"/>
      <c r="K61" s="531" t="e">
        <f>VLOOKUP(B61,'Technology MASTER'!$B$3:$N$107,10,FALSE)</f>
        <v>#NUM!</v>
      </c>
      <c r="L61" s="531"/>
      <c r="M61" s="531"/>
      <c r="N61" s="532" t="e">
        <f>VLOOKUP(B61,'Technology MASTER'!$B$3:$N$107,11,FALSE)</f>
        <v>#NUM!</v>
      </c>
      <c r="O61" s="532"/>
      <c r="P61" s="532" t="e">
        <f>VLOOKUP(B61,'Technology MASTER'!$B$3:$N$107,13,FALSE)</f>
        <v>#NUM!</v>
      </c>
      <c r="Q61" s="532"/>
      <c r="R61" s="532"/>
      <c r="S61" s="533"/>
      <c r="T61" s="275"/>
    </row>
    <row r="62" spans="1:20" ht="17" thickBot="1">
      <c r="A62" s="274"/>
      <c r="B62" s="366" t="e">
        <f>'Vendor Gap Calc'!E21</f>
        <v>#NUM!</v>
      </c>
      <c r="C62" s="534" t="e">
        <f>VLOOKUP(B62,'Technology MASTER'!$B$3:$N$107,4,FALSE)</f>
        <v>#NUM!</v>
      </c>
      <c r="D62" s="534"/>
      <c r="E62" s="535" t="e">
        <f>VLOOKUP(B62,'Technology MASTER'!$B$3:$N$107,5,FALSE)</f>
        <v>#NUM!</v>
      </c>
      <c r="F62" s="535"/>
      <c r="G62" s="535"/>
      <c r="H62" s="535"/>
      <c r="I62" s="535"/>
      <c r="J62" s="535"/>
      <c r="K62" s="536" t="e">
        <f>VLOOKUP(B62,'Technology MASTER'!$B$3:$N$107,10,FALSE)</f>
        <v>#NUM!</v>
      </c>
      <c r="L62" s="536"/>
      <c r="M62" s="536"/>
      <c r="N62" s="537" t="e">
        <f>VLOOKUP(B62,'Technology MASTER'!$B$3:$N$107,11,FALSE)</f>
        <v>#NUM!</v>
      </c>
      <c r="O62" s="537"/>
      <c r="P62" s="537" t="e">
        <f>VLOOKUP(B62,'Technology MASTER'!$B$3:$N$107,13,FALSE)</f>
        <v>#NUM!</v>
      </c>
      <c r="Q62" s="537"/>
      <c r="R62" s="537"/>
      <c r="S62" s="538"/>
      <c r="T62" s="275"/>
    </row>
    <row r="63" spans="1:20" ht="19" customHeight="1">
      <c r="A63" s="274"/>
      <c r="B63" s="344"/>
      <c r="C63" s="344"/>
      <c r="D63" s="344"/>
      <c r="E63" s="344"/>
      <c r="F63" s="344"/>
      <c r="G63" s="344"/>
      <c r="H63" s="344"/>
      <c r="I63" s="344"/>
      <c r="J63" s="344"/>
      <c r="K63" s="344"/>
      <c r="L63" s="344"/>
      <c r="M63" s="344"/>
      <c r="N63" s="344"/>
      <c r="O63" s="344"/>
      <c r="P63" s="344"/>
      <c r="Q63" s="344"/>
      <c r="R63" s="344"/>
      <c r="S63" s="344"/>
      <c r="T63" s="275"/>
    </row>
    <row r="64" spans="1:20" ht="19" customHeight="1">
      <c r="A64" s="274"/>
      <c r="B64" s="519" t="s">
        <v>2067</v>
      </c>
      <c r="C64" s="519"/>
      <c r="D64" s="519"/>
      <c r="E64" s="519"/>
      <c r="F64" s="519"/>
      <c r="G64" s="519"/>
      <c r="H64" s="519"/>
      <c r="I64" s="519"/>
      <c r="J64" s="519"/>
      <c r="K64" s="519"/>
      <c r="L64" s="519"/>
      <c r="M64" s="519"/>
      <c r="N64" s="519"/>
      <c r="O64" s="519"/>
      <c r="P64" s="519"/>
      <c r="Q64" s="519"/>
      <c r="R64" s="519"/>
      <c r="S64" s="519"/>
      <c r="T64" s="275"/>
    </row>
    <row r="65" spans="1:20" ht="19" customHeight="1" thickBot="1">
      <c r="A65" s="274"/>
      <c r="B65" s="519"/>
      <c r="C65" s="519"/>
      <c r="D65" s="519"/>
      <c r="E65" s="519"/>
      <c r="F65" s="519"/>
      <c r="G65" s="519"/>
      <c r="H65" s="519"/>
      <c r="I65" s="519"/>
      <c r="J65" s="519"/>
      <c r="K65" s="519"/>
      <c r="L65" s="519"/>
      <c r="M65" s="519"/>
      <c r="N65" s="519"/>
      <c r="O65" s="519"/>
      <c r="P65" s="519"/>
      <c r="Q65" s="519"/>
      <c r="R65" s="519"/>
      <c r="S65" s="519"/>
      <c r="T65" s="275"/>
    </row>
    <row r="66" spans="1:20">
      <c r="A66" s="274"/>
      <c r="B66" s="328" t="s">
        <v>1955</v>
      </c>
      <c r="C66" s="551" t="s">
        <v>1956</v>
      </c>
      <c r="D66" s="551"/>
      <c r="E66" s="551" t="s">
        <v>1958</v>
      </c>
      <c r="F66" s="551"/>
      <c r="G66" s="551"/>
      <c r="H66" s="551"/>
      <c r="I66" s="551"/>
      <c r="J66" s="551"/>
      <c r="K66" s="551" t="s">
        <v>2068</v>
      </c>
      <c r="L66" s="551"/>
      <c r="M66" s="551"/>
      <c r="N66" s="549" t="s">
        <v>1957</v>
      </c>
      <c r="O66" s="549"/>
      <c r="P66" s="549" t="s">
        <v>1566</v>
      </c>
      <c r="Q66" s="549"/>
      <c r="R66" s="549"/>
      <c r="S66" s="550"/>
      <c r="T66" s="275"/>
    </row>
    <row r="67" spans="1:20">
      <c r="A67" s="274"/>
      <c r="B67" s="332" t="e">
        <f>'Customer Gap Calc'!E2</f>
        <v>#NUM!</v>
      </c>
      <c r="C67" s="547" t="e">
        <f>VLOOKUP(B67,'Technology MASTER'!$B$3:$N$107,4,FALSE)</f>
        <v>#NUM!</v>
      </c>
      <c r="D67" s="547"/>
      <c r="E67" s="539" t="e">
        <f>VLOOKUP(B67,'Technology MASTER'!$B$3:$N$107,5,FALSE)</f>
        <v>#NUM!</v>
      </c>
      <c r="F67" s="539"/>
      <c r="G67" s="539"/>
      <c r="H67" s="539"/>
      <c r="I67" s="539"/>
      <c r="J67" s="539"/>
      <c r="K67" s="540" t="e">
        <f>VLOOKUP(B67,'Technology MASTER'!$B$3:$N$107,10,FALSE)</f>
        <v>#NUM!</v>
      </c>
      <c r="L67" s="540"/>
      <c r="M67" s="540"/>
      <c r="N67" s="541" t="e">
        <f>VLOOKUP(B67,'Technology MASTER'!$B$3:$N$107,11,FALSE)</f>
        <v>#NUM!</v>
      </c>
      <c r="O67" s="541"/>
      <c r="P67" s="541" t="e">
        <f>VLOOKUP(B67,'Technology MASTER'!$B$3:$N$107,13,FALSE)</f>
        <v>#NUM!</v>
      </c>
      <c r="Q67" s="541"/>
      <c r="R67" s="541"/>
      <c r="S67" s="542"/>
      <c r="T67" s="275"/>
    </row>
    <row r="68" spans="1:20">
      <c r="A68" s="274"/>
      <c r="B68" s="332" t="e">
        <f>'Customer Gap Calc'!E3</f>
        <v>#NUM!</v>
      </c>
      <c r="C68" s="547" t="e">
        <f>VLOOKUP(B68,'Technology MASTER'!$B$3:$N$107,4,FALSE)</f>
        <v>#NUM!</v>
      </c>
      <c r="D68" s="547"/>
      <c r="E68" s="539" t="e">
        <f>VLOOKUP(B68,'Technology MASTER'!$B$3:$N$107,5,FALSE)</f>
        <v>#NUM!</v>
      </c>
      <c r="F68" s="539"/>
      <c r="G68" s="539"/>
      <c r="H68" s="539"/>
      <c r="I68" s="539"/>
      <c r="J68" s="539"/>
      <c r="K68" s="540" t="e">
        <f>VLOOKUP(B68,'Technology MASTER'!$B$3:$N$107,10,FALSE)</f>
        <v>#NUM!</v>
      </c>
      <c r="L68" s="540"/>
      <c r="M68" s="540"/>
      <c r="N68" s="541" t="e">
        <f>VLOOKUP(B68,'Technology MASTER'!$B$3:$N$107,11,FALSE)</f>
        <v>#NUM!</v>
      </c>
      <c r="O68" s="541"/>
      <c r="P68" s="541" t="e">
        <f>VLOOKUP(B68,'Technology MASTER'!$B$3:$N$107,13,FALSE)</f>
        <v>#NUM!</v>
      </c>
      <c r="Q68" s="541"/>
      <c r="R68" s="541"/>
      <c r="S68" s="542"/>
      <c r="T68" s="275"/>
    </row>
    <row r="69" spans="1:20">
      <c r="A69" s="274"/>
      <c r="B69" s="332" t="e">
        <f>'Customer Gap Calc'!E4</f>
        <v>#NUM!</v>
      </c>
      <c r="C69" s="547" t="e">
        <f>VLOOKUP(B69,'Technology MASTER'!$B$3:$N$107,4,FALSE)</f>
        <v>#NUM!</v>
      </c>
      <c r="D69" s="547"/>
      <c r="E69" s="539" t="e">
        <f>VLOOKUP(B69,'Technology MASTER'!$B$3:$N$107,5,FALSE)</f>
        <v>#NUM!</v>
      </c>
      <c r="F69" s="539"/>
      <c r="G69" s="539"/>
      <c r="H69" s="539"/>
      <c r="I69" s="539"/>
      <c r="J69" s="539"/>
      <c r="K69" s="540" t="e">
        <f>VLOOKUP(B69,'Technology MASTER'!$B$3:$N$107,10,FALSE)</f>
        <v>#NUM!</v>
      </c>
      <c r="L69" s="540"/>
      <c r="M69" s="540"/>
      <c r="N69" s="541" t="e">
        <f>VLOOKUP(B69,'Technology MASTER'!$B$3:$N$107,11,FALSE)</f>
        <v>#NUM!</v>
      </c>
      <c r="O69" s="541"/>
      <c r="P69" s="541" t="e">
        <f>VLOOKUP(B69,'Technology MASTER'!$B$3:$N$107,13,FALSE)</f>
        <v>#NUM!</v>
      </c>
      <c r="Q69" s="541"/>
      <c r="R69" s="541"/>
      <c r="S69" s="542"/>
      <c r="T69" s="275"/>
    </row>
    <row r="70" spans="1:20">
      <c r="A70" s="274"/>
      <c r="B70" s="332" t="e">
        <f>'Customer Gap Calc'!E5</f>
        <v>#NUM!</v>
      </c>
      <c r="C70" s="547" t="e">
        <f>VLOOKUP(B70,'Technology MASTER'!$B$3:$N$107,4,FALSE)</f>
        <v>#NUM!</v>
      </c>
      <c r="D70" s="547"/>
      <c r="E70" s="539" t="e">
        <f>VLOOKUP(B70,'Technology MASTER'!$B$3:$N$107,5,FALSE)</f>
        <v>#NUM!</v>
      </c>
      <c r="F70" s="539"/>
      <c r="G70" s="539"/>
      <c r="H70" s="539"/>
      <c r="I70" s="539"/>
      <c r="J70" s="539"/>
      <c r="K70" s="540" t="e">
        <f>VLOOKUP(B70,'Technology MASTER'!$B$3:$N$107,10,FALSE)</f>
        <v>#NUM!</v>
      </c>
      <c r="L70" s="540"/>
      <c r="M70" s="540"/>
      <c r="N70" s="541" t="e">
        <f>VLOOKUP(B70,'Technology MASTER'!$B$3:$N$107,11,FALSE)</f>
        <v>#NUM!</v>
      </c>
      <c r="O70" s="541"/>
      <c r="P70" s="541" t="e">
        <f>VLOOKUP(B70,'Technology MASTER'!$B$3:$N$107,13,FALSE)</f>
        <v>#NUM!</v>
      </c>
      <c r="Q70" s="541"/>
      <c r="R70" s="541"/>
      <c r="S70" s="542"/>
      <c r="T70" s="275"/>
    </row>
    <row r="71" spans="1:20">
      <c r="A71" s="274"/>
      <c r="B71" s="332" t="e">
        <f>'Customer Gap Calc'!E6</f>
        <v>#NUM!</v>
      </c>
      <c r="C71" s="547" t="e">
        <f>VLOOKUP(B71,'Technology MASTER'!$B$3:$N$107,4,FALSE)</f>
        <v>#NUM!</v>
      </c>
      <c r="D71" s="547"/>
      <c r="E71" s="539" t="e">
        <f>VLOOKUP(B71,'Technology MASTER'!$B$3:$N$107,5,FALSE)</f>
        <v>#NUM!</v>
      </c>
      <c r="F71" s="539"/>
      <c r="G71" s="539"/>
      <c r="H71" s="539"/>
      <c r="I71" s="539"/>
      <c r="J71" s="539"/>
      <c r="K71" s="540" t="e">
        <f>VLOOKUP(B71,'Technology MASTER'!$B$3:$N$107,10,FALSE)</f>
        <v>#NUM!</v>
      </c>
      <c r="L71" s="540"/>
      <c r="M71" s="540"/>
      <c r="N71" s="541" t="e">
        <f>VLOOKUP(B71,'Technology MASTER'!$B$3:$N$107,11,FALSE)</f>
        <v>#NUM!</v>
      </c>
      <c r="O71" s="541"/>
      <c r="P71" s="541" t="e">
        <f>VLOOKUP(B71,'Technology MASTER'!$B$3:$N$107,13,FALSE)</f>
        <v>#NUM!</v>
      </c>
      <c r="Q71" s="541"/>
      <c r="R71" s="541"/>
      <c r="S71" s="542"/>
      <c r="T71" s="275"/>
    </row>
    <row r="72" spans="1:20">
      <c r="A72" s="274"/>
      <c r="B72" s="332" t="e">
        <f>'Customer Gap Calc'!E7</f>
        <v>#NUM!</v>
      </c>
      <c r="C72" s="547" t="e">
        <f>VLOOKUP(B72,'Technology MASTER'!$B$3:$N$107,4,FALSE)</f>
        <v>#NUM!</v>
      </c>
      <c r="D72" s="547"/>
      <c r="E72" s="539" t="e">
        <f>VLOOKUP(B72,'Technology MASTER'!$B$3:$N$107,5,FALSE)</f>
        <v>#NUM!</v>
      </c>
      <c r="F72" s="539"/>
      <c r="G72" s="539"/>
      <c r="H72" s="539"/>
      <c r="I72" s="539"/>
      <c r="J72" s="539"/>
      <c r="K72" s="540" t="e">
        <f>VLOOKUP(B72,'Technology MASTER'!$B$3:$N$107,10,FALSE)</f>
        <v>#NUM!</v>
      </c>
      <c r="L72" s="540"/>
      <c r="M72" s="540"/>
      <c r="N72" s="541" t="e">
        <f>VLOOKUP(B72,'Technology MASTER'!$B$3:$N$107,11,FALSE)</f>
        <v>#NUM!</v>
      </c>
      <c r="O72" s="541"/>
      <c r="P72" s="541" t="e">
        <f>VLOOKUP(B72,'Technology MASTER'!$B$3:$N$107,13,FALSE)</f>
        <v>#NUM!</v>
      </c>
      <c r="Q72" s="541"/>
      <c r="R72" s="541"/>
      <c r="S72" s="542"/>
      <c r="T72" s="275"/>
    </row>
    <row r="73" spans="1:20">
      <c r="A73" s="274"/>
      <c r="B73" s="332" t="e">
        <f>'Customer Gap Calc'!E8</f>
        <v>#NUM!</v>
      </c>
      <c r="C73" s="547" t="e">
        <f>VLOOKUP(B73,'Technology MASTER'!$B$3:$N$107,4,FALSE)</f>
        <v>#NUM!</v>
      </c>
      <c r="D73" s="547"/>
      <c r="E73" s="539" t="e">
        <f>VLOOKUP(B73,'Technology MASTER'!$B$3:$N$107,5,FALSE)</f>
        <v>#NUM!</v>
      </c>
      <c r="F73" s="539"/>
      <c r="G73" s="539"/>
      <c r="H73" s="539"/>
      <c r="I73" s="539"/>
      <c r="J73" s="539"/>
      <c r="K73" s="540" t="e">
        <f>VLOOKUP(B73,'Technology MASTER'!$B$3:$N$107,10,FALSE)</f>
        <v>#NUM!</v>
      </c>
      <c r="L73" s="540"/>
      <c r="M73" s="540"/>
      <c r="N73" s="541" t="e">
        <f>VLOOKUP(B73,'Technology MASTER'!$B$3:$N$107,11,FALSE)</f>
        <v>#NUM!</v>
      </c>
      <c r="O73" s="541"/>
      <c r="P73" s="541" t="e">
        <f>VLOOKUP(B73,'Technology MASTER'!$B$3:$N$107,13,FALSE)</f>
        <v>#NUM!</v>
      </c>
      <c r="Q73" s="541"/>
      <c r="R73" s="541"/>
      <c r="S73" s="542"/>
      <c r="T73" s="275"/>
    </row>
    <row r="74" spans="1:20">
      <c r="A74" s="274"/>
      <c r="B74" s="332" t="e">
        <f>'Customer Gap Calc'!E9</f>
        <v>#NUM!</v>
      </c>
      <c r="C74" s="547" t="e">
        <f>VLOOKUP(B74,'Technology MASTER'!$B$3:$N$107,4,FALSE)</f>
        <v>#NUM!</v>
      </c>
      <c r="D74" s="547"/>
      <c r="E74" s="539" t="e">
        <f>VLOOKUP(B74,'Technology MASTER'!$B$3:$N$107,5,FALSE)</f>
        <v>#NUM!</v>
      </c>
      <c r="F74" s="539"/>
      <c r="G74" s="539"/>
      <c r="H74" s="539"/>
      <c r="I74" s="539"/>
      <c r="J74" s="539"/>
      <c r="K74" s="540" t="e">
        <f>VLOOKUP(B74,'Technology MASTER'!$B$3:$N$107,10,FALSE)</f>
        <v>#NUM!</v>
      </c>
      <c r="L74" s="540"/>
      <c r="M74" s="540"/>
      <c r="N74" s="541" t="e">
        <f>VLOOKUP(B74,'Technology MASTER'!$B$3:$N$107,11,FALSE)</f>
        <v>#NUM!</v>
      </c>
      <c r="O74" s="541"/>
      <c r="P74" s="541" t="e">
        <f>VLOOKUP(B74,'Technology MASTER'!$B$3:$N$107,13,FALSE)</f>
        <v>#NUM!</v>
      </c>
      <c r="Q74" s="541"/>
      <c r="R74" s="541"/>
      <c r="S74" s="542"/>
      <c r="T74" s="275"/>
    </row>
    <row r="75" spans="1:20">
      <c r="A75" s="274"/>
      <c r="B75" s="332" t="e">
        <f>'Customer Gap Calc'!E10</f>
        <v>#NUM!</v>
      </c>
      <c r="C75" s="547" t="e">
        <f>VLOOKUP(B75,'Technology MASTER'!$B$3:$N$107,4,FALSE)</f>
        <v>#NUM!</v>
      </c>
      <c r="D75" s="547"/>
      <c r="E75" s="539" t="e">
        <f>VLOOKUP(B75,'Technology MASTER'!$B$3:$N$107,5,FALSE)</f>
        <v>#NUM!</v>
      </c>
      <c r="F75" s="539"/>
      <c r="G75" s="539"/>
      <c r="H75" s="539"/>
      <c r="I75" s="539"/>
      <c r="J75" s="539"/>
      <c r="K75" s="540" t="e">
        <f>VLOOKUP(B75,'Technology MASTER'!$B$3:$N$107,10,FALSE)</f>
        <v>#NUM!</v>
      </c>
      <c r="L75" s="540"/>
      <c r="M75" s="540"/>
      <c r="N75" s="541" t="e">
        <f>VLOOKUP(B75,'Technology MASTER'!$B$3:$N$107,11,FALSE)</f>
        <v>#NUM!</v>
      </c>
      <c r="O75" s="541"/>
      <c r="P75" s="541" t="e">
        <f>VLOOKUP(B75,'Technology MASTER'!$B$3:$N$107,13,FALSE)</f>
        <v>#NUM!</v>
      </c>
      <c r="Q75" s="541"/>
      <c r="R75" s="541"/>
      <c r="S75" s="542"/>
      <c r="T75" s="275"/>
    </row>
    <row r="76" spans="1:20">
      <c r="A76" s="274"/>
      <c r="B76" s="332" t="e">
        <f>'Customer Gap Calc'!E11</f>
        <v>#NUM!</v>
      </c>
      <c r="C76" s="547" t="e">
        <f>VLOOKUP(B76,'Technology MASTER'!$B$3:$N$107,4,FALSE)</f>
        <v>#NUM!</v>
      </c>
      <c r="D76" s="547"/>
      <c r="E76" s="539" t="e">
        <f>VLOOKUP(B76,'Technology MASTER'!$B$3:$N$107,5,FALSE)</f>
        <v>#NUM!</v>
      </c>
      <c r="F76" s="539"/>
      <c r="G76" s="539"/>
      <c r="H76" s="539"/>
      <c r="I76" s="539"/>
      <c r="J76" s="539"/>
      <c r="K76" s="540" t="e">
        <f>VLOOKUP(B76,'Technology MASTER'!$B$3:$N$107,10,FALSE)</f>
        <v>#NUM!</v>
      </c>
      <c r="L76" s="540"/>
      <c r="M76" s="540"/>
      <c r="N76" s="541" t="e">
        <f>VLOOKUP(B76,'Technology MASTER'!$B$3:$N$107,11,FALSE)</f>
        <v>#NUM!</v>
      </c>
      <c r="O76" s="541"/>
      <c r="P76" s="541" t="e">
        <f>VLOOKUP(B76,'Technology MASTER'!$B$3:$N$107,13,FALSE)</f>
        <v>#NUM!</v>
      </c>
      <c r="Q76" s="541"/>
      <c r="R76" s="541"/>
      <c r="S76" s="542"/>
      <c r="T76" s="275"/>
    </row>
    <row r="77" spans="1:20">
      <c r="A77" s="274"/>
      <c r="B77" s="332" t="e">
        <f>'Customer Gap Calc'!E12</f>
        <v>#NUM!</v>
      </c>
      <c r="C77" s="547" t="e">
        <f>VLOOKUP(B77,'Technology MASTER'!$B$3:$N$107,4,FALSE)</f>
        <v>#NUM!</v>
      </c>
      <c r="D77" s="547"/>
      <c r="E77" s="539" t="e">
        <f>VLOOKUP(B77,'Technology MASTER'!$B$3:$N$107,5,FALSE)</f>
        <v>#NUM!</v>
      </c>
      <c r="F77" s="539"/>
      <c r="G77" s="539"/>
      <c r="H77" s="539"/>
      <c r="I77" s="539"/>
      <c r="J77" s="539"/>
      <c r="K77" s="540" t="e">
        <f>VLOOKUP(B77,'Technology MASTER'!$B$3:$N$107,10,FALSE)</f>
        <v>#NUM!</v>
      </c>
      <c r="L77" s="540"/>
      <c r="M77" s="540"/>
      <c r="N77" s="541" t="e">
        <f>VLOOKUP(B77,'Technology MASTER'!$B$3:$N$107,11,FALSE)</f>
        <v>#NUM!</v>
      </c>
      <c r="O77" s="541"/>
      <c r="P77" s="541" t="e">
        <f>VLOOKUP(B77,'Technology MASTER'!$B$3:$N$107,13,FALSE)</f>
        <v>#NUM!</v>
      </c>
      <c r="Q77" s="541"/>
      <c r="R77" s="541"/>
      <c r="S77" s="542"/>
      <c r="T77" s="275"/>
    </row>
    <row r="78" spans="1:20">
      <c r="A78" s="274"/>
      <c r="B78" s="332" t="e">
        <f>'Customer Gap Calc'!E13</f>
        <v>#NUM!</v>
      </c>
      <c r="C78" s="547" t="e">
        <f>VLOOKUP(B78,'Technology MASTER'!$B$3:$N$107,4,FALSE)</f>
        <v>#NUM!</v>
      </c>
      <c r="D78" s="547"/>
      <c r="E78" s="539" t="e">
        <f>VLOOKUP(B78,'Technology MASTER'!$B$3:$N$107,5,FALSE)</f>
        <v>#NUM!</v>
      </c>
      <c r="F78" s="539"/>
      <c r="G78" s="539"/>
      <c r="H78" s="539"/>
      <c r="I78" s="539"/>
      <c r="J78" s="539"/>
      <c r="K78" s="540" t="e">
        <f>VLOOKUP(B78,'Technology MASTER'!$B$3:$N$107,10,FALSE)</f>
        <v>#NUM!</v>
      </c>
      <c r="L78" s="540"/>
      <c r="M78" s="540"/>
      <c r="N78" s="541" t="e">
        <f>VLOOKUP(B78,'Technology MASTER'!$B$3:$N$107,11,FALSE)</f>
        <v>#NUM!</v>
      </c>
      <c r="O78" s="541"/>
      <c r="P78" s="541" t="e">
        <f>VLOOKUP(B78,'Technology MASTER'!$B$3:$N$107,13,FALSE)</f>
        <v>#NUM!</v>
      </c>
      <c r="Q78" s="541"/>
      <c r="R78" s="541"/>
      <c r="S78" s="542"/>
      <c r="T78" s="275"/>
    </row>
    <row r="79" spans="1:20">
      <c r="A79" s="274"/>
      <c r="B79" s="332" t="e">
        <f>'Customer Gap Calc'!E14</f>
        <v>#NUM!</v>
      </c>
      <c r="C79" s="547" t="e">
        <f>VLOOKUP(B79,'Technology MASTER'!$B$3:$N$107,4,FALSE)</f>
        <v>#NUM!</v>
      </c>
      <c r="D79" s="547"/>
      <c r="E79" s="539" t="e">
        <f>VLOOKUP(B79,'Technology MASTER'!$B$3:$N$107,5,FALSE)</f>
        <v>#NUM!</v>
      </c>
      <c r="F79" s="539"/>
      <c r="G79" s="539"/>
      <c r="H79" s="539"/>
      <c r="I79" s="539"/>
      <c r="J79" s="539"/>
      <c r="K79" s="540" t="e">
        <f>VLOOKUP(B79,'Technology MASTER'!$B$3:$N$107,10,FALSE)</f>
        <v>#NUM!</v>
      </c>
      <c r="L79" s="540"/>
      <c r="M79" s="540"/>
      <c r="N79" s="541" t="e">
        <f>VLOOKUP(B79,'Technology MASTER'!$B$3:$N$107,11,FALSE)</f>
        <v>#NUM!</v>
      </c>
      <c r="O79" s="541"/>
      <c r="P79" s="541" t="e">
        <f>VLOOKUP(B79,'Technology MASTER'!$B$3:$N$107,13,FALSE)</f>
        <v>#NUM!</v>
      </c>
      <c r="Q79" s="541"/>
      <c r="R79" s="541"/>
      <c r="S79" s="542"/>
      <c r="T79" s="275"/>
    </row>
    <row r="80" spans="1:20">
      <c r="A80" s="274"/>
      <c r="B80" s="332" t="e">
        <f>'Customer Gap Calc'!E15</f>
        <v>#NUM!</v>
      </c>
      <c r="C80" s="547" t="e">
        <f>VLOOKUP(B80,'Technology MASTER'!$B$3:$N$107,4,FALSE)</f>
        <v>#NUM!</v>
      </c>
      <c r="D80" s="547"/>
      <c r="E80" s="539" t="e">
        <f>VLOOKUP(B80,'Technology MASTER'!$B$3:$N$107,5,FALSE)</f>
        <v>#NUM!</v>
      </c>
      <c r="F80" s="539"/>
      <c r="G80" s="539"/>
      <c r="H80" s="539"/>
      <c r="I80" s="539"/>
      <c r="J80" s="539"/>
      <c r="K80" s="540" t="e">
        <f>VLOOKUP(B80,'Technology MASTER'!$B$3:$N$107,10,FALSE)</f>
        <v>#NUM!</v>
      </c>
      <c r="L80" s="540"/>
      <c r="M80" s="540"/>
      <c r="N80" s="541" t="e">
        <f>VLOOKUP(B80,'Technology MASTER'!$B$3:$N$107,11,FALSE)</f>
        <v>#NUM!</v>
      </c>
      <c r="O80" s="541"/>
      <c r="P80" s="541" t="e">
        <f>VLOOKUP(B80,'Technology MASTER'!$B$3:$N$107,13,FALSE)</f>
        <v>#NUM!</v>
      </c>
      <c r="Q80" s="541"/>
      <c r="R80" s="541"/>
      <c r="S80" s="542"/>
      <c r="T80" s="275"/>
    </row>
    <row r="81" spans="1:20">
      <c r="A81" s="274"/>
      <c r="B81" s="332" t="e">
        <f>'Customer Gap Calc'!E16</f>
        <v>#NUM!</v>
      </c>
      <c r="C81" s="547" t="e">
        <f>VLOOKUP(B81,'Technology MASTER'!$B$3:$N$107,4,FALSE)</f>
        <v>#NUM!</v>
      </c>
      <c r="D81" s="547"/>
      <c r="E81" s="539" t="e">
        <f>VLOOKUP(B81,'Technology MASTER'!$B$3:$N$107,5,FALSE)</f>
        <v>#NUM!</v>
      </c>
      <c r="F81" s="539"/>
      <c r="G81" s="539"/>
      <c r="H81" s="539"/>
      <c r="I81" s="539"/>
      <c r="J81" s="539"/>
      <c r="K81" s="540" t="e">
        <f>VLOOKUP(B81,'Technology MASTER'!$B$3:$N$107,10,FALSE)</f>
        <v>#NUM!</v>
      </c>
      <c r="L81" s="540"/>
      <c r="M81" s="540"/>
      <c r="N81" s="541" t="e">
        <f>VLOOKUP(B81,'Technology MASTER'!$B$3:$N$107,11,FALSE)</f>
        <v>#NUM!</v>
      </c>
      <c r="O81" s="541"/>
      <c r="P81" s="541" t="e">
        <f>VLOOKUP(B81,'Technology MASTER'!$B$3:$N$107,13,FALSE)</f>
        <v>#NUM!</v>
      </c>
      <c r="Q81" s="541"/>
      <c r="R81" s="541"/>
      <c r="S81" s="542"/>
      <c r="T81" s="275"/>
    </row>
    <row r="82" spans="1:20">
      <c r="A82" s="274"/>
      <c r="B82" s="332" t="e">
        <f>'Customer Gap Calc'!E17</f>
        <v>#NUM!</v>
      </c>
      <c r="C82" s="547" t="e">
        <f>VLOOKUP(B82,'Technology MASTER'!$B$3:$N$107,4,FALSE)</f>
        <v>#NUM!</v>
      </c>
      <c r="D82" s="547"/>
      <c r="E82" s="539" t="e">
        <f>VLOOKUP(B82,'Technology MASTER'!$B$3:$N$107,5,FALSE)</f>
        <v>#NUM!</v>
      </c>
      <c r="F82" s="539"/>
      <c r="G82" s="539"/>
      <c r="H82" s="539"/>
      <c r="I82" s="539"/>
      <c r="J82" s="539"/>
      <c r="K82" s="540" t="e">
        <f>VLOOKUP(B82,'Technology MASTER'!$B$3:$N$107,10,FALSE)</f>
        <v>#NUM!</v>
      </c>
      <c r="L82" s="540"/>
      <c r="M82" s="540"/>
      <c r="N82" s="541" t="e">
        <f>VLOOKUP(B82,'Technology MASTER'!$B$3:$N$107,11,FALSE)</f>
        <v>#NUM!</v>
      </c>
      <c r="O82" s="541"/>
      <c r="P82" s="541" t="e">
        <f>VLOOKUP(B82,'Technology MASTER'!$B$3:$N$107,13,FALSE)</f>
        <v>#NUM!</v>
      </c>
      <c r="Q82" s="541"/>
      <c r="R82" s="541"/>
      <c r="S82" s="542"/>
      <c r="T82" s="275"/>
    </row>
    <row r="83" spans="1:20">
      <c r="A83" s="274"/>
      <c r="B83" s="332" t="e">
        <f>'Customer Gap Calc'!E18</f>
        <v>#NUM!</v>
      </c>
      <c r="C83" s="547" t="e">
        <f>VLOOKUP(B83,'Technology MASTER'!$B$3:$N$107,4,FALSE)</f>
        <v>#NUM!</v>
      </c>
      <c r="D83" s="547"/>
      <c r="E83" s="539" t="e">
        <f>VLOOKUP(B83,'Technology MASTER'!$B$3:$N$107,5,FALSE)</f>
        <v>#NUM!</v>
      </c>
      <c r="F83" s="539"/>
      <c r="G83" s="539"/>
      <c r="H83" s="539"/>
      <c r="I83" s="539"/>
      <c r="J83" s="539"/>
      <c r="K83" s="540" t="e">
        <f>VLOOKUP(B83,'Technology MASTER'!$B$3:$N$107,10,FALSE)</f>
        <v>#NUM!</v>
      </c>
      <c r="L83" s="540"/>
      <c r="M83" s="540"/>
      <c r="N83" s="541" t="e">
        <f>VLOOKUP(B83,'Technology MASTER'!$B$3:$N$107,11,FALSE)</f>
        <v>#NUM!</v>
      </c>
      <c r="O83" s="541"/>
      <c r="P83" s="541" t="e">
        <f>VLOOKUP(B83,'Technology MASTER'!$B$3:$N$107,13,FALSE)</f>
        <v>#NUM!</v>
      </c>
      <c r="Q83" s="541"/>
      <c r="R83" s="541"/>
      <c r="S83" s="542"/>
      <c r="T83" s="275"/>
    </row>
    <row r="84" spans="1:20">
      <c r="A84" s="274"/>
      <c r="B84" s="332" t="e">
        <f>'Customer Gap Calc'!E19</f>
        <v>#NUM!</v>
      </c>
      <c r="C84" s="547" t="e">
        <f>VLOOKUP(B84,'Technology MASTER'!$B$3:$N$107,4,FALSE)</f>
        <v>#NUM!</v>
      </c>
      <c r="D84" s="547"/>
      <c r="E84" s="539" t="e">
        <f>VLOOKUP(B84,'Technology MASTER'!$B$3:$N$107,5,FALSE)</f>
        <v>#NUM!</v>
      </c>
      <c r="F84" s="539"/>
      <c r="G84" s="539"/>
      <c r="H84" s="539"/>
      <c r="I84" s="539"/>
      <c r="J84" s="539"/>
      <c r="K84" s="540" t="e">
        <f>VLOOKUP(B84,'Technology MASTER'!$B$3:$N$107,10,FALSE)</f>
        <v>#NUM!</v>
      </c>
      <c r="L84" s="540"/>
      <c r="M84" s="540"/>
      <c r="N84" s="541" t="e">
        <f>VLOOKUP(B84,'Technology MASTER'!$B$3:$N$107,11,FALSE)</f>
        <v>#NUM!</v>
      </c>
      <c r="O84" s="541"/>
      <c r="P84" s="541" t="e">
        <f>VLOOKUP(B84,'Technology MASTER'!$B$3:$N$107,13,FALSE)</f>
        <v>#NUM!</v>
      </c>
      <c r="Q84" s="541"/>
      <c r="R84" s="541"/>
      <c r="S84" s="542"/>
      <c r="T84" s="275"/>
    </row>
    <row r="85" spans="1:20">
      <c r="A85" s="274"/>
      <c r="B85" s="332" t="e">
        <f>'Customer Gap Calc'!E20</f>
        <v>#NUM!</v>
      </c>
      <c r="C85" s="547" t="e">
        <f>VLOOKUP(B85,'Technology MASTER'!$B$3:$N$107,4,FALSE)</f>
        <v>#NUM!</v>
      </c>
      <c r="D85" s="547"/>
      <c r="E85" s="539" t="e">
        <f>VLOOKUP(B85,'Technology MASTER'!$B$3:$N$107,5,FALSE)</f>
        <v>#NUM!</v>
      </c>
      <c r="F85" s="539"/>
      <c r="G85" s="539"/>
      <c r="H85" s="539"/>
      <c r="I85" s="539"/>
      <c r="J85" s="539"/>
      <c r="K85" s="540" t="e">
        <f>VLOOKUP(B85,'Technology MASTER'!$B$3:$N$107,10,FALSE)</f>
        <v>#NUM!</v>
      </c>
      <c r="L85" s="540"/>
      <c r="M85" s="540"/>
      <c r="N85" s="541" t="e">
        <f>VLOOKUP(B85,'Technology MASTER'!$B$3:$N$107,11,FALSE)</f>
        <v>#NUM!</v>
      </c>
      <c r="O85" s="541"/>
      <c r="P85" s="541" t="e">
        <f>VLOOKUP(B85,'Technology MASTER'!$B$3:$N$107,13,FALSE)</f>
        <v>#NUM!</v>
      </c>
      <c r="Q85" s="541"/>
      <c r="R85" s="541"/>
      <c r="S85" s="542"/>
      <c r="T85" s="275"/>
    </row>
    <row r="86" spans="1:20" ht="17" thickBot="1">
      <c r="A86" s="274"/>
      <c r="B86" s="333" t="e">
        <f>'Customer Gap Calc'!E21</f>
        <v>#NUM!</v>
      </c>
      <c r="C86" s="548" t="e">
        <f>VLOOKUP(B86,'Technology MASTER'!$B$3:$N$107,4,FALSE)</f>
        <v>#NUM!</v>
      </c>
      <c r="D86" s="548"/>
      <c r="E86" s="543" t="e">
        <f>VLOOKUP(B86,'Technology MASTER'!$B$3:$N$107,5,FALSE)</f>
        <v>#NUM!</v>
      </c>
      <c r="F86" s="543"/>
      <c r="G86" s="543"/>
      <c r="H86" s="543"/>
      <c r="I86" s="543"/>
      <c r="J86" s="543"/>
      <c r="K86" s="544" t="e">
        <f>VLOOKUP(B86,'Technology MASTER'!$B$3:$N$107,10,FALSE)</f>
        <v>#NUM!</v>
      </c>
      <c r="L86" s="544"/>
      <c r="M86" s="544"/>
      <c r="N86" s="545" t="e">
        <f>VLOOKUP(B86,'Technology MASTER'!$B$3:$N$107,11,FALSE)</f>
        <v>#NUM!</v>
      </c>
      <c r="O86" s="545"/>
      <c r="P86" s="545" t="e">
        <f>VLOOKUP(B86,'Technology MASTER'!$B$3:$N$107,13,FALSE)</f>
        <v>#NUM!</v>
      </c>
      <c r="Q86" s="545"/>
      <c r="R86" s="545"/>
      <c r="S86" s="546"/>
      <c r="T86" s="275"/>
    </row>
    <row r="87" spans="1:20">
      <c r="A87" s="274"/>
      <c r="B87" s="343"/>
      <c r="C87" s="343"/>
      <c r="D87" s="343"/>
      <c r="E87" s="343"/>
      <c r="F87" s="343"/>
      <c r="G87" s="343"/>
      <c r="H87" s="343"/>
      <c r="I87" s="343"/>
      <c r="J87" s="343"/>
      <c r="K87" s="343"/>
      <c r="L87" s="343"/>
      <c r="M87" s="343"/>
      <c r="N87" s="343"/>
      <c r="O87" s="343"/>
      <c r="P87" s="343"/>
      <c r="Q87" s="343"/>
      <c r="R87" s="343"/>
      <c r="S87" s="343"/>
      <c r="T87" s="275"/>
    </row>
    <row r="88" spans="1:20">
      <c r="A88" s="274"/>
      <c r="B88" s="343"/>
      <c r="C88" s="343"/>
      <c r="D88" s="519" t="s">
        <v>2147</v>
      </c>
      <c r="E88" s="519"/>
      <c r="F88" s="519"/>
      <c r="G88" s="519"/>
      <c r="H88" s="519"/>
      <c r="I88" s="519"/>
      <c r="J88" s="519"/>
      <c r="K88" s="519"/>
      <c r="L88" s="519"/>
      <c r="M88" s="519"/>
      <c r="N88" s="519"/>
      <c r="O88" s="519"/>
      <c r="P88" s="519"/>
      <c r="Q88" s="519"/>
      <c r="R88" s="343"/>
      <c r="S88" s="343"/>
      <c r="T88" s="275"/>
    </row>
    <row r="89" spans="1:20" ht="21.75" customHeight="1">
      <c r="A89" s="274"/>
      <c r="B89" s="372"/>
      <c r="C89" s="372"/>
      <c r="D89" s="519"/>
      <c r="E89" s="519"/>
      <c r="F89" s="519"/>
      <c r="G89" s="519"/>
      <c r="H89" s="519"/>
      <c r="I89" s="519"/>
      <c r="J89" s="519"/>
      <c r="K89" s="519"/>
      <c r="L89" s="519"/>
      <c r="M89" s="519"/>
      <c r="N89" s="519"/>
      <c r="O89" s="519"/>
      <c r="P89" s="519"/>
      <c r="Q89" s="519"/>
      <c r="R89" s="343"/>
      <c r="S89" s="343"/>
      <c r="T89" s="275"/>
    </row>
    <row r="90" spans="1:20" ht="21">
      <c r="A90" s="274"/>
      <c r="B90" s="372"/>
      <c r="C90" s="372"/>
      <c r="D90" s="378"/>
      <c r="E90" s="378"/>
      <c r="F90" s="378"/>
      <c r="G90" s="378"/>
      <c r="H90" s="378"/>
      <c r="I90" s="378"/>
      <c r="J90" s="378"/>
      <c r="K90" s="378"/>
      <c r="L90" s="378"/>
      <c r="M90" s="378"/>
      <c r="N90" s="379"/>
      <c r="O90" s="379"/>
      <c r="P90" s="379"/>
      <c r="Q90" s="379"/>
      <c r="R90" s="343"/>
      <c r="S90" s="343"/>
      <c r="T90" s="275"/>
    </row>
    <row r="91" spans="1:20">
      <c r="A91" s="274"/>
      <c r="B91" s="372"/>
      <c r="C91" s="372"/>
      <c r="D91" s="380"/>
      <c r="E91" s="380"/>
      <c r="F91" s="380"/>
      <c r="G91" s="525" t="s">
        <v>585</v>
      </c>
      <c r="H91" s="525"/>
      <c r="I91" s="525"/>
      <c r="J91" s="525"/>
      <c r="K91" s="378"/>
      <c r="L91" s="378"/>
      <c r="M91" s="516" t="s">
        <v>2144</v>
      </c>
      <c r="N91" s="516"/>
      <c r="O91" s="516"/>
      <c r="P91" s="378"/>
      <c r="Q91" s="378"/>
      <c r="R91" s="343"/>
      <c r="S91" s="343"/>
      <c r="T91" s="275"/>
    </row>
    <row r="92" spans="1:20" ht="31.5" customHeight="1">
      <c r="A92" s="274"/>
      <c r="B92" s="372"/>
      <c r="C92" s="372"/>
      <c r="D92" s="517" t="s">
        <v>1980</v>
      </c>
      <c r="E92" s="517"/>
      <c r="F92" s="518"/>
      <c r="G92" s="375" t="s">
        <v>2143</v>
      </c>
      <c r="H92" s="376" t="s">
        <v>1531</v>
      </c>
      <c r="I92" s="377" t="s">
        <v>1532</v>
      </c>
      <c r="J92" s="101" t="s">
        <v>1540</v>
      </c>
      <c r="K92" s="523" t="s">
        <v>2145</v>
      </c>
      <c r="L92" s="523"/>
      <c r="M92" s="526" t="s">
        <v>1916</v>
      </c>
      <c r="N92" s="526"/>
      <c r="O92" s="101" t="s">
        <v>1975</v>
      </c>
      <c r="P92" s="523" t="s">
        <v>2146</v>
      </c>
      <c r="Q92" s="523"/>
      <c r="R92" s="343"/>
      <c r="S92" s="343"/>
      <c r="T92" s="275"/>
    </row>
    <row r="93" spans="1:20">
      <c r="A93" s="274"/>
      <c r="B93" s="372"/>
      <c r="C93" s="372"/>
      <c r="D93" s="522" t="s">
        <v>1558</v>
      </c>
      <c r="E93" s="522"/>
      <c r="F93" s="522"/>
      <c r="G93" s="374">
        <f>'Risk Calc'!T40</f>
        <v>0</v>
      </c>
      <c r="H93" s="374">
        <f>'Risk Calc'!U40</f>
        <v>0</v>
      </c>
      <c r="I93" s="374">
        <f>'Risk Calc'!V40</f>
        <v>0</v>
      </c>
      <c r="J93" s="381" t="e">
        <f>'Risk Calc'!W40</f>
        <v>#DIV/0!</v>
      </c>
      <c r="K93" s="524" t="e">
        <f>'Risk Calc'!X40</f>
        <v>#DIV/0!</v>
      </c>
      <c r="L93" s="524"/>
      <c r="M93" s="527">
        <f>COUNTIFS('VENDOR QUESTIONNAIRE'!$V$58:$V$181,$D93,'VENDOR QUESTIONNAIRE'!$T$58:$T$181,"Recommend",'VENDOR QUESTIONNAIRE'!$L$58:$L$181,"Yes")</f>
        <v>0</v>
      </c>
      <c r="N93" s="528"/>
      <c r="O93" s="382">
        <f t="shared" ref="O93:P97" si="1">AD41</f>
        <v>0</v>
      </c>
      <c r="P93" s="515">
        <f t="shared" si="1"/>
        <v>0</v>
      </c>
      <c r="Q93" s="515"/>
      <c r="R93" s="343"/>
      <c r="S93" s="343"/>
      <c r="T93" s="275"/>
    </row>
    <row r="94" spans="1:20">
      <c r="A94" s="274"/>
      <c r="B94" s="372"/>
      <c r="C94" s="372"/>
      <c r="D94" s="522" t="s">
        <v>1559</v>
      </c>
      <c r="E94" s="522"/>
      <c r="F94" s="522"/>
      <c r="G94" s="374">
        <f>'Risk Calc'!T41</f>
        <v>0</v>
      </c>
      <c r="H94" s="374">
        <f>'Risk Calc'!U41</f>
        <v>0</v>
      </c>
      <c r="I94" s="374">
        <f>'Risk Calc'!V41</f>
        <v>0</v>
      </c>
      <c r="J94" s="381" t="e">
        <f>'Risk Calc'!W41</f>
        <v>#DIV/0!</v>
      </c>
      <c r="K94" s="524" t="e">
        <f>'Risk Calc'!X41</f>
        <v>#DIV/0!</v>
      </c>
      <c r="L94" s="524"/>
      <c r="M94" s="527">
        <f>COUNTIFS('VENDOR QUESTIONNAIRE'!$V$58:$V$181,$D94,'VENDOR QUESTIONNAIRE'!$T$58:$T$181,"Recommend",'VENDOR QUESTIONNAIRE'!$L$58:$L$181,"Yes")</f>
        <v>0</v>
      </c>
      <c r="N94" s="528"/>
      <c r="O94" s="382">
        <f t="shared" si="1"/>
        <v>0</v>
      </c>
      <c r="P94" s="515">
        <f t="shared" si="1"/>
        <v>0</v>
      </c>
      <c r="Q94" s="515"/>
      <c r="R94" s="343"/>
      <c r="S94" s="343"/>
      <c r="T94" s="275"/>
    </row>
    <row r="95" spans="1:20">
      <c r="A95" s="274"/>
      <c r="B95" s="372"/>
      <c r="C95" s="372"/>
      <c r="D95" s="522" t="s">
        <v>1961</v>
      </c>
      <c r="E95" s="522"/>
      <c r="F95" s="522"/>
      <c r="G95" s="374">
        <f>'Risk Calc'!T42</f>
        <v>0</v>
      </c>
      <c r="H95" s="374">
        <f>'Risk Calc'!U42</f>
        <v>0</v>
      </c>
      <c r="I95" s="374">
        <f>'Risk Calc'!V42</f>
        <v>0</v>
      </c>
      <c r="J95" s="381" t="e">
        <f>'Risk Calc'!W42</f>
        <v>#DIV/0!</v>
      </c>
      <c r="K95" s="524" t="e">
        <f>'Risk Calc'!X42</f>
        <v>#DIV/0!</v>
      </c>
      <c r="L95" s="524"/>
      <c r="M95" s="527">
        <f>COUNTIFS('VENDOR QUESTIONNAIRE'!$V$58:$V$181,$D95,'VENDOR QUESTIONNAIRE'!$T$58:$T$181,"Recommend",'VENDOR QUESTIONNAIRE'!$L$58:$L$181,"Yes")</f>
        <v>0</v>
      </c>
      <c r="N95" s="528"/>
      <c r="O95" s="382">
        <f t="shared" si="1"/>
        <v>0</v>
      </c>
      <c r="P95" s="515">
        <f t="shared" si="1"/>
        <v>0</v>
      </c>
      <c r="Q95" s="515"/>
      <c r="R95" s="343"/>
      <c r="S95" s="343"/>
      <c r="T95" s="275"/>
    </row>
    <row r="96" spans="1:20">
      <c r="A96" s="274"/>
      <c r="B96" s="372"/>
      <c r="C96" s="372"/>
      <c r="D96" s="522" t="s">
        <v>1960</v>
      </c>
      <c r="E96" s="522"/>
      <c r="F96" s="522"/>
      <c r="G96" s="374">
        <f>'Risk Calc'!T43</f>
        <v>0</v>
      </c>
      <c r="H96" s="374">
        <f>'Risk Calc'!U43</f>
        <v>0</v>
      </c>
      <c r="I96" s="374">
        <f>'Risk Calc'!V43</f>
        <v>0</v>
      </c>
      <c r="J96" s="381" t="e">
        <f>'Risk Calc'!W43</f>
        <v>#DIV/0!</v>
      </c>
      <c r="K96" s="524" t="e">
        <f>'Risk Calc'!X43</f>
        <v>#DIV/0!</v>
      </c>
      <c r="L96" s="524"/>
      <c r="M96" s="527">
        <f>COUNTIFS('VENDOR QUESTIONNAIRE'!$V$58:$V$181,$D96,'VENDOR QUESTIONNAIRE'!$T$58:$T$181,"Recommend",'VENDOR QUESTIONNAIRE'!$L$58:$L$181,"Yes")</f>
        <v>0</v>
      </c>
      <c r="N96" s="528"/>
      <c r="O96" s="382">
        <f t="shared" si="1"/>
        <v>0</v>
      </c>
      <c r="P96" s="515">
        <f t="shared" si="1"/>
        <v>0</v>
      </c>
      <c r="Q96" s="515"/>
      <c r="R96" s="343"/>
      <c r="S96" s="343"/>
      <c r="T96" s="275"/>
    </row>
    <row r="97" spans="1:20">
      <c r="A97" s="274"/>
      <c r="B97" s="372"/>
      <c r="C97" s="372"/>
      <c r="D97" s="522" t="s">
        <v>1962</v>
      </c>
      <c r="E97" s="522"/>
      <c r="F97" s="522"/>
      <c r="G97" s="374">
        <f>'Risk Calc'!T44</f>
        <v>0</v>
      </c>
      <c r="H97" s="374">
        <f>'Risk Calc'!U44</f>
        <v>0</v>
      </c>
      <c r="I97" s="374">
        <f>'Risk Calc'!V44</f>
        <v>0</v>
      </c>
      <c r="J97" s="381" t="e">
        <f>'Risk Calc'!W44</f>
        <v>#DIV/0!</v>
      </c>
      <c r="K97" s="524" t="e">
        <f>'Risk Calc'!X44</f>
        <v>#DIV/0!</v>
      </c>
      <c r="L97" s="524"/>
      <c r="M97" s="527">
        <f>COUNTIFS('VENDOR QUESTIONNAIRE'!$V$58:$V$181,$D97,'VENDOR QUESTIONNAIRE'!$T$58:$T$181,"Recommend",'VENDOR QUESTIONNAIRE'!$L$58:$L$181,"Yes")</f>
        <v>0</v>
      </c>
      <c r="N97" s="528"/>
      <c r="O97" s="382">
        <f t="shared" si="1"/>
        <v>0</v>
      </c>
      <c r="P97" s="515">
        <f t="shared" si="1"/>
        <v>0</v>
      </c>
      <c r="Q97" s="515"/>
      <c r="R97" s="343"/>
      <c r="S97" s="343"/>
      <c r="T97" s="275"/>
    </row>
    <row r="98" spans="1:20">
      <c r="A98" s="274"/>
      <c r="B98" s="372"/>
      <c r="C98" s="372"/>
      <c r="D98" s="372"/>
      <c r="E98" s="372"/>
      <c r="F98" s="372"/>
      <c r="G98" s="372"/>
      <c r="H98" s="372"/>
      <c r="I98" s="372"/>
      <c r="J98" s="372"/>
      <c r="K98" s="372"/>
      <c r="L98" s="372"/>
      <c r="M98" s="372"/>
      <c r="N98" s="372"/>
      <c r="O98" s="372"/>
      <c r="P98" s="372"/>
      <c r="Q98" s="343"/>
      <c r="R98" s="343"/>
      <c r="S98" s="343"/>
      <c r="T98" s="275"/>
    </row>
    <row r="99" spans="1:20" ht="17" thickBot="1">
      <c r="A99" s="274"/>
      <c r="B99" s="372"/>
      <c r="C99" s="372"/>
      <c r="D99" s="372"/>
      <c r="E99" s="372"/>
      <c r="F99" s="372"/>
      <c r="G99" s="372"/>
      <c r="H99" s="372"/>
      <c r="I99" s="372"/>
      <c r="J99" s="372"/>
      <c r="K99" s="372"/>
      <c r="L99" s="372"/>
      <c r="M99" s="372"/>
      <c r="N99" s="372"/>
      <c r="O99" s="372"/>
      <c r="P99" s="372"/>
      <c r="Q99" s="343"/>
      <c r="R99" s="343"/>
      <c r="S99" s="343"/>
      <c r="T99" s="275"/>
    </row>
    <row r="100" spans="1:20" ht="17" thickTop="1">
      <c r="A100" s="274"/>
      <c r="B100" s="372"/>
      <c r="C100" s="372"/>
      <c r="D100" s="372"/>
      <c r="E100" s="512" t="s">
        <v>2153</v>
      </c>
      <c r="F100" s="387"/>
      <c r="G100" s="387"/>
      <c r="H100" s="387"/>
      <c r="I100" s="387"/>
      <c r="J100" s="387"/>
      <c r="K100" s="387"/>
      <c r="L100" s="509" t="e">
        <f>'Risk Calc'!AE43</f>
        <v>#DIV/0!</v>
      </c>
      <c r="M100" s="510"/>
      <c r="N100" s="387"/>
      <c r="O100" s="387"/>
      <c r="P100" s="393"/>
      <c r="Q100" s="343"/>
      <c r="R100" s="343"/>
      <c r="S100" s="343"/>
      <c r="T100" s="275"/>
    </row>
    <row r="101" spans="1:20">
      <c r="A101" s="274"/>
      <c r="B101" s="372"/>
      <c r="C101" s="372"/>
      <c r="D101" s="372"/>
      <c r="E101" s="513"/>
      <c r="F101" s="391"/>
      <c r="G101" s="507" t="e">
        <f>'Risk Calc'!AE40</f>
        <v>#DIV/0!</v>
      </c>
      <c r="H101" s="508"/>
      <c r="I101" s="391"/>
      <c r="J101" s="391"/>
      <c r="K101" s="391"/>
      <c r="L101" s="508"/>
      <c r="M101" s="508"/>
      <c r="N101" s="391"/>
      <c r="O101" s="391"/>
      <c r="P101" s="390"/>
      <c r="Q101" s="343"/>
      <c r="R101" s="343"/>
      <c r="S101" s="343"/>
      <c r="T101" s="275"/>
    </row>
    <row r="102" spans="1:20">
      <c r="A102" s="274"/>
      <c r="B102" s="372"/>
      <c r="C102" s="372"/>
      <c r="D102" s="372"/>
      <c r="E102" s="513"/>
      <c r="F102" s="391"/>
      <c r="G102" s="508"/>
      <c r="H102" s="508"/>
      <c r="I102" s="391"/>
      <c r="J102" s="391"/>
      <c r="K102" s="391"/>
      <c r="L102" s="391"/>
      <c r="M102" s="391"/>
      <c r="N102" s="507" t="e">
        <f>'Risk Calc'!AE41</f>
        <v>#DIV/0!</v>
      </c>
      <c r="O102" s="508"/>
      <c r="P102" s="390"/>
      <c r="Q102" s="343"/>
      <c r="R102" s="343"/>
      <c r="S102" s="343"/>
      <c r="T102" s="275"/>
    </row>
    <row r="103" spans="1:20">
      <c r="A103" s="274"/>
      <c r="B103" s="372"/>
      <c r="C103" s="372"/>
      <c r="D103" s="372"/>
      <c r="E103" s="513"/>
      <c r="F103" s="391"/>
      <c r="G103" s="391"/>
      <c r="H103" s="391"/>
      <c r="I103" s="391"/>
      <c r="J103" s="391"/>
      <c r="K103" s="391"/>
      <c r="L103" s="391"/>
      <c r="M103" s="391"/>
      <c r="N103" s="508"/>
      <c r="O103" s="508"/>
      <c r="P103" s="390"/>
      <c r="Q103" s="343"/>
      <c r="R103" s="343"/>
      <c r="S103" s="343"/>
      <c r="T103" s="275"/>
    </row>
    <row r="104" spans="1:20">
      <c r="A104" s="274"/>
      <c r="B104" s="372"/>
      <c r="C104" s="372"/>
      <c r="D104" s="372"/>
      <c r="E104" s="513"/>
      <c r="F104" s="391"/>
      <c r="G104" s="391"/>
      <c r="H104" s="391"/>
      <c r="I104" s="391"/>
      <c r="J104" s="391"/>
      <c r="K104" s="391"/>
      <c r="L104" s="391"/>
      <c r="M104" s="391"/>
      <c r="N104" s="391"/>
      <c r="O104" s="391"/>
      <c r="P104" s="390"/>
      <c r="Q104" s="343"/>
      <c r="R104" s="343"/>
      <c r="S104" s="343"/>
      <c r="T104" s="275"/>
    </row>
    <row r="105" spans="1:20">
      <c r="A105" s="274"/>
      <c r="B105" s="372"/>
      <c r="C105" s="372"/>
      <c r="D105" s="372"/>
      <c r="E105" s="513"/>
      <c r="F105" s="391"/>
      <c r="G105" s="391"/>
      <c r="H105" s="391"/>
      <c r="I105" s="391"/>
      <c r="J105" s="391"/>
      <c r="K105" s="391"/>
      <c r="L105" s="391"/>
      <c r="M105" s="391"/>
      <c r="N105" s="391"/>
      <c r="O105" s="391"/>
      <c r="P105" s="390"/>
      <c r="Q105" s="343"/>
      <c r="R105" s="343"/>
      <c r="S105" s="343"/>
      <c r="T105" s="275"/>
    </row>
    <row r="106" spans="1:20">
      <c r="A106" s="274"/>
      <c r="B106" s="372"/>
      <c r="C106" s="372"/>
      <c r="D106" s="372"/>
      <c r="E106" s="513"/>
      <c r="F106" s="391"/>
      <c r="G106" s="391"/>
      <c r="H106" s="391"/>
      <c r="I106" s="391"/>
      <c r="J106" s="391"/>
      <c r="K106" s="391"/>
      <c r="L106" s="391"/>
      <c r="M106" s="391"/>
      <c r="N106" s="391"/>
      <c r="O106" s="391"/>
      <c r="P106" s="390"/>
      <c r="Q106" s="343"/>
      <c r="R106" s="343"/>
      <c r="S106" s="343"/>
      <c r="T106" s="275"/>
    </row>
    <row r="107" spans="1:20">
      <c r="A107" s="274"/>
      <c r="B107" s="372"/>
      <c r="C107" s="372"/>
      <c r="D107" s="372"/>
      <c r="E107" s="513"/>
      <c r="F107" s="391"/>
      <c r="G107" s="391"/>
      <c r="H107" s="391"/>
      <c r="I107" s="391"/>
      <c r="J107" s="392"/>
      <c r="K107" s="392"/>
      <c r="L107" s="391"/>
      <c r="M107" s="391"/>
      <c r="N107" s="391"/>
      <c r="O107" s="391"/>
      <c r="P107" s="390"/>
      <c r="Q107" s="343"/>
      <c r="R107" s="343"/>
      <c r="S107" s="343"/>
      <c r="T107" s="275"/>
    </row>
    <row r="108" spans="1:20">
      <c r="A108" s="274"/>
      <c r="B108" s="372"/>
      <c r="C108" s="372"/>
      <c r="D108" s="372"/>
      <c r="E108" s="513"/>
      <c r="F108" s="391"/>
      <c r="G108" s="391"/>
      <c r="H108" s="391"/>
      <c r="I108" s="391"/>
      <c r="J108" s="392"/>
      <c r="K108" s="392"/>
      <c r="L108" s="391"/>
      <c r="M108" s="391"/>
      <c r="N108" s="391"/>
      <c r="O108" s="391"/>
      <c r="P108" s="390"/>
      <c r="Q108" s="343"/>
      <c r="R108" s="343"/>
      <c r="S108" s="343"/>
      <c r="T108" s="275"/>
    </row>
    <row r="109" spans="1:20">
      <c r="A109" s="274"/>
      <c r="B109" s="372"/>
      <c r="C109" s="372"/>
      <c r="D109" s="372"/>
      <c r="E109" s="513"/>
      <c r="F109" s="391"/>
      <c r="G109" s="391"/>
      <c r="H109" s="391"/>
      <c r="I109" s="391"/>
      <c r="J109" s="391"/>
      <c r="K109" s="391"/>
      <c r="L109" s="391"/>
      <c r="M109" s="391"/>
      <c r="N109" s="391"/>
      <c r="O109" s="391"/>
      <c r="P109" s="390"/>
      <c r="Q109" s="343"/>
      <c r="R109" s="343"/>
      <c r="S109" s="343"/>
      <c r="T109" s="275"/>
    </row>
    <row r="110" spans="1:20">
      <c r="A110" s="274"/>
      <c r="B110" s="372"/>
      <c r="C110" s="372"/>
      <c r="D110" s="372"/>
      <c r="E110" s="513"/>
      <c r="F110" s="391"/>
      <c r="G110" s="391"/>
      <c r="H110" s="391"/>
      <c r="I110" s="391"/>
      <c r="J110" s="391"/>
      <c r="K110" s="391"/>
      <c r="L110" s="391"/>
      <c r="M110" s="391"/>
      <c r="N110" s="391"/>
      <c r="O110" s="391"/>
      <c r="P110" s="390"/>
      <c r="Q110" s="343"/>
      <c r="R110" s="343"/>
      <c r="S110" s="343"/>
      <c r="T110" s="275"/>
    </row>
    <row r="111" spans="1:20">
      <c r="A111" s="274"/>
      <c r="B111" s="372"/>
      <c r="C111" s="372"/>
      <c r="D111" s="372"/>
      <c r="E111" s="513"/>
      <c r="F111" s="391"/>
      <c r="G111" s="391"/>
      <c r="H111" s="391"/>
      <c r="I111" s="391"/>
      <c r="J111" s="391"/>
      <c r="K111" s="391"/>
      <c r="L111" s="391"/>
      <c r="M111" s="391"/>
      <c r="N111" s="391"/>
      <c r="O111" s="391"/>
      <c r="P111" s="390"/>
      <c r="Q111" s="343"/>
      <c r="R111" s="343"/>
      <c r="S111" s="343"/>
      <c r="T111" s="275"/>
    </row>
    <row r="112" spans="1:20">
      <c r="A112" s="274"/>
      <c r="B112" s="372"/>
      <c r="C112" s="372"/>
      <c r="D112" s="372"/>
      <c r="E112" s="513"/>
      <c r="F112" s="391"/>
      <c r="G112" s="391"/>
      <c r="H112" s="391"/>
      <c r="I112" s="391"/>
      <c r="J112" s="391"/>
      <c r="K112" s="391"/>
      <c r="L112" s="391"/>
      <c r="M112" s="391"/>
      <c r="N112" s="391"/>
      <c r="O112" s="391"/>
      <c r="P112" s="390"/>
      <c r="Q112" s="343"/>
      <c r="R112" s="343"/>
      <c r="S112" s="343"/>
      <c r="T112" s="275"/>
    </row>
    <row r="113" spans="1:20">
      <c r="A113" s="274"/>
      <c r="B113" s="372"/>
      <c r="C113" s="372"/>
      <c r="D113" s="372"/>
      <c r="E113" s="513"/>
      <c r="F113" s="391"/>
      <c r="G113" s="391"/>
      <c r="H113" s="391"/>
      <c r="I113" s="391"/>
      <c r="J113" s="391"/>
      <c r="K113" s="391"/>
      <c r="L113" s="391"/>
      <c r="M113" s="391"/>
      <c r="N113" s="391"/>
      <c r="O113" s="391"/>
      <c r="P113" s="390"/>
      <c r="Q113" s="343"/>
      <c r="R113" s="343"/>
      <c r="S113" s="343"/>
      <c r="T113" s="275"/>
    </row>
    <row r="114" spans="1:20">
      <c r="A114" s="274"/>
      <c r="B114" s="372"/>
      <c r="C114" s="372"/>
      <c r="D114" s="372"/>
      <c r="E114" s="513"/>
      <c r="F114" s="391"/>
      <c r="G114" s="391"/>
      <c r="H114" s="391"/>
      <c r="I114" s="391"/>
      <c r="J114" s="391"/>
      <c r="K114" s="391"/>
      <c r="L114" s="391"/>
      <c r="M114" s="391"/>
      <c r="N114" s="391"/>
      <c r="O114" s="391"/>
      <c r="P114" s="390"/>
      <c r="Q114" s="343"/>
      <c r="R114" s="343"/>
      <c r="S114" s="343"/>
      <c r="T114" s="275"/>
    </row>
    <row r="115" spans="1:20">
      <c r="A115" s="274"/>
      <c r="B115" s="372"/>
      <c r="C115" s="372"/>
      <c r="D115" s="372"/>
      <c r="E115" s="513"/>
      <c r="F115" s="391"/>
      <c r="G115" s="391"/>
      <c r="H115" s="391"/>
      <c r="I115" s="391"/>
      <c r="J115" s="391"/>
      <c r="K115" s="391"/>
      <c r="L115" s="391"/>
      <c r="M115" s="391"/>
      <c r="N115" s="391"/>
      <c r="O115" s="391"/>
      <c r="P115" s="390"/>
      <c r="Q115" s="343"/>
      <c r="R115" s="343"/>
      <c r="S115" s="343"/>
      <c r="T115" s="275"/>
    </row>
    <row r="116" spans="1:20">
      <c r="A116" s="274"/>
      <c r="B116" s="372"/>
      <c r="C116" s="372"/>
      <c r="D116" s="372"/>
      <c r="E116" s="513"/>
      <c r="F116" s="391"/>
      <c r="G116" s="391"/>
      <c r="H116" s="391"/>
      <c r="I116" s="391"/>
      <c r="J116" s="507" t="e">
        <f>'Risk Calc'!AE44</f>
        <v>#DIV/0!</v>
      </c>
      <c r="K116" s="508"/>
      <c r="L116" s="391"/>
      <c r="M116" s="391"/>
      <c r="N116" s="391"/>
      <c r="O116" s="391"/>
      <c r="P116" s="390"/>
      <c r="Q116" s="343"/>
      <c r="R116" s="343"/>
      <c r="S116" s="343"/>
      <c r="T116" s="275"/>
    </row>
    <row r="117" spans="1:20">
      <c r="A117" s="274"/>
      <c r="B117" s="372"/>
      <c r="C117" s="372"/>
      <c r="D117" s="372"/>
      <c r="E117" s="513"/>
      <c r="F117" s="391"/>
      <c r="G117" s="391"/>
      <c r="H117" s="391"/>
      <c r="I117" s="391"/>
      <c r="J117" s="508"/>
      <c r="K117" s="508"/>
      <c r="L117" s="391"/>
      <c r="M117" s="391"/>
      <c r="N117" s="391"/>
      <c r="O117" s="391"/>
      <c r="P117" s="390"/>
      <c r="Q117" s="343"/>
      <c r="R117" s="343"/>
      <c r="S117" s="343"/>
      <c r="T117" s="275"/>
    </row>
    <row r="118" spans="1:20">
      <c r="A118" s="274"/>
      <c r="B118" s="372"/>
      <c r="C118" s="372"/>
      <c r="D118" s="372"/>
      <c r="E118" s="513"/>
      <c r="F118" s="391"/>
      <c r="G118" s="391"/>
      <c r="H118" s="391"/>
      <c r="I118" s="391"/>
      <c r="J118" s="391"/>
      <c r="K118" s="391"/>
      <c r="L118" s="391"/>
      <c r="M118" s="391"/>
      <c r="N118" s="391"/>
      <c r="O118" s="391"/>
      <c r="P118" s="390"/>
      <c r="Q118" s="343"/>
      <c r="R118" s="343"/>
      <c r="S118" s="343"/>
      <c r="T118" s="275"/>
    </row>
    <row r="119" spans="1:20">
      <c r="A119" s="274"/>
      <c r="B119" s="372"/>
      <c r="C119" s="372"/>
      <c r="D119" s="372"/>
      <c r="E119" s="513"/>
      <c r="F119" s="391"/>
      <c r="G119" s="391"/>
      <c r="H119" s="391"/>
      <c r="I119" s="391"/>
      <c r="J119" s="391"/>
      <c r="K119" s="391"/>
      <c r="L119" s="391"/>
      <c r="M119" s="391"/>
      <c r="N119" s="391"/>
      <c r="O119" s="391"/>
      <c r="P119" s="390"/>
      <c r="Q119" s="343"/>
      <c r="R119" s="343"/>
      <c r="S119" s="343"/>
      <c r="T119" s="275"/>
    </row>
    <row r="120" spans="1:20">
      <c r="A120" s="274"/>
      <c r="B120" s="372"/>
      <c r="C120" s="372"/>
      <c r="D120" s="372"/>
      <c r="E120" s="513"/>
      <c r="F120" s="391"/>
      <c r="G120" s="391"/>
      <c r="H120" s="391"/>
      <c r="I120" s="391"/>
      <c r="J120" s="391"/>
      <c r="K120" s="391"/>
      <c r="L120" s="391"/>
      <c r="M120" s="391"/>
      <c r="N120" s="391"/>
      <c r="O120" s="391"/>
      <c r="P120" s="390"/>
      <c r="Q120" s="343"/>
      <c r="R120" s="343"/>
      <c r="S120" s="343"/>
      <c r="T120" s="275"/>
    </row>
    <row r="121" spans="1:20">
      <c r="A121" s="274"/>
      <c r="B121" s="372"/>
      <c r="C121" s="372"/>
      <c r="D121" s="372"/>
      <c r="E121" s="513"/>
      <c r="F121" s="391"/>
      <c r="G121" s="391"/>
      <c r="H121" s="391"/>
      <c r="I121" s="391"/>
      <c r="J121" s="391"/>
      <c r="K121" s="391"/>
      <c r="L121" s="391"/>
      <c r="M121" s="391"/>
      <c r="N121" s="391"/>
      <c r="O121" s="391"/>
      <c r="P121" s="390"/>
      <c r="Q121" s="343"/>
      <c r="R121" s="343"/>
      <c r="S121" s="343"/>
      <c r="T121" s="275"/>
    </row>
    <row r="122" spans="1:20">
      <c r="A122" s="274"/>
      <c r="B122" s="372"/>
      <c r="C122" s="372"/>
      <c r="D122" s="372"/>
      <c r="E122" s="513"/>
      <c r="F122" s="391"/>
      <c r="G122" s="391"/>
      <c r="H122" s="391"/>
      <c r="I122" s="391"/>
      <c r="J122" s="391"/>
      <c r="K122" s="391"/>
      <c r="L122" s="391"/>
      <c r="M122" s="391"/>
      <c r="N122" s="391"/>
      <c r="O122" s="391"/>
      <c r="P122" s="390"/>
      <c r="Q122" s="343"/>
      <c r="R122" s="343"/>
      <c r="S122" s="343"/>
      <c r="T122" s="275"/>
    </row>
    <row r="123" spans="1:20">
      <c r="A123" s="274"/>
      <c r="B123" s="372"/>
      <c r="C123" s="372"/>
      <c r="D123" s="372"/>
      <c r="E123" s="513"/>
      <c r="F123" s="391"/>
      <c r="G123" s="391"/>
      <c r="H123" s="391"/>
      <c r="I123" s="391"/>
      <c r="J123" s="391"/>
      <c r="K123" s="391"/>
      <c r="L123" s="391"/>
      <c r="M123" s="391"/>
      <c r="N123" s="391"/>
      <c r="O123" s="391"/>
      <c r="P123" s="390"/>
      <c r="Q123" s="343"/>
      <c r="R123" s="343"/>
      <c r="S123" s="343"/>
      <c r="T123" s="275"/>
    </row>
    <row r="124" spans="1:20">
      <c r="A124" s="274"/>
      <c r="B124" s="372"/>
      <c r="C124" s="372"/>
      <c r="D124" s="372"/>
      <c r="E124" s="513"/>
      <c r="F124" s="391"/>
      <c r="G124" s="391"/>
      <c r="H124" s="391"/>
      <c r="I124" s="391"/>
      <c r="J124" s="391"/>
      <c r="K124" s="391"/>
      <c r="L124" s="507" t="e">
        <f>'Risk Calc'!AE42</f>
        <v>#DIV/0!</v>
      </c>
      <c r="M124" s="508"/>
      <c r="N124" s="391"/>
      <c r="O124" s="391"/>
      <c r="P124" s="390"/>
      <c r="Q124" s="343"/>
      <c r="R124" s="343"/>
      <c r="S124" s="343"/>
      <c r="T124" s="275"/>
    </row>
    <row r="125" spans="1:20" ht="17" thickBot="1">
      <c r="A125" s="274"/>
      <c r="B125" s="372"/>
      <c r="C125" s="372"/>
      <c r="D125" s="372"/>
      <c r="E125" s="514"/>
      <c r="F125" s="389"/>
      <c r="G125" s="389"/>
      <c r="H125" s="389"/>
      <c r="I125" s="389"/>
      <c r="J125" s="389"/>
      <c r="K125" s="389"/>
      <c r="L125" s="511"/>
      <c r="M125" s="511"/>
      <c r="N125" s="389"/>
      <c r="O125" s="389"/>
      <c r="P125" s="388"/>
      <c r="Q125" s="343"/>
      <c r="R125" s="343"/>
      <c r="S125" s="343"/>
      <c r="T125" s="275"/>
    </row>
    <row r="126" spans="1:20" ht="17" thickTop="1">
      <c r="A126" s="274"/>
      <c r="B126" s="372"/>
      <c r="C126" s="372"/>
      <c r="D126" s="372"/>
      <c r="E126" s="372"/>
      <c r="F126" s="372"/>
      <c r="G126" s="372"/>
      <c r="H126" s="372"/>
      <c r="I126" s="372"/>
      <c r="J126" s="372"/>
      <c r="K126" s="372"/>
      <c r="L126" s="372"/>
      <c r="M126" s="372"/>
      <c r="N126" s="372"/>
      <c r="O126" s="372"/>
      <c r="P126" s="372"/>
      <c r="Q126" s="343"/>
      <c r="R126" s="343"/>
      <c r="S126" s="343"/>
      <c r="T126" s="275"/>
    </row>
    <row r="127" spans="1:20" ht="17" thickBot="1">
      <c r="A127" s="292"/>
      <c r="B127" s="345"/>
      <c r="C127" s="345"/>
      <c r="D127" s="345"/>
      <c r="E127" s="345"/>
      <c r="F127" s="345"/>
      <c r="G127" s="345"/>
      <c r="H127" s="345"/>
      <c r="I127" s="345"/>
      <c r="J127" s="345"/>
      <c r="K127" s="345"/>
      <c r="L127" s="345"/>
      <c r="M127" s="345"/>
      <c r="N127" s="345"/>
      <c r="O127" s="345"/>
      <c r="P127" s="345"/>
      <c r="Q127" s="345"/>
      <c r="R127" s="345"/>
      <c r="S127" s="345"/>
      <c r="T127" s="287"/>
    </row>
    <row r="128" spans="1:20" ht="17" thickTop="1"/>
  </sheetData>
  <mergeCells count="300">
    <mergeCell ref="B32:I32"/>
    <mergeCell ref="B33:I33"/>
    <mergeCell ref="B34:I34"/>
    <mergeCell ref="B35:I35"/>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 ref="B64:S65"/>
    <mergeCell ref="B40:S41"/>
    <mergeCell ref="C42:D42"/>
    <mergeCell ref="E42:J42"/>
    <mergeCell ref="K42:M42"/>
    <mergeCell ref="P16:P17"/>
    <mergeCell ref="Q16:Q17"/>
    <mergeCell ref="B37:I37"/>
    <mergeCell ref="H38:I38"/>
    <mergeCell ref="B36:I36"/>
    <mergeCell ref="B25:I25"/>
    <mergeCell ref="B26:I26"/>
    <mergeCell ref="B27:I27"/>
    <mergeCell ref="B28:I28"/>
    <mergeCell ref="B29:I29"/>
    <mergeCell ref="B30:I30"/>
    <mergeCell ref="B19:I19"/>
    <mergeCell ref="B20:I20"/>
    <mergeCell ref="B21:I21"/>
    <mergeCell ref="B22:I22"/>
    <mergeCell ref="B23:I23"/>
    <mergeCell ref="B24:I24"/>
    <mergeCell ref="B18:I18"/>
    <mergeCell ref="B31:I31"/>
    <mergeCell ref="E6:F10"/>
    <mergeCell ref="I11:N11"/>
    <mergeCell ref="K6:L10"/>
    <mergeCell ref="O6:P10"/>
    <mergeCell ref="M6:N10"/>
    <mergeCell ref="B12:S13"/>
    <mergeCell ref="L16:L17"/>
    <mergeCell ref="K16:K17"/>
    <mergeCell ref="J16:J17"/>
    <mergeCell ref="J14:N14"/>
    <mergeCell ref="N42:O42"/>
    <mergeCell ref="P42:S42"/>
    <mergeCell ref="C43:D43"/>
    <mergeCell ref="E43:J43"/>
    <mergeCell ref="K43:M43"/>
    <mergeCell ref="N43:O43"/>
    <mergeCell ref="P43:S43"/>
    <mergeCell ref="C44:D44"/>
    <mergeCell ref="E44:J44"/>
    <mergeCell ref="K44:M44"/>
    <mergeCell ref="N44:O44"/>
    <mergeCell ref="P44:S44"/>
    <mergeCell ref="C66:D66"/>
    <mergeCell ref="C67:D67"/>
    <mergeCell ref="C68:D68"/>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E81:J81"/>
    <mergeCell ref="K81:M81"/>
    <mergeCell ref="N81:O81"/>
    <mergeCell ref="P81:S81"/>
    <mergeCell ref="E82:J82"/>
    <mergeCell ref="K82:M82"/>
    <mergeCell ref="N82:O82"/>
    <mergeCell ref="P82:S82"/>
    <mergeCell ref="E83:J83"/>
    <mergeCell ref="K83:M83"/>
    <mergeCell ref="N83:O83"/>
    <mergeCell ref="P83:S83"/>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E84:J84"/>
    <mergeCell ref="K84:M84"/>
    <mergeCell ref="N84:O84"/>
    <mergeCell ref="P84:S84"/>
    <mergeCell ref="E85:J85"/>
    <mergeCell ref="K85:M85"/>
    <mergeCell ref="N85:O85"/>
    <mergeCell ref="P85:S85"/>
    <mergeCell ref="E86:J86"/>
    <mergeCell ref="K86:M86"/>
    <mergeCell ref="N86:O86"/>
    <mergeCell ref="P86:S86"/>
    <mergeCell ref="C61:D61"/>
    <mergeCell ref="E61:J61"/>
    <mergeCell ref="K61:M61"/>
    <mergeCell ref="N61:O61"/>
    <mergeCell ref="P61:S61"/>
    <mergeCell ref="C62:D62"/>
    <mergeCell ref="E62:J62"/>
    <mergeCell ref="K62:M62"/>
    <mergeCell ref="N62:O62"/>
    <mergeCell ref="P62:S62"/>
    <mergeCell ref="M91:O91"/>
    <mergeCell ref="D92:F92"/>
    <mergeCell ref="D88:Q89"/>
    <mergeCell ref="E1:P1"/>
    <mergeCell ref="E2:P2"/>
    <mergeCell ref="D97:F97"/>
    <mergeCell ref="D96:F96"/>
    <mergeCell ref="D95:F95"/>
    <mergeCell ref="D94:F94"/>
    <mergeCell ref="D93:F93"/>
    <mergeCell ref="K92:L92"/>
    <mergeCell ref="K97:L97"/>
    <mergeCell ref="K96:L96"/>
    <mergeCell ref="K95:L95"/>
    <mergeCell ref="K94:L94"/>
    <mergeCell ref="K93:L93"/>
    <mergeCell ref="G91:J91"/>
    <mergeCell ref="M92:N92"/>
    <mergeCell ref="M97:N97"/>
    <mergeCell ref="M96:N96"/>
    <mergeCell ref="M95:N95"/>
    <mergeCell ref="M94:N94"/>
    <mergeCell ref="M93:N93"/>
    <mergeCell ref="P92:Q92"/>
    <mergeCell ref="G101:H102"/>
    <mergeCell ref="L100:M101"/>
    <mergeCell ref="L124:M125"/>
    <mergeCell ref="N102:O103"/>
    <mergeCell ref="J116:K117"/>
    <mergeCell ref="E100:E125"/>
    <mergeCell ref="P95:Q95"/>
    <mergeCell ref="P94:Q94"/>
    <mergeCell ref="P93:Q93"/>
    <mergeCell ref="P97:Q97"/>
    <mergeCell ref="P96:Q96"/>
  </mergeCells>
  <conditionalFormatting sqref="B43:S62">
    <cfRule type="containsErrors" dxfId="801" priority="29">
      <formula>ISERROR(B43)</formula>
    </cfRule>
  </conditionalFormatting>
  <conditionalFormatting sqref="B67:S86">
    <cfRule type="containsErrors" dxfId="800" priority="30">
      <formula>ISERROR(B67)</formula>
    </cfRule>
  </conditionalFormatting>
  <conditionalFormatting sqref="O18:S37">
    <cfRule type="cellIs" dxfId="799" priority="27" operator="equal">
      <formula>0</formula>
    </cfRule>
  </conditionalFormatting>
  <conditionalFormatting sqref="N18:N38">
    <cfRule type="containsErrors" dxfId="798" priority="21">
      <formula>ISERROR(N18)</formula>
    </cfRule>
  </conditionalFormatting>
  <conditionalFormatting sqref="C2:E2 Q2:T2">
    <cfRule type="containsErrors" dxfId="797" priority="20">
      <formula>ISERROR(C2)</formula>
    </cfRule>
  </conditionalFormatting>
  <conditionalFormatting sqref="E2:P2">
    <cfRule type="cellIs" dxfId="796" priority="19" operator="equal">
      <formula>0</formula>
    </cfRule>
  </conditionalFormatting>
  <conditionalFormatting sqref="J93:L97 P93:Q97">
    <cfRule type="containsErrors" dxfId="795" priority="18">
      <formula>ISERROR(J93)</formula>
    </cfRule>
  </conditionalFormatting>
  <conditionalFormatting sqref="P93:Q97">
    <cfRule type="cellIs" dxfId="794" priority="17" operator="equal">
      <formula>0</formula>
    </cfRule>
  </conditionalFormatting>
  <conditionalFormatting sqref="G101:H102 L100:M101 J116:K117 L124:M125 N102:O103">
    <cfRule type="containsErrors" dxfId="793" priority="16">
      <formula>ISERROR(G100)</formula>
    </cfRule>
  </conditionalFormatting>
  <conditionalFormatting sqref="G101:H102">
    <cfRule type="containsText" dxfId="792" priority="13" operator="containsText" text="Rare">
      <formula>NOT(ISERROR(SEARCH("Rare",G101)))</formula>
    </cfRule>
    <cfRule type="containsText" dxfId="791" priority="14" operator="containsText" text="Possible">
      <formula>NOT(ISERROR(SEARCH("Possible",G101)))</formula>
    </cfRule>
    <cfRule type="containsText" dxfId="790" priority="15" operator="containsText" text="Almost Certain">
      <formula>NOT(ISERROR(SEARCH("Almost Certain",G101)))</formula>
    </cfRule>
  </conditionalFormatting>
  <conditionalFormatting sqref="L100:M101">
    <cfRule type="containsText" dxfId="789" priority="10" operator="containsText" text="Rare">
      <formula>NOT(ISERROR(SEARCH("Rare",L100)))</formula>
    </cfRule>
    <cfRule type="containsText" dxfId="788" priority="11" operator="containsText" text="Possible">
      <formula>NOT(ISERROR(SEARCH("Possible",L100)))</formula>
    </cfRule>
    <cfRule type="containsText" dxfId="787" priority="12" operator="containsText" text="Almost Certain">
      <formula>NOT(ISERROR(SEARCH("Almost Certain",L100)))</formula>
    </cfRule>
  </conditionalFormatting>
  <conditionalFormatting sqref="J116:K117">
    <cfRule type="containsText" dxfId="786" priority="7" operator="containsText" text="Rare">
      <formula>NOT(ISERROR(SEARCH("Rare",J116)))</formula>
    </cfRule>
    <cfRule type="containsText" dxfId="785" priority="8" operator="containsText" text="Possible">
      <formula>NOT(ISERROR(SEARCH("Possible",J116)))</formula>
    </cfRule>
    <cfRule type="containsText" dxfId="784" priority="9" operator="containsText" text="Almost Certain">
      <formula>NOT(ISERROR(SEARCH("Almost Certain",J116)))</formula>
    </cfRule>
  </conditionalFormatting>
  <conditionalFormatting sqref="L124:M125">
    <cfRule type="containsText" dxfId="783" priority="4" operator="containsText" text="Rare">
      <formula>NOT(ISERROR(SEARCH("Rare",L124)))</formula>
    </cfRule>
    <cfRule type="containsText" dxfId="782" priority="5" operator="containsText" text="Possible">
      <formula>NOT(ISERROR(SEARCH("Possible",L124)))</formula>
    </cfRule>
    <cfRule type="containsText" dxfId="781" priority="6" operator="containsText" text="Almost Certain">
      <formula>NOT(ISERROR(SEARCH("Almost Certain",L124)))</formula>
    </cfRule>
  </conditionalFormatting>
  <conditionalFormatting sqref="N102:O103">
    <cfRule type="containsText" dxfId="780" priority="1" operator="containsText" text="Rare">
      <formula>NOT(ISERROR(SEARCH("Rare",N102)))</formula>
    </cfRule>
    <cfRule type="containsText" dxfId="779" priority="2" operator="containsText" text="Possible">
      <formula>NOT(ISERROR(SEARCH("Possible",N102)))</formula>
    </cfRule>
    <cfRule type="containsText" dxfId="778" priority="3" operator="containsText" text="Almost Certain">
      <formula>NOT(ISERROR(SEARCH("Almost Certain",N102)))</formula>
    </cfRule>
  </conditionalFormatting>
  <pageMargins left="0.25" right="0.25" top="0.75" bottom="0.75" header="0.3" footer="0.3"/>
  <pageSetup scale="54" fitToHeight="0" orientation="landscape" verticalDpi="0" r:id="rId1"/>
  <rowBreaks count="2" manualBreakCount="2">
    <brk id="39" max="16383" man="1"/>
    <brk id="87" max="16383" man="1"/>
  </rowBreaks>
  <drawing r:id="rId2"/>
  <extLst>
    <ext xmlns:x14="http://schemas.microsoft.com/office/spreadsheetml/2009/9/main" uri="{78C0D931-6437-407d-A8EE-F0AAD7539E65}">
      <x14:conditionalFormattings>
        <x14:conditionalFormatting xmlns:xm="http://schemas.microsoft.com/office/excel/2006/main">
          <x14:cfRule type="cellIs" priority="22" operator="greaterThan" id="{F19BF33A-5672-48B1-BD2F-39F23027A0D6}">
            <xm:f>'Risk Calc'!$U$50</xm:f>
            <x14:dxf>
              <fill>
                <patternFill>
                  <bgColor theme="9" tint="0.59996337778862885"/>
                </patternFill>
              </fill>
            </x14:dxf>
          </x14:cfRule>
          <x14:cfRule type="cellIs" priority="23" operator="between" id="{89D0EFBC-D65F-42EC-97AC-E13F74C090FD}">
            <xm:f>'Risk Calc'!$U$48</xm:f>
            <xm:f>'Risk Calc'!$U$49</xm:f>
            <x14:dxf>
              <fill>
                <patternFill>
                  <bgColor theme="7" tint="0.79998168889431442"/>
                </patternFill>
              </fill>
            </x14:dxf>
          </x14:cfRule>
          <x14:cfRule type="cellIs" priority="24"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heetViews>
  <sheetFormatPr baseColWidth="10" defaultColWidth="8.83203125" defaultRowHeight="16"/>
  <cols>
    <col min="1" max="1" width="2.83203125" customWidth="1"/>
    <col min="2" max="2" width="95.83203125" customWidth="1"/>
  </cols>
  <sheetData>
    <row r="2" spans="2:2" ht="208.5" customHeight="1">
      <c r="B2" s="632" t="s">
        <v>2148</v>
      </c>
    </row>
    <row r="3" spans="2:2" ht="208.5" customHeight="1">
      <c r="B3" s="632"/>
    </row>
    <row r="4" spans="2:2" ht="208.5" customHeight="1">
      <c r="B4" s="632"/>
    </row>
  </sheetData>
  <mergeCells count="1">
    <mergeCell ref="B2:B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election activeCell="B6" sqref="B6"/>
    </sheetView>
  </sheetViews>
  <sheetFormatPr baseColWidth="10" defaultColWidth="11" defaultRowHeight="16"/>
  <cols>
    <col min="2" max="2" width="131.6640625" customWidth="1"/>
  </cols>
  <sheetData>
    <row r="1" spans="1:2">
      <c r="A1" s="248"/>
      <c r="B1" s="633" t="s">
        <v>2008</v>
      </c>
    </row>
    <row r="2" spans="1:2">
      <c r="A2" s="249"/>
      <c r="B2" s="634"/>
    </row>
    <row r="3" spans="1:2" ht="17">
      <c r="A3" s="249"/>
      <c r="B3" s="250"/>
    </row>
    <row r="4" spans="1:2">
      <c r="A4" s="251" t="s">
        <v>2009</v>
      </c>
      <c r="B4" s="252"/>
    </row>
    <row r="5" spans="1:2">
      <c r="A5" s="253">
        <v>1</v>
      </c>
      <c r="B5" s="252" t="s">
        <v>2088</v>
      </c>
    </row>
    <row r="6" spans="1:2">
      <c r="A6" s="253">
        <v>1.1000000000000001</v>
      </c>
      <c r="B6" s="252" t="s">
        <v>2154</v>
      </c>
    </row>
    <row r="7" spans="1:2">
      <c r="A7" s="253"/>
      <c r="B7" s="252"/>
    </row>
    <row r="8" spans="1:2">
      <c r="A8" s="253"/>
      <c r="B8" s="252"/>
    </row>
    <row r="9" spans="1:2">
      <c r="A9" s="253"/>
      <c r="B9" s="252"/>
    </row>
    <row r="10" spans="1:2">
      <c r="A10" s="253"/>
      <c r="B10" s="252"/>
    </row>
    <row r="11" spans="1:2">
      <c r="A11" s="253"/>
      <c r="B11" s="252"/>
    </row>
    <row r="12" spans="1:2">
      <c r="A12" s="253"/>
      <c r="B12" s="252"/>
    </row>
    <row r="13" spans="1:2">
      <c r="A13" s="253"/>
      <c r="B13" s="252"/>
    </row>
    <row r="14" spans="1:2">
      <c r="A14" s="253"/>
      <c r="B14" s="252"/>
    </row>
    <row r="15" spans="1:2">
      <c r="A15" s="253"/>
      <c r="B15" s="252"/>
    </row>
    <row r="16" spans="1:2">
      <c r="A16" s="253"/>
      <c r="B16" s="252"/>
    </row>
    <row r="17" spans="1:2">
      <c r="A17" s="253"/>
      <c r="B17" s="252"/>
    </row>
    <row r="18" spans="1:2">
      <c r="A18" s="253"/>
      <c r="B18" s="252"/>
    </row>
    <row r="19" spans="1:2">
      <c r="A19" s="253"/>
      <c r="B19" s="252"/>
    </row>
    <row r="20" spans="1:2" ht="19">
      <c r="A20" s="253"/>
      <c r="B20" s="363"/>
    </row>
    <row r="21" spans="1:2">
      <c r="A21" s="253"/>
      <c r="B21" s="362"/>
    </row>
    <row r="22" spans="1:2">
      <c r="A22" s="253"/>
      <c r="B22" s="362"/>
    </row>
    <row r="23" spans="1:2">
      <c r="A23" s="253"/>
      <c r="B23" s="362"/>
    </row>
    <row r="24" spans="1:2">
      <c r="A24" s="253"/>
      <c r="B24" s="362"/>
    </row>
    <row r="25" spans="1:2">
      <c r="A25" s="253"/>
      <c r="B25" s="362"/>
    </row>
    <row r="26" spans="1:2">
      <c r="A26" s="253"/>
      <c r="B26" s="362"/>
    </row>
    <row r="27" spans="1:2">
      <c r="A27" s="253"/>
      <c r="B27" s="362"/>
    </row>
    <row r="28" spans="1:2">
      <c r="A28" s="253"/>
      <c r="B28" s="362"/>
    </row>
    <row r="29" spans="1:2">
      <c r="A29" s="253"/>
      <c r="B29" s="362"/>
    </row>
    <row r="30" spans="1:2">
      <c r="A30" s="253"/>
      <c r="B30" s="362"/>
    </row>
    <row r="31" spans="1:2">
      <c r="A31" s="253"/>
      <c r="B31" s="362"/>
    </row>
    <row r="32" spans="1:2">
      <c r="A32" s="253"/>
      <c r="B32" s="362"/>
    </row>
    <row r="33" spans="1:2">
      <c r="A33" s="253"/>
      <c r="B33" s="362"/>
    </row>
    <row r="34" spans="1:2">
      <c r="A34" s="253"/>
      <c r="B34" s="362"/>
    </row>
    <row r="35" spans="1:2">
      <c r="A35" s="253"/>
      <c r="B35" s="362"/>
    </row>
  </sheetData>
  <mergeCells count="1">
    <mergeCell ref="B1:B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heetViews>
  <sheetFormatPr baseColWidth="10" defaultColWidth="11" defaultRowHeight="16"/>
  <cols>
    <col min="1" max="1" width="15.33203125" style="1" customWidth="1"/>
    <col min="2" max="2" width="15.1640625" style="1" bestFit="1" customWidth="1"/>
    <col min="3" max="3" width="12.33203125" style="49" bestFit="1" customWidth="1"/>
    <col min="4" max="4" width="37.5" style="3" customWidth="1"/>
    <col min="5" max="5" width="18.33203125" style="49" customWidth="1"/>
    <col min="6" max="6" width="79.83203125" style="4"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3" customWidth="1"/>
    <col min="16" max="16" width="38.1640625" style="3" customWidth="1"/>
    <col min="17" max="17" width="38" style="55" bestFit="1" customWidth="1"/>
  </cols>
  <sheetData>
    <row r="1" spans="1:21">
      <c r="G1" s="635" t="s">
        <v>1919</v>
      </c>
      <c r="H1" s="635"/>
      <c r="I1" s="635"/>
    </row>
    <row r="2" spans="1:21" ht="20">
      <c r="A2" s="11" t="s">
        <v>1419</v>
      </c>
      <c r="B2" s="11" t="s">
        <v>5</v>
      </c>
      <c r="C2" s="73" t="s">
        <v>1425</v>
      </c>
      <c r="D2" s="12" t="s">
        <v>1420</v>
      </c>
      <c r="E2" s="73" t="s">
        <v>1432</v>
      </c>
      <c r="F2" s="12" t="s">
        <v>211</v>
      </c>
      <c r="G2" s="11" t="s">
        <v>1917</v>
      </c>
      <c r="H2" s="11" t="s">
        <v>2063</v>
      </c>
      <c r="I2" s="11" t="s">
        <v>1918</v>
      </c>
      <c r="J2" s="11" t="s">
        <v>209</v>
      </c>
      <c r="K2" s="11" t="s">
        <v>2142</v>
      </c>
      <c r="L2" s="11" t="s">
        <v>4</v>
      </c>
      <c r="M2" s="11" t="s">
        <v>1238</v>
      </c>
      <c r="N2" s="69" t="s">
        <v>216</v>
      </c>
      <c r="O2" s="33" t="s">
        <v>2010</v>
      </c>
      <c r="P2" s="17" t="s">
        <v>1307</v>
      </c>
      <c r="Q2" s="174" t="s">
        <v>1959</v>
      </c>
      <c r="S2" s="636" t="s">
        <v>2064</v>
      </c>
      <c r="T2" s="636"/>
      <c r="U2" s="636"/>
    </row>
    <row r="3" spans="1:21" ht="85">
      <c r="A3" s="5" t="s">
        <v>100</v>
      </c>
      <c r="B3" s="56">
        <v>1.1000000000000001</v>
      </c>
      <c r="C3" s="74">
        <v>1.4</v>
      </c>
      <c r="D3" s="6" t="s">
        <v>43</v>
      </c>
      <c r="E3" s="74" t="s">
        <v>1429</v>
      </c>
      <c r="F3" s="7" t="s">
        <v>2076</v>
      </c>
      <c r="G3" s="358" t="s">
        <v>9</v>
      </c>
      <c r="H3" s="358" t="s">
        <v>9</v>
      </c>
      <c r="I3" s="358" t="s">
        <v>9</v>
      </c>
      <c r="J3" s="6" t="s">
        <v>2075</v>
      </c>
      <c r="K3" s="6" t="s">
        <v>2091</v>
      </c>
      <c r="L3" s="59" t="s">
        <v>1211</v>
      </c>
      <c r="M3" s="6"/>
      <c r="N3" s="356" t="s">
        <v>1287</v>
      </c>
      <c r="O3" s="34" t="s">
        <v>1422</v>
      </c>
      <c r="P3" s="70" t="s">
        <v>1254</v>
      </c>
      <c r="Q3" s="357" t="s">
        <v>1559</v>
      </c>
      <c r="S3" s="636"/>
      <c r="T3" s="636"/>
      <c r="U3" s="636"/>
    </row>
    <row r="4" spans="1:21" ht="51">
      <c r="A4" s="5" t="s">
        <v>100</v>
      </c>
      <c r="B4" s="56">
        <v>1.2</v>
      </c>
      <c r="C4" s="74">
        <v>1.5</v>
      </c>
      <c r="D4" s="6" t="s">
        <v>43</v>
      </c>
      <c r="E4" s="74" t="s">
        <v>1429</v>
      </c>
      <c r="F4" s="7" t="s">
        <v>1261</v>
      </c>
      <c r="G4" s="358" t="s">
        <v>9</v>
      </c>
      <c r="H4" s="358" t="s">
        <v>9</v>
      </c>
      <c r="I4" s="358" t="s">
        <v>12</v>
      </c>
      <c r="J4" s="6" t="s">
        <v>2075</v>
      </c>
      <c r="K4" s="6" t="s">
        <v>2091</v>
      </c>
      <c r="L4" s="59" t="s">
        <v>1211</v>
      </c>
      <c r="M4" s="6"/>
      <c r="N4" s="356" t="s">
        <v>1287</v>
      </c>
      <c r="O4" s="34"/>
      <c r="P4" s="70" t="s">
        <v>214</v>
      </c>
      <c r="Q4" s="357" t="s">
        <v>1559</v>
      </c>
      <c r="S4" s="636"/>
      <c r="T4" s="636"/>
      <c r="U4" s="636"/>
    </row>
    <row r="5" spans="1:21" ht="68">
      <c r="A5" s="5" t="s">
        <v>100</v>
      </c>
      <c r="B5" s="56">
        <v>1.3</v>
      </c>
      <c r="C5" s="74">
        <v>1.1000000000000001</v>
      </c>
      <c r="D5" s="6" t="s">
        <v>43</v>
      </c>
      <c r="E5" s="74" t="s">
        <v>1429</v>
      </c>
      <c r="F5" s="7" t="s">
        <v>1423</v>
      </c>
      <c r="G5" s="358" t="s">
        <v>9</v>
      </c>
      <c r="H5" s="358" t="s">
        <v>12</v>
      </c>
      <c r="I5" s="358" t="s">
        <v>12</v>
      </c>
      <c r="J5" s="6" t="s">
        <v>2075</v>
      </c>
      <c r="K5" s="6" t="s">
        <v>2090</v>
      </c>
      <c r="L5" s="59" t="s">
        <v>1211</v>
      </c>
      <c r="M5" s="6"/>
      <c r="N5" s="356" t="s">
        <v>1334</v>
      </c>
      <c r="O5" s="34"/>
      <c r="P5" s="70" t="s">
        <v>1259</v>
      </c>
      <c r="Q5" s="357" t="s">
        <v>1559</v>
      </c>
      <c r="S5" s="636"/>
      <c r="T5" s="636"/>
      <c r="U5" s="636"/>
    </row>
    <row r="6" spans="1:21" ht="68">
      <c r="A6" s="5" t="s">
        <v>100</v>
      </c>
      <c r="B6" s="56">
        <v>1.4</v>
      </c>
      <c r="C6" s="74">
        <v>1.7</v>
      </c>
      <c r="D6" s="6" t="s">
        <v>43</v>
      </c>
      <c r="E6" s="74" t="s">
        <v>1431</v>
      </c>
      <c r="F6" s="7" t="s">
        <v>1265</v>
      </c>
      <c r="G6" s="358" t="s">
        <v>9</v>
      </c>
      <c r="H6" s="358" t="s">
        <v>9</v>
      </c>
      <c r="I6" s="358" t="s">
        <v>12</v>
      </c>
      <c r="J6" s="6" t="s">
        <v>2075</v>
      </c>
      <c r="K6" s="6"/>
      <c r="L6" s="59" t="s">
        <v>1211</v>
      </c>
      <c r="M6" s="6" t="s">
        <v>2117</v>
      </c>
      <c r="N6" s="356" t="s">
        <v>1385</v>
      </c>
      <c r="O6" s="34"/>
      <c r="P6" s="70"/>
      <c r="Q6" s="357" t="s">
        <v>1559</v>
      </c>
      <c r="S6" s="636"/>
      <c r="T6" s="636"/>
      <c r="U6" s="636"/>
    </row>
    <row r="7" spans="1:21" ht="68">
      <c r="A7" s="5" t="s">
        <v>100</v>
      </c>
      <c r="B7" s="56">
        <v>1.5</v>
      </c>
      <c r="C7" s="74">
        <v>1.6</v>
      </c>
      <c r="D7" s="6" t="s">
        <v>43</v>
      </c>
      <c r="E7" s="74" t="s">
        <v>1473</v>
      </c>
      <c r="F7" s="7" t="s">
        <v>1263</v>
      </c>
      <c r="G7" s="358" t="s">
        <v>9</v>
      </c>
      <c r="H7" s="358" t="s">
        <v>9</v>
      </c>
      <c r="I7" s="358" t="s">
        <v>9</v>
      </c>
      <c r="J7" s="6" t="s">
        <v>2075</v>
      </c>
      <c r="K7" s="6"/>
      <c r="L7" s="59" t="s">
        <v>1211</v>
      </c>
      <c r="M7" s="6"/>
      <c r="N7" s="356" t="s">
        <v>1385</v>
      </c>
      <c r="O7" s="34"/>
      <c r="P7" s="70"/>
      <c r="Q7" s="357" t="s">
        <v>1559</v>
      </c>
    </row>
    <row r="8" spans="1:21" ht="51">
      <c r="A8" s="5" t="s">
        <v>100</v>
      </c>
      <c r="B8" s="56">
        <v>2.1</v>
      </c>
      <c r="C8" s="74">
        <v>2.1</v>
      </c>
      <c r="D8" s="6" t="s">
        <v>44</v>
      </c>
      <c r="E8" s="74" t="s">
        <v>1429</v>
      </c>
      <c r="F8" s="7" t="s">
        <v>1268</v>
      </c>
      <c r="G8" s="358" t="s">
        <v>9</v>
      </c>
      <c r="H8" s="358" t="s">
        <v>9</v>
      </c>
      <c r="I8" s="358" t="s">
        <v>9</v>
      </c>
      <c r="J8" s="6" t="s">
        <v>2075</v>
      </c>
      <c r="K8" s="6" t="s">
        <v>2091</v>
      </c>
      <c r="L8" s="59" t="s">
        <v>1211</v>
      </c>
      <c r="M8" s="6">
        <v>2.4</v>
      </c>
      <c r="N8" s="356" t="s">
        <v>1335</v>
      </c>
      <c r="O8" s="34"/>
      <c r="P8" s="70"/>
      <c r="Q8" s="357" t="s">
        <v>1559</v>
      </c>
    </row>
    <row r="9" spans="1:21" ht="68">
      <c r="A9" s="5" t="s">
        <v>100</v>
      </c>
      <c r="B9" s="56">
        <v>2.2000000000000002</v>
      </c>
      <c r="C9" s="74">
        <v>2.4</v>
      </c>
      <c r="D9" s="6" t="s">
        <v>44</v>
      </c>
      <c r="E9" s="74" t="s">
        <v>1429</v>
      </c>
      <c r="F9" s="7" t="s">
        <v>1270</v>
      </c>
      <c r="G9" s="358" t="s">
        <v>9</v>
      </c>
      <c r="H9" s="358" t="s">
        <v>9</v>
      </c>
      <c r="I9" s="358" t="s">
        <v>12</v>
      </c>
      <c r="J9" s="6" t="s">
        <v>2075</v>
      </c>
      <c r="K9" s="6" t="s">
        <v>2092</v>
      </c>
      <c r="L9" s="59" t="s">
        <v>1211</v>
      </c>
      <c r="M9" s="6"/>
      <c r="N9" s="356" t="s">
        <v>1335</v>
      </c>
      <c r="O9" s="34"/>
      <c r="P9" s="70" t="s">
        <v>364</v>
      </c>
      <c r="Q9" s="357" t="s">
        <v>1559</v>
      </c>
    </row>
    <row r="10" spans="1:21" ht="68">
      <c r="A10" s="5" t="s">
        <v>100</v>
      </c>
      <c r="B10" s="56">
        <v>2.2999999999999998</v>
      </c>
      <c r="C10" s="74">
        <v>2.2000000000000002</v>
      </c>
      <c r="D10" s="6" t="s">
        <v>44</v>
      </c>
      <c r="E10" s="74" t="s">
        <v>1429</v>
      </c>
      <c r="F10" s="7" t="s">
        <v>1272</v>
      </c>
      <c r="G10" s="358" t="s">
        <v>9</v>
      </c>
      <c r="H10" s="358" t="s">
        <v>9</v>
      </c>
      <c r="I10" s="358" t="s">
        <v>9</v>
      </c>
      <c r="J10" s="6" t="s">
        <v>2075</v>
      </c>
      <c r="K10" s="6"/>
      <c r="L10" s="59" t="s">
        <v>1211</v>
      </c>
      <c r="M10" s="6"/>
      <c r="N10" s="356" t="s">
        <v>1390</v>
      </c>
      <c r="O10" s="34"/>
      <c r="P10" s="70"/>
      <c r="Q10" s="357" t="s">
        <v>1559</v>
      </c>
    </row>
    <row r="11" spans="1:21" ht="51">
      <c r="A11" s="5" t="s">
        <v>100</v>
      </c>
      <c r="B11" s="56">
        <v>2.4</v>
      </c>
      <c r="C11" s="74">
        <v>2.6</v>
      </c>
      <c r="D11" s="6" t="s">
        <v>44</v>
      </c>
      <c r="E11" s="74" t="s">
        <v>1473</v>
      </c>
      <c r="F11" s="7" t="s">
        <v>1275</v>
      </c>
      <c r="G11" s="358" t="s">
        <v>9</v>
      </c>
      <c r="H11" s="358" t="s">
        <v>9</v>
      </c>
      <c r="I11" s="358" t="s">
        <v>9</v>
      </c>
      <c r="J11" s="6" t="s">
        <v>2075</v>
      </c>
      <c r="K11" s="6" t="s">
        <v>2093</v>
      </c>
      <c r="L11" s="59" t="s">
        <v>1211</v>
      </c>
      <c r="M11" s="6"/>
      <c r="N11" s="356" t="s">
        <v>1386</v>
      </c>
      <c r="O11" s="34"/>
      <c r="P11" s="70"/>
      <c r="Q11" s="357" t="s">
        <v>1559</v>
      </c>
    </row>
    <row r="12" spans="1:21" ht="67.5" customHeight="1">
      <c r="A12" s="5" t="s">
        <v>100</v>
      </c>
      <c r="B12" s="56">
        <v>3.1</v>
      </c>
      <c r="C12" s="74">
        <v>3.1</v>
      </c>
      <c r="D12" s="6" t="s">
        <v>45</v>
      </c>
      <c r="E12" s="74" t="s">
        <v>1430</v>
      </c>
      <c r="F12" s="7" t="s">
        <v>1391</v>
      </c>
      <c r="G12" s="358" t="s">
        <v>9</v>
      </c>
      <c r="H12" s="358" t="s">
        <v>9</v>
      </c>
      <c r="I12" s="358" t="s">
        <v>12</v>
      </c>
      <c r="J12" s="6" t="s">
        <v>2075</v>
      </c>
      <c r="K12" s="6" t="s">
        <v>2094</v>
      </c>
      <c r="L12" s="59" t="s">
        <v>1211</v>
      </c>
      <c r="M12" s="6">
        <v>11.2</v>
      </c>
      <c r="N12" s="356" t="s">
        <v>1336</v>
      </c>
      <c r="O12" s="34"/>
      <c r="P12" s="70"/>
      <c r="Q12" s="357" t="s">
        <v>1558</v>
      </c>
    </row>
    <row r="13" spans="1:21" ht="71.25" customHeight="1">
      <c r="A13" s="5" t="s">
        <v>100</v>
      </c>
      <c r="B13" s="56">
        <v>3.2</v>
      </c>
      <c r="C13" s="74">
        <v>3.2</v>
      </c>
      <c r="D13" s="6" t="s">
        <v>45</v>
      </c>
      <c r="E13" s="74" t="s">
        <v>1430</v>
      </c>
      <c r="F13" s="7" t="s">
        <v>1276</v>
      </c>
      <c r="G13" s="358" t="s">
        <v>9</v>
      </c>
      <c r="H13" s="358" t="s">
        <v>9</v>
      </c>
      <c r="I13" s="358" t="s">
        <v>12</v>
      </c>
      <c r="J13" s="6" t="s">
        <v>2075</v>
      </c>
      <c r="K13" s="6"/>
      <c r="L13" s="59" t="s">
        <v>1211</v>
      </c>
      <c r="M13" s="6"/>
      <c r="N13" s="356" t="s">
        <v>1336</v>
      </c>
      <c r="O13" s="34"/>
      <c r="P13" s="70"/>
      <c r="Q13" s="357" t="s">
        <v>1558</v>
      </c>
    </row>
    <row r="14" spans="1:21" ht="68">
      <c r="A14" s="5" t="s">
        <v>100</v>
      </c>
      <c r="B14" s="56">
        <v>3.3</v>
      </c>
      <c r="C14" s="74">
        <v>3.7</v>
      </c>
      <c r="D14" s="6" t="s">
        <v>45</v>
      </c>
      <c r="E14" s="74" t="s">
        <v>1473</v>
      </c>
      <c r="F14" s="7" t="s">
        <v>1440</v>
      </c>
      <c r="G14" s="358" t="s">
        <v>9</v>
      </c>
      <c r="H14" s="358" t="s">
        <v>9</v>
      </c>
      <c r="I14" s="358" t="s">
        <v>12</v>
      </c>
      <c r="J14" s="6" t="s">
        <v>2075</v>
      </c>
      <c r="K14" s="6" t="s">
        <v>2094</v>
      </c>
      <c r="L14" s="59" t="s">
        <v>1211</v>
      </c>
      <c r="M14" s="6">
        <v>6.1</v>
      </c>
      <c r="N14" s="356" t="s">
        <v>1337</v>
      </c>
      <c r="O14" s="34"/>
      <c r="P14" s="70"/>
      <c r="Q14" s="357" t="s">
        <v>1558</v>
      </c>
    </row>
    <row r="15" spans="1:21" ht="51">
      <c r="A15" s="5" t="s">
        <v>100</v>
      </c>
      <c r="B15" s="56">
        <v>3.4</v>
      </c>
      <c r="C15" s="74">
        <v>3.6</v>
      </c>
      <c r="D15" s="6" t="s">
        <v>45</v>
      </c>
      <c r="E15" s="74" t="s">
        <v>1473</v>
      </c>
      <c r="F15" s="7" t="s">
        <v>1392</v>
      </c>
      <c r="G15" s="358" t="s">
        <v>9</v>
      </c>
      <c r="H15" s="358" t="s">
        <v>9</v>
      </c>
      <c r="I15" s="358" t="s">
        <v>12</v>
      </c>
      <c r="J15" s="6" t="s">
        <v>2075</v>
      </c>
      <c r="K15" s="6"/>
      <c r="L15" s="59" t="s">
        <v>1211</v>
      </c>
      <c r="M15" s="6"/>
      <c r="N15" s="356" t="s">
        <v>1340</v>
      </c>
      <c r="O15" s="34"/>
      <c r="P15" s="70" t="s">
        <v>34</v>
      </c>
      <c r="Q15" s="357" t="s">
        <v>1558</v>
      </c>
    </row>
    <row r="16" spans="1:21" ht="85">
      <c r="A16" s="5" t="s">
        <v>100</v>
      </c>
      <c r="B16" s="56">
        <v>3.5</v>
      </c>
      <c r="C16" s="74">
        <v>3.4</v>
      </c>
      <c r="D16" s="6" t="s">
        <v>45</v>
      </c>
      <c r="E16" s="74" t="s">
        <v>1431</v>
      </c>
      <c r="F16" s="7" t="s">
        <v>1277</v>
      </c>
      <c r="G16" s="358" t="s">
        <v>9</v>
      </c>
      <c r="H16" s="358" t="s">
        <v>9</v>
      </c>
      <c r="I16" s="358" t="s">
        <v>9</v>
      </c>
      <c r="J16" s="6" t="s">
        <v>2075</v>
      </c>
      <c r="K16" s="6"/>
      <c r="L16" s="59" t="s">
        <v>1211</v>
      </c>
      <c r="M16" s="6"/>
      <c r="N16" s="356" t="s">
        <v>1341</v>
      </c>
      <c r="O16" s="34"/>
      <c r="P16" s="70"/>
      <c r="Q16" s="357" t="s">
        <v>1558</v>
      </c>
    </row>
    <row r="17" spans="1:17" ht="85">
      <c r="A17" s="5" t="s">
        <v>100</v>
      </c>
      <c r="B17" s="56">
        <v>3.6</v>
      </c>
      <c r="C17" s="74">
        <v>3.5</v>
      </c>
      <c r="D17" s="6" t="s">
        <v>45</v>
      </c>
      <c r="E17" s="74" t="s">
        <v>1431</v>
      </c>
      <c r="F17" s="7" t="s">
        <v>1278</v>
      </c>
      <c r="G17" s="358" t="s">
        <v>9</v>
      </c>
      <c r="H17" s="358" t="s">
        <v>9</v>
      </c>
      <c r="I17" s="358" t="s">
        <v>9</v>
      </c>
      <c r="J17" s="6" t="s">
        <v>2075</v>
      </c>
      <c r="K17" s="6"/>
      <c r="L17" s="59" t="s">
        <v>1211</v>
      </c>
      <c r="M17" s="6"/>
      <c r="N17" s="356" t="s">
        <v>1341</v>
      </c>
      <c r="O17" s="34"/>
      <c r="P17" s="70"/>
      <c r="Q17" s="357" t="s">
        <v>1558</v>
      </c>
    </row>
    <row r="18" spans="1:17" ht="68">
      <c r="A18" s="5" t="s">
        <v>100</v>
      </c>
      <c r="B18" s="56">
        <v>4.0999999999999996</v>
      </c>
      <c r="C18" s="74">
        <v>4.2</v>
      </c>
      <c r="D18" s="6" t="s">
        <v>48</v>
      </c>
      <c r="E18" s="74" t="s">
        <v>1431</v>
      </c>
      <c r="F18" s="7" t="s">
        <v>1279</v>
      </c>
      <c r="G18" s="358" t="s">
        <v>9</v>
      </c>
      <c r="H18" s="358" t="s">
        <v>9</v>
      </c>
      <c r="I18" s="358" t="s">
        <v>9</v>
      </c>
      <c r="J18" s="6" t="s">
        <v>2077</v>
      </c>
      <c r="K18" s="6" t="s">
        <v>2095</v>
      </c>
      <c r="L18" s="59" t="s">
        <v>1211</v>
      </c>
      <c r="M18" s="6" t="s">
        <v>2118</v>
      </c>
      <c r="N18" s="356" t="s">
        <v>1352</v>
      </c>
      <c r="O18" s="34"/>
      <c r="P18" s="70"/>
      <c r="Q18" s="357" t="s">
        <v>1559</v>
      </c>
    </row>
    <row r="19" spans="1:17" ht="51">
      <c r="A19" s="5" t="s">
        <v>100</v>
      </c>
      <c r="B19" s="56">
        <v>4.2</v>
      </c>
      <c r="C19" s="74">
        <v>4.3</v>
      </c>
      <c r="D19" s="6" t="s">
        <v>48</v>
      </c>
      <c r="E19" s="74" t="s">
        <v>1431</v>
      </c>
      <c r="F19" s="7" t="s">
        <v>1281</v>
      </c>
      <c r="G19" s="358" t="s">
        <v>9</v>
      </c>
      <c r="H19" s="358" t="s">
        <v>9</v>
      </c>
      <c r="I19" s="358" t="s">
        <v>9</v>
      </c>
      <c r="J19" s="6" t="s">
        <v>2075</v>
      </c>
      <c r="K19" s="6"/>
      <c r="L19" s="59" t="s">
        <v>1211</v>
      </c>
      <c r="M19" s="6"/>
      <c r="N19" s="356" t="s">
        <v>1353</v>
      </c>
      <c r="O19" s="34"/>
      <c r="P19" s="70" t="s">
        <v>1282</v>
      </c>
      <c r="Q19" s="357" t="s">
        <v>1559</v>
      </c>
    </row>
    <row r="20" spans="1:17" ht="51">
      <c r="A20" s="5" t="s">
        <v>100</v>
      </c>
      <c r="B20" s="56">
        <v>4.3</v>
      </c>
      <c r="C20" s="74">
        <v>4.0999999999999996</v>
      </c>
      <c r="D20" s="6" t="s">
        <v>48</v>
      </c>
      <c r="E20" s="74" t="s">
        <v>1430</v>
      </c>
      <c r="F20" s="7" t="s">
        <v>1280</v>
      </c>
      <c r="G20" s="358" t="s">
        <v>9</v>
      </c>
      <c r="H20" s="358" t="s">
        <v>9</v>
      </c>
      <c r="I20" s="358" t="s">
        <v>12</v>
      </c>
      <c r="J20" s="6" t="s">
        <v>2075</v>
      </c>
      <c r="K20" s="6"/>
      <c r="L20" s="59" t="s">
        <v>1211</v>
      </c>
      <c r="M20" s="6"/>
      <c r="N20" s="356" t="s">
        <v>1350</v>
      </c>
      <c r="O20" s="34"/>
      <c r="P20" s="70" t="s">
        <v>54</v>
      </c>
      <c r="Q20" s="357" t="s">
        <v>1559</v>
      </c>
    </row>
    <row r="21" spans="1:17" ht="85">
      <c r="A21" s="5" t="s">
        <v>100</v>
      </c>
      <c r="B21" s="56">
        <v>4.4000000000000004</v>
      </c>
      <c r="C21" s="74">
        <v>4.8</v>
      </c>
      <c r="D21" s="6" t="s">
        <v>48</v>
      </c>
      <c r="E21" s="74" t="s">
        <v>1430</v>
      </c>
      <c r="F21" s="7" t="s">
        <v>51</v>
      </c>
      <c r="G21" s="358" t="s">
        <v>9</v>
      </c>
      <c r="H21" s="358" t="s">
        <v>9</v>
      </c>
      <c r="I21" s="358" t="s">
        <v>12</v>
      </c>
      <c r="J21" s="6" t="s">
        <v>2075</v>
      </c>
      <c r="K21" s="6" t="s">
        <v>2097</v>
      </c>
      <c r="L21" s="59" t="s">
        <v>1211</v>
      </c>
      <c r="M21" s="6" t="s">
        <v>2120</v>
      </c>
      <c r="N21" s="356" t="s">
        <v>1351</v>
      </c>
      <c r="O21" s="34"/>
      <c r="P21" s="70" t="s">
        <v>53</v>
      </c>
      <c r="Q21" s="357" t="s">
        <v>1559</v>
      </c>
    </row>
    <row r="22" spans="1:17" ht="85">
      <c r="A22" s="5" t="s">
        <v>100</v>
      </c>
      <c r="B22" s="56">
        <v>4.5</v>
      </c>
      <c r="C22" s="74">
        <v>4.9000000000000004</v>
      </c>
      <c r="D22" s="6" t="s">
        <v>48</v>
      </c>
      <c r="E22" s="74" t="s">
        <v>1430</v>
      </c>
      <c r="F22" s="7" t="s">
        <v>1424</v>
      </c>
      <c r="G22" s="358" t="s">
        <v>9</v>
      </c>
      <c r="H22" s="358" t="s">
        <v>9</v>
      </c>
      <c r="I22" s="358" t="s">
        <v>12</v>
      </c>
      <c r="J22" s="6" t="s">
        <v>2075</v>
      </c>
      <c r="K22" s="6" t="s">
        <v>2097</v>
      </c>
      <c r="L22" s="59" t="s">
        <v>1211</v>
      </c>
      <c r="M22" s="6" t="s">
        <v>2121</v>
      </c>
      <c r="N22" s="356" t="s">
        <v>1351</v>
      </c>
      <c r="O22" s="34"/>
      <c r="P22" s="70"/>
      <c r="Q22" s="357" t="s">
        <v>1559</v>
      </c>
    </row>
    <row r="23" spans="1:17" ht="68">
      <c r="A23" s="5" t="s">
        <v>100</v>
      </c>
      <c r="B23" s="56">
        <v>4.5999999999999996</v>
      </c>
      <c r="C23" s="74">
        <v>4.5</v>
      </c>
      <c r="D23" s="6" t="s">
        <v>48</v>
      </c>
      <c r="E23" s="74" t="s">
        <v>1431</v>
      </c>
      <c r="F23" s="7" t="s">
        <v>1387</v>
      </c>
      <c r="G23" s="358" t="s">
        <v>9</v>
      </c>
      <c r="H23" s="358" t="s">
        <v>12</v>
      </c>
      <c r="I23" s="358" t="s">
        <v>12</v>
      </c>
      <c r="J23" s="6" t="s">
        <v>2075</v>
      </c>
      <c r="K23" s="6" t="s">
        <v>2096</v>
      </c>
      <c r="L23" s="59" t="s">
        <v>1211</v>
      </c>
      <c r="M23" s="6" t="s">
        <v>2119</v>
      </c>
      <c r="N23" s="356" t="s">
        <v>1371</v>
      </c>
      <c r="O23" s="34"/>
      <c r="P23" s="70"/>
      <c r="Q23" s="357" t="s">
        <v>1559</v>
      </c>
    </row>
    <row r="24" spans="1:17" ht="68">
      <c r="A24" s="5" t="s">
        <v>100</v>
      </c>
      <c r="B24" s="56">
        <v>4.7</v>
      </c>
      <c r="C24" s="74">
        <v>4.4000000000000004</v>
      </c>
      <c r="D24" s="6" t="s">
        <v>48</v>
      </c>
      <c r="E24" s="74" t="s">
        <v>1431</v>
      </c>
      <c r="F24" s="7" t="s">
        <v>1283</v>
      </c>
      <c r="G24" s="358" t="s">
        <v>9</v>
      </c>
      <c r="H24" s="358" t="s">
        <v>12</v>
      </c>
      <c r="I24" s="358" t="s">
        <v>12</v>
      </c>
      <c r="J24" s="6" t="s">
        <v>2078</v>
      </c>
      <c r="K24" s="6" t="s">
        <v>2095</v>
      </c>
      <c r="L24" s="59" t="s">
        <v>1211</v>
      </c>
      <c r="M24" s="6"/>
      <c r="N24" s="356" t="s">
        <v>1352</v>
      </c>
      <c r="O24" s="34"/>
      <c r="P24" s="70"/>
      <c r="Q24" s="357" t="s">
        <v>1559</v>
      </c>
    </row>
    <row r="25" spans="1:17" ht="102">
      <c r="A25" s="5" t="s">
        <v>100</v>
      </c>
      <c r="B25" s="56">
        <v>4.8</v>
      </c>
      <c r="C25" s="74">
        <v>4.7</v>
      </c>
      <c r="D25" s="6" t="s">
        <v>48</v>
      </c>
      <c r="E25" s="74" t="s">
        <v>1431</v>
      </c>
      <c r="F25" s="7" t="s">
        <v>1284</v>
      </c>
      <c r="G25" s="358" t="s">
        <v>9</v>
      </c>
      <c r="H25" s="358" t="s">
        <v>9</v>
      </c>
      <c r="I25" s="358" t="s">
        <v>12</v>
      </c>
      <c r="J25" s="6" t="s">
        <v>2075</v>
      </c>
      <c r="K25" s="6"/>
      <c r="L25" s="59" t="s">
        <v>1211</v>
      </c>
      <c r="M25" s="6"/>
      <c r="N25" s="356" t="s">
        <v>1354</v>
      </c>
      <c r="O25" s="34"/>
      <c r="P25" s="70"/>
      <c r="Q25" s="357" t="s">
        <v>1559</v>
      </c>
    </row>
    <row r="26" spans="1:17" ht="153">
      <c r="A26" s="5" t="s">
        <v>100</v>
      </c>
      <c r="B26" s="56">
        <v>5.0999999999999996</v>
      </c>
      <c r="C26" s="74">
        <v>5.0999999999999996</v>
      </c>
      <c r="D26" s="6" t="s">
        <v>63</v>
      </c>
      <c r="E26" s="74" t="s">
        <v>1431</v>
      </c>
      <c r="F26" s="7" t="s">
        <v>1288</v>
      </c>
      <c r="G26" s="358" t="s">
        <v>9</v>
      </c>
      <c r="H26" s="358" t="s">
        <v>9</v>
      </c>
      <c r="I26" s="358" t="s">
        <v>9</v>
      </c>
      <c r="J26" s="6" t="s">
        <v>2075</v>
      </c>
      <c r="K26" s="6" t="s">
        <v>2098</v>
      </c>
      <c r="L26" s="59" t="s">
        <v>1211</v>
      </c>
      <c r="M26" s="6">
        <v>2.2000000000000002</v>
      </c>
      <c r="N26" s="356" t="s">
        <v>1329</v>
      </c>
      <c r="O26" s="34"/>
      <c r="P26" s="70"/>
      <c r="Q26" s="357" t="s">
        <v>1559</v>
      </c>
    </row>
    <row r="27" spans="1:17" ht="51">
      <c r="A27" s="5" t="s">
        <v>100</v>
      </c>
      <c r="B27" s="56">
        <v>5.2</v>
      </c>
      <c r="C27" s="74">
        <v>5.2</v>
      </c>
      <c r="D27" s="6" t="s">
        <v>63</v>
      </c>
      <c r="E27" s="74" t="s">
        <v>1431</v>
      </c>
      <c r="F27" s="7" t="s">
        <v>1289</v>
      </c>
      <c r="G27" s="358" t="s">
        <v>9</v>
      </c>
      <c r="H27" s="358" t="s">
        <v>9</v>
      </c>
      <c r="I27" s="358" t="s">
        <v>12</v>
      </c>
      <c r="J27" s="6" t="s">
        <v>2075</v>
      </c>
      <c r="K27" s="6"/>
      <c r="L27" s="59" t="s">
        <v>1211</v>
      </c>
      <c r="M27" s="6"/>
      <c r="N27" s="356" t="s">
        <v>1333</v>
      </c>
      <c r="O27" s="34"/>
      <c r="P27" s="70"/>
      <c r="Q27" s="357" t="s">
        <v>1559</v>
      </c>
    </row>
    <row r="28" spans="1:17" ht="51">
      <c r="A28" s="5" t="s">
        <v>100</v>
      </c>
      <c r="B28" s="56">
        <v>5.3</v>
      </c>
      <c r="C28" s="74">
        <v>5.3</v>
      </c>
      <c r="D28" s="6" t="s">
        <v>63</v>
      </c>
      <c r="E28" s="74" t="s">
        <v>1431</v>
      </c>
      <c r="F28" s="7" t="s">
        <v>1290</v>
      </c>
      <c r="G28" s="358" t="s">
        <v>9</v>
      </c>
      <c r="H28" s="358" t="s">
        <v>9</v>
      </c>
      <c r="I28" s="358" t="s">
        <v>12</v>
      </c>
      <c r="J28" s="6" t="s">
        <v>2075</v>
      </c>
      <c r="K28" s="6"/>
      <c r="L28" s="59" t="s">
        <v>1211</v>
      </c>
      <c r="M28" s="6"/>
      <c r="N28" s="356" t="s">
        <v>1331</v>
      </c>
      <c r="O28" s="34"/>
      <c r="P28" s="70"/>
      <c r="Q28" s="357" t="s">
        <v>1559</v>
      </c>
    </row>
    <row r="29" spans="1:17" ht="51">
      <c r="A29" s="5" t="s">
        <v>100</v>
      </c>
      <c r="B29" s="56">
        <v>5.4</v>
      </c>
      <c r="C29" s="74">
        <v>5.5</v>
      </c>
      <c r="D29" s="6" t="s">
        <v>63</v>
      </c>
      <c r="E29" s="74" t="s">
        <v>1430</v>
      </c>
      <c r="F29" s="7" t="s">
        <v>1291</v>
      </c>
      <c r="G29" s="358" t="s">
        <v>9</v>
      </c>
      <c r="H29" s="358" t="s">
        <v>9</v>
      </c>
      <c r="I29" s="358" t="s">
        <v>12</v>
      </c>
      <c r="J29" s="6" t="s">
        <v>2075</v>
      </c>
      <c r="K29" s="6" t="s">
        <v>2099</v>
      </c>
      <c r="L29" s="59" t="s">
        <v>1211</v>
      </c>
      <c r="M29" s="6">
        <v>11.5</v>
      </c>
      <c r="N29" s="356" t="s">
        <v>1331</v>
      </c>
      <c r="O29" s="34"/>
      <c r="P29" s="70"/>
      <c r="Q29" s="357" t="s">
        <v>1559</v>
      </c>
    </row>
    <row r="30" spans="1:17" ht="51">
      <c r="A30" s="5" t="s">
        <v>100</v>
      </c>
      <c r="B30" s="56">
        <v>6.1</v>
      </c>
      <c r="C30" s="74">
        <v>6.2</v>
      </c>
      <c r="D30" s="6" t="s">
        <v>73</v>
      </c>
      <c r="E30" s="74" t="s">
        <v>1430</v>
      </c>
      <c r="F30" s="7" t="s">
        <v>1393</v>
      </c>
      <c r="G30" s="358" t="s">
        <v>9</v>
      </c>
      <c r="H30" s="358" t="s">
        <v>9</v>
      </c>
      <c r="I30" s="358" t="s">
        <v>9</v>
      </c>
      <c r="J30" s="6" t="s">
        <v>2075</v>
      </c>
      <c r="K30" s="6" t="s">
        <v>2100</v>
      </c>
      <c r="L30" s="59" t="s">
        <v>1212</v>
      </c>
      <c r="M30" s="6" t="s">
        <v>2122</v>
      </c>
      <c r="N30" s="356" t="s">
        <v>1355</v>
      </c>
      <c r="O30" s="34"/>
      <c r="P30" s="70"/>
      <c r="Q30" s="357" t="s">
        <v>1558</v>
      </c>
    </row>
    <row r="31" spans="1:17" ht="51">
      <c r="A31" s="5" t="s">
        <v>100</v>
      </c>
      <c r="B31" s="56">
        <v>6.2</v>
      </c>
      <c r="C31" s="74">
        <v>6.3</v>
      </c>
      <c r="D31" s="6" t="s">
        <v>73</v>
      </c>
      <c r="E31" s="74" t="s">
        <v>1430</v>
      </c>
      <c r="F31" s="7" t="s">
        <v>1421</v>
      </c>
      <c r="G31" s="358" t="s">
        <v>9</v>
      </c>
      <c r="H31" s="358" t="s">
        <v>9</v>
      </c>
      <c r="I31" s="358" t="s">
        <v>12</v>
      </c>
      <c r="J31" s="6" t="s">
        <v>2075</v>
      </c>
      <c r="K31" s="6" t="s">
        <v>2100</v>
      </c>
      <c r="L31" s="59" t="s">
        <v>1212</v>
      </c>
      <c r="M31" s="6" t="s">
        <v>2123</v>
      </c>
      <c r="N31" s="356" t="s">
        <v>1356</v>
      </c>
      <c r="O31" s="34"/>
      <c r="P31" s="70"/>
      <c r="Q31" s="357" t="s">
        <v>1558</v>
      </c>
    </row>
    <row r="32" spans="1:17" ht="51">
      <c r="A32" s="5" t="s">
        <v>100</v>
      </c>
      <c r="B32" s="56">
        <v>6.3</v>
      </c>
      <c r="C32" s="74">
        <v>6.4</v>
      </c>
      <c r="D32" s="6" t="s">
        <v>73</v>
      </c>
      <c r="E32" s="74" t="s">
        <v>1430</v>
      </c>
      <c r="F32" s="7" t="s">
        <v>1292</v>
      </c>
      <c r="G32" s="358" t="s">
        <v>9</v>
      </c>
      <c r="H32" s="358" t="s">
        <v>9</v>
      </c>
      <c r="I32" s="358" t="s">
        <v>12</v>
      </c>
      <c r="J32" s="6" t="s">
        <v>2075</v>
      </c>
      <c r="K32" s="6" t="s">
        <v>2101</v>
      </c>
      <c r="L32" s="59" t="s">
        <v>1212</v>
      </c>
      <c r="M32" s="6">
        <v>10.7</v>
      </c>
      <c r="N32" s="356" t="s">
        <v>1357</v>
      </c>
      <c r="O32" s="34"/>
      <c r="P32" s="70"/>
      <c r="Q32" s="357" t="s">
        <v>1558</v>
      </c>
    </row>
    <row r="33" spans="1:17" ht="51">
      <c r="A33" s="5" t="s">
        <v>100</v>
      </c>
      <c r="B33" s="56">
        <v>6.4</v>
      </c>
      <c r="C33" s="74">
        <v>6.5</v>
      </c>
      <c r="D33" s="6" t="s">
        <v>73</v>
      </c>
      <c r="E33" s="74" t="s">
        <v>1430</v>
      </c>
      <c r="F33" s="7" t="s">
        <v>1293</v>
      </c>
      <c r="G33" s="358" t="s">
        <v>9</v>
      </c>
      <c r="H33" s="358" t="s">
        <v>9</v>
      </c>
      <c r="I33" s="358" t="s">
        <v>12</v>
      </c>
      <c r="J33" s="6" t="s">
        <v>2075</v>
      </c>
      <c r="K33" s="6"/>
      <c r="L33" s="59" t="s">
        <v>1212</v>
      </c>
      <c r="M33" s="6"/>
      <c r="N33" s="356" t="s">
        <v>1357</v>
      </c>
      <c r="O33" s="34"/>
      <c r="P33" s="70"/>
      <c r="Q33" s="357" t="s">
        <v>1558</v>
      </c>
    </row>
    <row r="34" spans="1:17" ht="85">
      <c r="A34" s="5" t="s">
        <v>100</v>
      </c>
      <c r="B34" s="56">
        <v>6.5</v>
      </c>
      <c r="C34" s="74">
        <v>6.7</v>
      </c>
      <c r="D34" s="6" t="s">
        <v>73</v>
      </c>
      <c r="E34" s="74" t="s">
        <v>1430</v>
      </c>
      <c r="F34" s="7" t="s">
        <v>1294</v>
      </c>
      <c r="G34" s="358" t="s">
        <v>9</v>
      </c>
      <c r="H34" s="358" t="s">
        <v>9</v>
      </c>
      <c r="I34" s="358" t="s">
        <v>12</v>
      </c>
      <c r="J34" s="6" t="s">
        <v>2075</v>
      </c>
      <c r="K34" s="6" t="s">
        <v>2102</v>
      </c>
      <c r="L34" s="59" t="s">
        <v>1212</v>
      </c>
      <c r="M34" s="6" t="s">
        <v>2124</v>
      </c>
      <c r="N34" s="356" t="s">
        <v>1383</v>
      </c>
      <c r="O34" s="34"/>
      <c r="P34" s="70"/>
      <c r="Q34" s="357" t="s">
        <v>1558</v>
      </c>
    </row>
    <row r="35" spans="1:17" ht="85">
      <c r="A35" s="5" t="s">
        <v>101</v>
      </c>
      <c r="B35" s="56">
        <v>7.1</v>
      </c>
      <c r="C35" s="74">
        <v>7.1</v>
      </c>
      <c r="D35" s="6" t="s">
        <v>83</v>
      </c>
      <c r="E35" s="74" t="s">
        <v>1431</v>
      </c>
      <c r="F35" s="7" t="s">
        <v>84</v>
      </c>
      <c r="G35" s="358" t="s">
        <v>9</v>
      </c>
      <c r="H35" s="358" t="s">
        <v>9</v>
      </c>
      <c r="I35" s="358" t="s">
        <v>9</v>
      </c>
      <c r="J35" s="6" t="s">
        <v>2075</v>
      </c>
      <c r="K35" s="6"/>
      <c r="L35" s="59" t="s">
        <v>1211</v>
      </c>
      <c r="M35" s="6"/>
      <c r="N35" s="356" t="s">
        <v>1358</v>
      </c>
      <c r="O35" s="34"/>
      <c r="P35" s="70"/>
      <c r="Q35" s="357" t="s">
        <v>1558</v>
      </c>
    </row>
    <row r="36" spans="1:17" ht="85">
      <c r="A36" s="5" t="s">
        <v>101</v>
      </c>
      <c r="B36" s="56">
        <v>7.2</v>
      </c>
      <c r="C36" s="74">
        <v>7.2</v>
      </c>
      <c r="D36" s="6" t="s">
        <v>83</v>
      </c>
      <c r="E36" s="74" t="s">
        <v>1431</v>
      </c>
      <c r="F36" s="7" t="s">
        <v>85</v>
      </c>
      <c r="G36" s="358" t="s">
        <v>9</v>
      </c>
      <c r="H36" s="358" t="s">
        <v>9</v>
      </c>
      <c r="I36" s="358" t="s">
        <v>12</v>
      </c>
      <c r="J36" s="6" t="s">
        <v>2075</v>
      </c>
      <c r="K36" s="6"/>
      <c r="L36" s="59" t="s">
        <v>1211</v>
      </c>
      <c r="M36" s="6"/>
      <c r="N36" s="356" t="s">
        <v>1358</v>
      </c>
      <c r="O36" s="34"/>
      <c r="P36" s="70"/>
      <c r="Q36" s="357" t="s">
        <v>1558</v>
      </c>
    </row>
    <row r="37" spans="1:17" ht="102">
      <c r="A37" s="5" t="s">
        <v>101</v>
      </c>
      <c r="B37" s="56">
        <v>7.3</v>
      </c>
      <c r="C37" s="74">
        <v>7.4</v>
      </c>
      <c r="D37" s="6" t="s">
        <v>83</v>
      </c>
      <c r="E37" s="74" t="s">
        <v>1431</v>
      </c>
      <c r="F37" s="7" t="s">
        <v>1295</v>
      </c>
      <c r="G37" s="358" t="s">
        <v>9</v>
      </c>
      <c r="H37" s="358" t="s">
        <v>9</v>
      </c>
      <c r="I37" s="358" t="s">
        <v>12</v>
      </c>
      <c r="J37" s="6" t="s">
        <v>2075</v>
      </c>
      <c r="K37" s="6"/>
      <c r="L37" s="59" t="s">
        <v>1211</v>
      </c>
      <c r="M37" s="6"/>
      <c r="N37" s="356" t="s">
        <v>1302</v>
      </c>
      <c r="O37" s="34"/>
      <c r="P37" s="70" t="s">
        <v>1303</v>
      </c>
      <c r="Q37" s="357" t="s">
        <v>1558</v>
      </c>
    </row>
    <row r="38" spans="1:17" ht="51">
      <c r="A38" s="5" t="s">
        <v>101</v>
      </c>
      <c r="B38" s="56">
        <v>7.4</v>
      </c>
      <c r="C38" s="74">
        <v>7.6</v>
      </c>
      <c r="D38" s="6" t="s">
        <v>83</v>
      </c>
      <c r="E38" s="74" t="s">
        <v>1430</v>
      </c>
      <c r="F38" s="7" t="s">
        <v>1296</v>
      </c>
      <c r="G38" s="358" t="s">
        <v>9</v>
      </c>
      <c r="H38" s="358" t="s">
        <v>9</v>
      </c>
      <c r="I38" s="358" t="s">
        <v>12</v>
      </c>
      <c r="J38" s="6" t="s">
        <v>2075</v>
      </c>
      <c r="K38" s="6"/>
      <c r="L38" s="59" t="s">
        <v>1211</v>
      </c>
      <c r="M38" s="6"/>
      <c r="N38" s="356" t="s">
        <v>1362</v>
      </c>
      <c r="O38" s="34"/>
      <c r="P38" s="70"/>
      <c r="Q38" s="357" t="s">
        <v>1558</v>
      </c>
    </row>
    <row r="39" spans="1:17" ht="51">
      <c r="A39" s="5" t="s">
        <v>101</v>
      </c>
      <c r="B39" s="56">
        <v>7.5</v>
      </c>
      <c r="C39" s="74">
        <v>7.8</v>
      </c>
      <c r="D39" s="6" t="s">
        <v>83</v>
      </c>
      <c r="E39" s="74" t="s">
        <v>1431</v>
      </c>
      <c r="F39" s="7" t="s">
        <v>1438</v>
      </c>
      <c r="G39" s="358" t="s">
        <v>9</v>
      </c>
      <c r="H39" s="358" t="s">
        <v>12</v>
      </c>
      <c r="I39" s="358" t="s">
        <v>12</v>
      </c>
      <c r="J39" s="6" t="s">
        <v>2075</v>
      </c>
      <c r="K39" s="6"/>
      <c r="L39" s="59" t="s">
        <v>1211</v>
      </c>
      <c r="M39" s="6"/>
      <c r="N39" s="356" t="s">
        <v>1329</v>
      </c>
      <c r="O39" s="34"/>
      <c r="P39" s="70"/>
      <c r="Q39" s="357" t="s">
        <v>1558</v>
      </c>
    </row>
    <row r="40" spans="1:17" ht="51">
      <c r="A40" s="5" t="s">
        <v>101</v>
      </c>
      <c r="B40" s="56">
        <v>7.6</v>
      </c>
      <c r="C40" s="74">
        <v>7.9</v>
      </c>
      <c r="D40" s="6" t="s">
        <v>83</v>
      </c>
      <c r="E40" s="74" t="s">
        <v>1431</v>
      </c>
      <c r="F40" s="7" t="s">
        <v>1439</v>
      </c>
      <c r="G40" s="358" t="s">
        <v>9</v>
      </c>
      <c r="H40" s="358" t="s">
        <v>9</v>
      </c>
      <c r="I40" s="358" t="s">
        <v>12</v>
      </c>
      <c r="J40" s="6" t="s">
        <v>2075</v>
      </c>
      <c r="K40" s="6"/>
      <c r="L40" s="59" t="s">
        <v>1211</v>
      </c>
      <c r="M40" s="6"/>
      <c r="N40" s="356" t="s">
        <v>1362</v>
      </c>
      <c r="O40" s="34"/>
      <c r="P40" s="70"/>
      <c r="Q40" s="357" t="s">
        <v>1558</v>
      </c>
    </row>
    <row r="41" spans="1:17" ht="85">
      <c r="A41" s="5" t="s">
        <v>101</v>
      </c>
      <c r="B41" s="56">
        <v>8.1</v>
      </c>
      <c r="C41" s="74">
        <v>8.1</v>
      </c>
      <c r="D41" s="6" t="s">
        <v>88</v>
      </c>
      <c r="E41" s="74" t="s">
        <v>1431</v>
      </c>
      <c r="F41" s="7" t="s">
        <v>1475</v>
      </c>
      <c r="G41" s="358" t="s">
        <v>9</v>
      </c>
      <c r="H41" s="358" t="s">
        <v>9</v>
      </c>
      <c r="I41" s="358" t="s">
        <v>12</v>
      </c>
      <c r="J41" s="6" t="s">
        <v>2075</v>
      </c>
      <c r="K41" s="6" t="s">
        <v>2103</v>
      </c>
      <c r="L41" s="59" t="s">
        <v>1388</v>
      </c>
      <c r="M41" s="6" t="s">
        <v>2125</v>
      </c>
      <c r="N41" s="356" t="s">
        <v>1301</v>
      </c>
      <c r="O41" s="34"/>
      <c r="P41" s="70" t="s">
        <v>1304</v>
      </c>
      <c r="Q41" s="357" t="s">
        <v>1558</v>
      </c>
    </row>
    <row r="42" spans="1:17" ht="85">
      <c r="A42" s="5" t="s">
        <v>101</v>
      </c>
      <c r="B42" s="56">
        <v>8.1999999999999993</v>
      </c>
      <c r="C42" s="74">
        <v>8.1999999999999993</v>
      </c>
      <c r="D42" s="6" t="s">
        <v>88</v>
      </c>
      <c r="E42" s="74" t="s">
        <v>1431</v>
      </c>
      <c r="F42" s="7" t="s">
        <v>1394</v>
      </c>
      <c r="G42" s="358" t="s">
        <v>9</v>
      </c>
      <c r="H42" s="358" t="s">
        <v>9</v>
      </c>
      <c r="I42" s="358" t="s">
        <v>9</v>
      </c>
      <c r="J42" s="6" t="s">
        <v>2075</v>
      </c>
      <c r="K42" s="6" t="s">
        <v>2103</v>
      </c>
      <c r="L42" s="59" t="s">
        <v>1388</v>
      </c>
      <c r="M42" s="6" t="s">
        <v>2126</v>
      </c>
      <c r="N42" s="356" t="s">
        <v>1341</v>
      </c>
      <c r="O42" s="34"/>
      <c r="P42" s="70"/>
      <c r="Q42" s="357" t="s">
        <v>1558</v>
      </c>
    </row>
    <row r="43" spans="1:17" ht="85">
      <c r="A43" s="5" t="s">
        <v>101</v>
      </c>
      <c r="B43" s="56">
        <v>8.3000000000000007</v>
      </c>
      <c r="C43" s="74">
        <v>8.4</v>
      </c>
      <c r="D43" s="6" t="s">
        <v>88</v>
      </c>
      <c r="E43" s="74" t="s">
        <v>1430</v>
      </c>
      <c r="F43" s="7" t="s">
        <v>1297</v>
      </c>
      <c r="G43" s="358" t="s">
        <v>9</v>
      </c>
      <c r="H43" s="358" t="s">
        <v>9</v>
      </c>
      <c r="I43" s="358" t="s">
        <v>9</v>
      </c>
      <c r="J43" s="6" t="s">
        <v>2075</v>
      </c>
      <c r="K43" s="6" t="s">
        <v>2103</v>
      </c>
      <c r="L43" s="59" t="s">
        <v>1388</v>
      </c>
      <c r="M43" s="6"/>
      <c r="N43" s="356" t="s">
        <v>1381</v>
      </c>
      <c r="O43" s="34"/>
      <c r="P43" s="70"/>
      <c r="Q43" s="357" t="s">
        <v>1558</v>
      </c>
    </row>
    <row r="44" spans="1:17" ht="85">
      <c r="A44" s="5" t="s">
        <v>101</v>
      </c>
      <c r="B44" s="56">
        <v>8.4</v>
      </c>
      <c r="C44" s="74">
        <v>8.5</v>
      </c>
      <c r="D44" s="6" t="s">
        <v>88</v>
      </c>
      <c r="E44" s="74" t="s">
        <v>1431</v>
      </c>
      <c r="F44" s="7" t="s">
        <v>1298</v>
      </c>
      <c r="G44" s="358" t="s">
        <v>9</v>
      </c>
      <c r="H44" s="358" t="s">
        <v>9</v>
      </c>
      <c r="I44" s="358" t="s">
        <v>9</v>
      </c>
      <c r="J44" s="6" t="s">
        <v>2075</v>
      </c>
      <c r="K44" s="6"/>
      <c r="L44" s="59" t="s">
        <v>1388</v>
      </c>
      <c r="M44" s="6"/>
      <c r="N44" s="356" t="s">
        <v>1362</v>
      </c>
      <c r="O44" s="34"/>
      <c r="P44" s="70"/>
      <c r="Q44" s="357" t="s">
        <v>1558</v>
      </c>
    </row>
    <row r="45" spans="1:17" ht="51">
      <c r="A45" s="5" t="s">
        <v>101</v>
      </c>
      <c r="B45" s="56">
        <v>9.1</v>
      </c>
      <c r="C45" s="74">
        <v>9.4</v>
      </c>
      <c r="D45" s="6" t="s">
        <v>99</v>
      </c>
      <c r="E45" s="74" t="s">
        <v>1431</v>
      </c>
      <c r="F45" s="7" t="s">
        <v>1426</v>
      </c>
      <c r="G45" s="358" t="s">
        <v>9</v>
      </c>
      <c r="H45" s="358" t="s">
        <v>9</v>
      </c>
      <c r="I45" s="358" t="s">
        <v>9</v>
      </c>
      <c r="J45" s="6" t="s">
        <v>2075</v>
      </c>
      <c r="K45" s="6"/>
      <c r="L45" s="59" t="s">
        <v>1211</v>
      </c>
      <c r="M45" s="6"/>
      <c r="N45" s="356" t="s">
        <v>1363</v>
      </c>
      <c r="O45" s="34"/>
      <c r="P45" s="70"/>
      <c r="Q45" s="357" t="s">
        <v>1558</v>
      </c>
    </row>
    <row r="46" spans="1:17" ht="51">
      <c r="A46" s="5" t="s">
        <v>101</v>
      </c>
      <c r="B46" s="56">
        <v>9.1999999999999993</v>
      </c>
      <c r="C46" s="74">
        <v>9.1999999999999993</v>
      </c>
      <c r="D46" s="6" t="s">
        <v>99</v>
      </c>
      <c r="E46" s="74" t="s">
        <v>1431</v>
      </c>
      <c r="F46" s="7" t="s">
        <v>103</v>
      </c>
      <c r="G46" s="358" t="s">
        <v>9</v>
      </c>
      <c r="H46" s="358" t="s">
        <v>9</v>
      </c>
      <c r="I46" s="358" t="s">
        <v>12</v>
      </c>
      <c r="J46" s="6" t="s">
        <v>2075</v>
      </c>
      <c r="K46" s="6" t="s">
        <v>2104</v>
      </c>
      <c r="L46" s="59" t="s">
        <v>1211</v>
      </c>
      <c r="M46" s="6" t="s">
        <v>2127</v>
      </c>
      <c r="N46" s="356" t="s">
        <v>1329</v>
      </c>
      <c r="O46" s="34"/>
      <c r="P46" s="70"/>
      <c r="Q46" s="357" t="s">
        <v>1558</v>
      </c>
    </row>
    <row r="47" spans="1:17" ht="85">
      <c r="A47" s="5" t="s">
        <v>101</v>
      </c>
      <c r="B47" s="56">
        <v>9.3000000000000007</v>
      </c>
      <c r="C47" s="74">
        <v>9.3000000000000007</v>
      </c>
      <c r="D47" s="6" t="s">
        <v>99</v>
      </c>
      <c r="E47" s="74" t="s">
        <v>1430</v>
      </c>
      <c r="F47" s="7" t="s">
        <v>104</v>
      </c>
      <c r="G47" s="358" t="s">
        <v>9</v>
      </c>
      <c r="H47" s="358" t="s">
        <v>12</v>
      </c>
      <c r="I47" s="358" t="s">
        <v>12</v>
      </c>
      <c r="J47" s="6" t="s">
        <v>2075</v>
      </c>
      <c r="K47" s="6" t="s">
        <v>2104</v>
      </c>
      <c r="L47" s="59" t="s">
        <v>1211</v>
      </c>
      <c r="M47" s="6"/>
      <c r="N47" s="356" t="s">
        <v>1383</v>
      </c>
      <c r="O47" s="34"/>
      <c r="P47" s="70"/>
      <c r="Q47" s="357" t="s">
        <v>1558</v>
      </c>
    </row>
    <row r="48" spans="1:17" ht="51">
      <c r="A48" s="5" t="s">
        <v>101</v>
      </c>
      <c r="B48" s="56">
        <v>9.4</v>
      </c>
      <c r="C48" s="74">
        <v>9.5</v>
      </c>
      <c r="D48" s="6" t="s">
        <v>99</v>
      </c>
      <c r="E48" s="74" t="s">
        <v>1431</v>
      </c>
      <c r="F48" s="7" t="s">
        <v>105</v>
      </c>
      <c r="G48" s="358" t="s">
        <v>9</v>
      </c>
      <c r="H48" s="358" t="s">
        <v>12</v>
      </c>
      <c r="I48" s="358" t="s">
        <v>14</v>
      </c>
      <c r="J48" s="6" t="s">
        <v>2075</v>
      </c>
      <c r="K48" s="6"/>
      <c r="L48" s="59" t="s">
        <v>1211</v>
      </c>
      <c r="M48" s="6"/>
      <c r="N48" s="356" t="s">
        <v>1367</v>
      </c>
      <c r="O48" s="34"/>
      <c r="P48" s="70"/>
      <c r="Q48" s="357" t="s">
        <v>1558</v>
      </c>
    </row>
    <row r="49" spans="1:17" ht="85">
      <c r="A49" s="5" t="s">
        <v>101</v>
      </c>
      <c r="B49" s="56">
        <v>10.1</v>
      </c>
      <c r="C49" s="74">
        <v>10.1</v>
      </c>
      <c r="D49" s="6" t="s">
        <v>106</v>
      </c>
      <c r="E49" s="74" t="s">
        <v>1431</v>
      </c>
      <c r="F49" s="7" t="s">
        <v>1476</v>
      </c>
      <c r="G49" s="358" t="s">
        <v>9</v>
      </c>
      <c r="H49" s="358" t="s">
        <v>9</v>
      </c>
      <c r="I49" s="358" t="s">
        <v>9</v>
      </c>
      <c r="J49" s="6" t="s">
        <v>2075</v>
      </c>
      <c r="K49" s="6" t="s">
        <v>2105</v>
      </c>
      <c r="L49" s="59" t="s">
        <v>1213</v>
      </c>
      <c r="M49" s="6" t="s">
        <v>2128</v>
      </c>
      <c r="N49" s="356" t="s">
        <v>1364</v>
      </c>
      <c r="O49" s="34"/>
      <c r="P49" s="70"/>
      <c r="Q49" s="357" t="s">
        <v>1960</v>
      </c>
    </row>
    <row r="50" spans="1:17" ht="85">
      <c r="A50" s="5" t="s">
        <v>101</v>
      </c>
      <c r="B50" s="56">
        <v>10.199999999999999</v>
      </c>
      <c r="C50" s="74">
        <v>10.199999999999999</v>
      </c>
      <c r="D50" s="6" t="s">
        <v>106</v>
      </c>
      <c r="E50" s="74" t="s">
        <v>1431</v>
      </c>
      <c r="F50" s="7" t="s">
        <v>1395</v>
      </c>
      <c r="G50" s="358" t="s">
        <v>9</v>
      </c>
      <c r="H50" s="358" t="s">
        <v>9</v>
      </c>
      <c r="I50" s="358" t="s">
        <v>9</v>
      </c>
      <c r="J50" s="6" t="s">
        <v>2075</v>
      </c>
      <c r="K50" s="6"/>
      <c r="L50" s="59" t="s">
        <v>1213</v>
      </c>
      <c r="M50" s="6"/>
      <c r="N50" s="356" t="s">
        <v>1364</v>
      </c>
      <c r="O50" s="34"/>
      <c r="P50" s="70"/>
      <c r="Q50" s="357" t="s">
        <v>1960</v>
      </c>
    </row>
    <row r="51" spans="1:17" ht="85">
      <c r="A51" s="5" t="s">
        <v>101</v>
      </c>
      <c r="B51" s="56">
        <v>10.3</v>
      </c>
      <c r="C51" s="74">
        <v>10.4</v>
      </c>
      <c r="D51" s="6" t="s">
        <v>106</v>
      </c>
      <c r="E51" s="74" t="s">
        <v>1431</v>
      </c>
      <c r="F51" s="7" t="s">
        <v>1300</v>
      </c>
      <c r="G51" s="358" t="s">
        <v>9</v>
      </c>
      <c r="H51" s="358" t="s">
        <v>9</v>
      </c>
      <c r="I51" s="358" t="s">
        <v>9</v>
      </c>
      <c r="J51" s="6" t="s">
        <v>2075</v>
      </c>
      <c r="K51" s="6" t="s">
        <v>2105</v>
      </c>
      <c r="L51" s="59" t="s">
        <v>1213</v>
      </c>
      <c r="M51" s="6" t="s">
        <v>2129</v>
      </c>
      <c r="N51" s="356" t="s">
        <v>1366</v>
      </c>
      <c r="O51" s="34"/>
      <c r="P51" s="70"/>
      <c r="Q51" s="357" t="s">
        <v>1960</v>
      </c>
    </row>
    <row r="52" spans="1:17" ht="85">
      <c r="A52" s="5" t="s">
        <v>101</v>
      </c>
      <c r="B52" s="56">
        <v>10.4</v>
      </c>
      <c r="C52" s="74">
        <v>10.3</v>
      </c>
      <c r="D52" s="6" t="s">
        <v>106</v>
      </c>
      <c r="E52" s="74" t="s">
        <v>1431</v>
      </c>
      <c r="F52" s="7" t="s">
        <v>1299</v>
      </c>
      <c r="G52" s="358" t="s">
        <v>9</v>
      </c>
      <c r="H52" s="358" t="s">
        <v>9</v>
      </c>
      <c r="I52" s="358" t="s">
        <v>12</v>
      </c>
      <c r="J52" s="6" t="s">
        <v>2075</v>
      </c>
      <c r="K52" s="6"/>
      <c r="L52" s="59" t="s">
        <v>1213</v>
      </c>
      <c r="M52" s="6"/>
      <c r="N52" s="356" t="s">
        <v>1365</v>
      </c>
      <c r="O52" s="34"/>
      <c r="P52" s="70"/>
      <c r="Q52" s="357" t="s">
        <v>1960</v>
      </c>
    </row>
    <row r="53" spans="1:17" ht="85">
      <c r="A53" s="5" t="s">
        <v>101</v>
      </c>
      <c r="B53" s="56">
        <v>10.5</v>
      </c>
      <c r="C53" s="74">
        <v>10.5</v>
      </c>
      <c r="D53" s="6" t="s">
        <v>106</v>
      </c>
      <c r="E53" s="74" t="s">
        <v>1431</v>
      </c>
      <c r="F53" s="7" t="s">
        <v>1427</v>
      </c>
      <c r="G53" s="358" t="s">
        <v>9</v>
      </c>
      <c r="H53" s="358" t="s">
        <v>9</v>
      </c>
      <c r="I53" s="358" t="s">
        <v>9</v>
      </c>
      <c r="J53" s="6" t="s">
        <v>2075</v>
      </c>
      <c r="K53" s="6"/>
      <c r="L53" s="59" t="s">
        <v>1213</v>
      </c>
      <c r="M53" s="6"/>
      <c r="N53" s="356" t="s">
        <v>1364</v>
      </c>
      <c r="O53" s="34"/>
      <c r="P53" s="70"/>
      <c r="Q53" s="357" t="s">
        <v>1960</v>
      </c>
    </row>
    <row r="54" spans="1:17" ht="51">
      <c r="A54" s="5" t="s">
        <v>101</v>
      </c>
      <c r="B54" s="56">
        <v>11.1</v>
      </c>
      <c r="C54" s="74">
        <v>11.1</v>
      </c>
      <c r="D54" s="6" t="s">
        <v>114</v>
      </c>
      <c r="E54" s="74" t="s">
        <v>1429</v>
      </c>
      <c r="F54" s="7" t="s">
        <v>1428</v>
      </c>
      <c r="G54" s="358" t="s">
        <v>9</v>
      </c>
      <c r="H54" s="358" t="s">
        <v>9</v>
      </c>
      <c r="I54" s="358" t="s">
        <v>12</v>
      </c>
      <c r="J54" s="6" t="s">
        <v>2075</v>
      </c>
      <c r="K54" s="6"/>
      <c r="L54" s="60"/>
      <c r="M54" s="57"/>
      <c r="N54" s="356" t="s">
        <v>1329</v>
      </c>
      <c r="O54" s="34"/>
      <c r="P54" s="70"/>
      <c r="Q54" s="357" t="s">
        <v>1559</v>
      </c>
    </row>
    <row r="55" spans="1:17" ht="68">
      <c r="A55" s="5" t="s">
        <v>101</v>
      </c>
      <c r="B55" s="56">
        <v>11.2</v>
      </c>
      <c r="C55" s="74">
        <v>11.3</v>
      </c>
      <c r="D55" s="6" t="s">
        <v>114</v>
      </c>
      <c r="E55" s="74" t="s">
        <v>1430</v>
      </c>
      <c r="F55" s="7" t="s">
        <v>1285</v>
      </c>
      <c r="G55" s="358" t="s">
        <v>9</v>
      </c>
      <c r="H55" s="358" t="s">
        <v>9</v>
      </c>
      <c r="I55" s="358" t="s">
        <v>12</v>
      </c>
      <c r="J55" s="6" t="s">
        <v>2075</v>
      </c>
      <c r="K55" s="6"/>
      <c r="L55" s="60"/>
      <c r="M55" s="57"/>
      <c r="N55" s="356" t="s">
        <v>1370</v>
      </c>
      <c r="O55" s="34"/>
      <c r="P55" s="70"/>
      <c r="Q55" s="357" t="s">
        <v>1559</v>
      </c>
    </row>
    <row r="56" spans="1:17" ht="51">
      <c r="A56" s="5" t="s">
        <v>101</v>
      </c>
      <c r="B56" s="56">
        <v>11.3</v>
      </c>
      <c r="C56" s="74">
        <v>11.4</v>
      </c>
      <c r="D56" s="6" t="s">
        <v>114</v>
      </c>
      <c r="E56" s="74" t="s">
        <v>1431</v>
      </c>
      <c r="F56" s="7" t="s">
        <v>116</v>
      </c>
      <c r="G56" s="358" t="s">
        <v>9</v>
      </c>
      <c r="H56" s="358" t="s">
        <v>9</v>
      </c>
      <c r="I56" s="358" t="s">
        <v>9</v>
      </c>
      <c r="J56" s="6" t="s">
        <v>2075</v>
      </c>
      <c r="K56" s="6"/>
      <c r="L56" s="60"/>
      <c r="M56" s="57"/>
      <c r="N56" s="356" t="s">
        <v>1367</v>
      </c>
      <c r="O56" s="34"/>
      <c r="P56" s="70"/>
      <c r="Q56" s="357" t="s">
        <v>1559</v>
      </c>
    </row>
    <row r="57" spans="1:17" ht="51">
      <c r="A57" s="5" t="s">
        <v>101</v>
      </c>
      <c r="B57" s="56">
        <v>11.4</v>
      </c>
      <c r="C57" s="74">
        <v>11.5</v>
      </c>
      <c r="D57" s="6" t="s">
        <v>114</v>
      </c>
      <c r="E57" s="74" t="s">
        <v>1431</v>
      </c>
      <c r="F57" s="7" t="s">
        <v>1389</v>
      </c>
      <c r="G57" s="358" t="s">
        <v>9</v>
      </c>
      <c r="H57" s="358" t="s">
        <v>12</v>
      </c>
      <c r="I57" s="358" t="s">
        <v>12</v>
      </c>
      <c r="J57" s="6" t="s">
        <v>2075</v>
      </c>
      <c r="K57" s="6"/>
      <c r="L57" s="60"/>
      <c r="M57" s="57"/>
      <c r="N57" s="356" t="s">
        <v>1368</v>
      </c>
      <c r="O57" s="34"/>
      <c r="P57" s="70"/>
      <c r="Q57" s="357" t="s">
        <v>1559</v>
      </c>
    </row>
    <row r="58" spans="1:17" ht="85">
      <c r="A58" s="5" t="s">
        <v>101</v>
      </c>
      <c r="B58" s="56">
        <v>11.5</v>
      </c>
      <c r="C58" s="74">
        <v>11.2</v>
      </c>
      <c r="D58" s="6" t="s">
        <v>114</v>
      </c>
      <c r="E58" s="74" t="s">
        <v>1429</v>
      </c>
      <c r="F58" s="7" t="s">
        <v>1286</v>
      </c>
      <c r="G58" s="358" t="s">
        <v>9</v>
      </c>
      <c r="H58" s="358" t="s">
        <v>9</v>
      </c>
      <c r="I58" s="358" t="s">
        <v>12</v>
      </c>
      <c r="J58" s="6" t="s">
        <v>2075</v>
      </c>
      <c r="K58" s="6" t="s">
        <v>2106</v>
      </c>
      <c r="L58" s="60"/>
      <c r="M58" s="57" t="s">
        <v>2130</v>
      </c>
      <c r="N58" s="356" t="s">
        <v>1369</v>
      </c>
      <c r="O58" s="34"/>
      <c r="P58" s="70" t="s">
        <v>118</v>
      </c>
      <c r="Q58" s="357" t="s">
        <v>1559</v>
      </c>
    </row>
    <row r="59" spans="1:17" ht="51">
      <c r="A59" s="5" t="s">
        <v>101</v>
      </c>
      <c r="B59" s="56">
        <v>12.1</v>
      </c>
      <c r="C59" s="74">
        <v>12.1</v>
      </c>
      <c r="D59" s="6" t="s">
        <v>121</v>
      </c>
      <c r="E59" s="74" t="s">
        <v>1429</v>
      </c>
      <c r="F59" s="7" t="s">
        <v>1441</v>
      </c>
      <c r="G59" s="358" t="s">
        <v>9</v>
      </c>
      <c r="H59" s="358" t="s">
        <v>9</v>
      </c>
      <c r="I59" s="358" t="s">
        <v>9</v>
      </c>
      <c r="J59" s="6" t="s">
        <v>2075</v>
      </c>
      <c r="K59" s="6" t="s">
        <v>2106</v>
      </c>
      <c r="L59" s="60"/>
      <c r="M59" s="57" t="s">
        <v>2130</v>
      </c>
      <c r="N59" s="356" t="s">
        <v>1363</v>
      </c>
      <c r="O59" s="34"/>
      <c r="P59" s="70"/>
      <c r="Q59" s="357" t="s">
        <v>1558</v>
      </c>
    </row>
    <row r="60" spans="1:17" ht="51">
      <c r="A60" s="5" t="s">
        <v>101</v>
      </c>
      <c r="B60" s="56">
        <v>12.2</v>
      </c>
      <c r="C60" s="74">
        <v>12.3</v>
      </c>
      <c r="D60" s="6" t="s">
        <v>121</v>
      </c>
      <c r="E60" s="74" t="s">
        <v>1431</v>
      </c>
      <c r="F60" s="7" t="s">
        <v>1442</v>
      </c>
      <c r="G60" s="358" t="s">
        <v>9</v>
      </c>
      <c r="H60" s="358" t="s">
        <v>9</v>
      </c>
      <c r="I60" s="358" t="s">
        <v>12</v>
      </c>
      <c r="J60" s="6" t="s">
        <v>2075</v>
      </c>
      <c r="K60" s="6"/>
      <c r="L60" s="60"/>
      <c r="M60" s="57"/>
      <c r="N60" s="356" t="s">
        <v>1368</v>
      </c>
      <c r="O60" s="34"/>
      <c r="P60" s="70"/>
      <c r="Q60" s="357" t="s">
        <v>1558</v>
      </c>
    </row>
    <row r="61" spans="1:17" ht="68">
      <c r="A61" s="5" t="s">
        <v>101</v>
      </c>
      <c r="B61" s="56">
        <v>12.3</v>
      </c>
      <c r="C61" s="74">
        <v>12.9</v>
      </c>
      <c r="D61" s="6" t="s">
        <v>121</v>
      </c>
      <c r="E61" s="74" t="s">
        <v>1430</v>
      </c>
      <c r="F61" s="7" t="s">
        <v>1433</v>
      </c>
      <c r="G61" s="358" t="s">
        <v>9</v>
      </c>
      <c r="H61" s="358" t="s">
        <v>12</v>
      </c>
      <c r="I61" s="358" t="s">
        <v>14</v>
      </c>
      <c r="J61" s="6" t="s">
        <v>2075</v>
      </c>
      <c r="K61" s="6" t="s">
        <v>2104</v>
      </c>
      <c r="L61" s="60"/>
      <c r="M61" s="57" t="s">
        <v>2132</v>
      </c>
      <c r="N61" s="356" t="s">
        <v>1368</v>
      </c>
      <c r="O61" s="34"/>
      <c r="P61" s="70" t="s">
        <v>134</v>
      </c>
      <c r="Q61" s="357" t="s">
        <v>1558</v>
      </c>
    </row>
    <row r="62" spans="1:17" ht="51">
      <c r="A62" s="5" t="s">
        <v>101</v>
      </c>
      <c r="B62" s="56">
        <v>12.4</v>
      </c>
      <c r="C62" s="74">
        <v>12.7</v>
      </c>
      <c r="D62" s="6" t="s">
        <v>121</v>
      </c>
      <c r="E62" s="74" t="s">
        <v>1430</v>
      </c>
      <c r="F62" s="7" t="s">
        <v>1434</v>
      </c>
      <c r="G62" s="358" t="s">
        <v>9</v>
      </c>
      <c r="H62" s="358" t="s">
        <v>12</v>
      </c>
      <c r="I62" s="358" t="s">
        <v>14</v>
      </c>
      <c r="J62" s="6" t="s">
        <v>2075</v>
      </c>
      <c r="K62" s="6" t="s">
        <v>2104</v>
      </c>
      <c r="L62" s="60"/>
      <c r="M62" s="57">
        <v>11.4</v>
      </c>
      <c r="N62" s="356" t="s">
        <v>1368</v>
      </c>
      <c r="O62" s="34"/>
      <c r="P62" s="70"/>
      <c r="Q62" s="357" t="s">
        <v>1558</v>
      </c>
    </row>
    <row r="63" spans="1:17" ht="51">
      <c r="A63" s="5" t="s">
        <v>101</v>
      </c>
      <c r="B63" s="56">
        <v>12.5</v>
      </c>
      <c r="C63" s="74">
        <v>12.4</v>
      </c>
      <c r="D63" s="6" t="s">
        <v>121</v>
      </c>
      <c r="E63" s="74" t="s">
        <v>1431</v>
      </c>
      <c r="F63" s="7" t="s">
        <v>1443</v>
      </c>
      <c r="G63" s="358" t="s">
        <v>9</v>
      </c>
      <c r="H63" s="358" t="s">
        <v>9</v>
      </c>
      <c r="I63" s="358" t="s">
        <v>9</v>
      </c>
      <c r="J63" s="6" t="s">
        <v>2075</v>
      </c>
      <c r="K63" s="6" t="s">
        <v>2107</v>
      </c>
      <c r="L63" s="60"/>
      <c r="M63" s="57" t="s">
        <v>2131</v>
      </c>
      <c r="N63" s="356" t="s">
        <v>1372</v>
      </c>
      <c r="O63" s="34"/>
      <c r="P63" s="70"/>
      <c r="Q63" s="357" t="s">
        <v>1558</v>
      </c>
    </row>
    <row r="64" spans="1:17" ht="51">
      <c r="A64" s="5" t="s">
        <v>101</v>
      </c>
      <c r="B64" s="56">
        <v>12.6</v>
      </c>
      <c r="C64" s="74">
        <v>12.11</v>
      </c>
      <c r="D64" s="6" t="s">
        <v>121</v>
      </c>
      <c r="E64" s="74" t="s">
        <v>1431</v>
      </c>
      <c r="F64" s="7" t="s">
        <v>131</v>
      </c>
      <c r="G64" s="358" t="s">
        <v>9</v>
      </c>
      <c r="H64" s="358" t="s">
        <v>9</v>
      </c>
      <c r="I64" s="358" t="s">
        <v>12</v>
      </c>
      <c r="J64" s="6" t="s">
        <v>2075</v>
      </c>
      <c r="K64" s="6"/>
      <c r="L64" s="60"/>
      <c r="M64" s="57"/>
      <c r="N64" s="356" t="s">
        <v>1368</v>
      </c>
      <c r="O64" s="34"/>
      <c r="P64" s="70" t="s">
        <v>132</v>
      </c>
      <c r="Q64" s="357" t="s">
        <v>1558</v>
      </c>
    </row>
    <row r="65" spans="1:17" ht="102">
      <c r="A65" s="5" t="s">
        <v>101</v>
      </c>
      <c r="B65" s="56">
        <v>13.1</v>
      </c>
      <c r="C65" s="74">
        <v>13.9</v>
      </c>
      <c r="D65" s="6" t="s">
        <v>122</v>
      </c>
      <c r="E65" s="74" t="s">
        <v>1431</v>
      </c>
      <c r="F65" s="7" t="s">
        <v>137</v>
      </c>
      <c r="G65" s="358" t="s">
        <v>9</v>
      </c>
      <c r="H65" s="358" t="s">
        <v>12</v>
      </c>
      <c r="I65" s="358" t="s">
        <v>14</v>
      </c>
      <c r="J65" s="6" t="s">
        <v>2075</v>
      </c>
      <c r="K65" s="6"/>
      <c r="L65" s="59" t="s">
        <v>1210</v>
      </c>
      <c r="M65" s="57"/>
      <c r="N65" s="356" t="s">
        <v>1373</v>
      </c>
      <c r="O65" s="34"/>
      <c r="P65" s="70"/>
      <c r="Q65" s="357" t="s">
        <v>1961</v>
      </c>
    </row>
    <row r="66" spans="1:17" ht="102">
      <c r="A66" s="5" t="s">
        <v>101</v>
      </c>
      <c r="B66" s="56">
        <v>13.2</v>
      </c>
      <c r="C66" s="74">
        <v>13.6</v>
      </c>
      <c r="D66" s="6" t="s">
        <v>122</v>
      </c>
      <c r="E66" s="74" t="s">
        <v>1431</v>
      </c>
      <c r="F66" s="7" t="s">
        <v>136</v>
      </c>
      <c r="G66" s="358" t="s">
        <v>9</v>
      </c>
      <c r="H66" s="358" t="s">
        <v>9</v>
      </c>
      <c r="I66" s="358" t="s">
        <v>9</v>
      </c>
      <c r="J66" s="6" t="s">
        <v>2075</v>
      </c>
      <c r="K66" s="6"/>
      <c r="L66" s="59" t="s">
        <v>1210</v>
      </c>
      <c r="M66" s="57"/>
      <c r="N66" s="356" t="s">
        <v>1380</v>
      </c>
      <c r="O66" s="34"/>
      <c r="P66" s="70"/>
      <c r="Q66" s="357" t="s">
        <v>1961</v>
      </c>
    </row>
    <row r="67" spans="1:17" ht="102">
      <c r="A67" s="5" t="s">
        <v>101</v>
      </c>
      <c r="B67" s="56">
        <v>13.3</v>
      </c>
      <c r="C67" s="74">
        <v>13.1</v>
      </c>
      <c r="D67" s="6" t="s">
        <v>122</v>
      </c>
      <c r="E67" s="74" t="s">
        <v>1429</v>
      </c>
      <c r="F67" s="7" t="s">
        <v>1444</v>
      </c>
      <c r="G67" s="358" t="s">
        <v>9</v>
      </c>
      <c r="H67" s="358" t="s">
        <v>9</v>
      </c>
      <c r="I67" s="358" t="s">
        <v>9</v>
      </c>
      <c r="J67" s="6" t="s">
        <v>2075</v>
      </c>
      <c r="K67" s="6"/>
      <c r="L67" s="59" t="s">
        <v>1210</v>
      </c>
      <c r="M67" s="57"/>
      <c r="N67" s="356" t="s">
        <v>1374</v>
      </c>
      <c r="O67" s="34"/>
      <c r="P67" s="70"/>
      <c r="Q67" s="357" t="s">
        <v>1961</v>
      </c>
    </row>
    <row r="68" spans="1:17" ht="102">
      <c r="A68" s="5" t="s">
        <v>101</v>
      </c>
      <c r="B68" s="56">
        <v>13.4</v>
      </c>
      <c r="C68" s="74">
        <v>13.4</v>
      </c>
      <c r="D68" s="6" t="s">
        <v>122</v>
      </c>
      <c r="E68" s="74" t="s">
        <v>1431</v>
      </c>
      <c r="F68" s="7" t="s">
        <v>1446</v>
      </c>
      <c r="G68" s="358" t="s">
        <v>9</v>
      </c>
      <c r="H68" s="358" t="s">
        <v>9</v>
      </c>
      <c r="I68" s="358" t="s">
        <v>12</v>
      </c>
      <c r="J68" s="6" t="s">
        <v>2075</v>
      </c>
      <c r="K68" s="6" t="s">
        <v>2109</v>
      </c>
      <c r="L68" s="59" t="s">
        <v>1210</v>
      </c>
      <c r="M68" s="57" t="s">
        <v>2130</v>
      </c>
      <c r="N68" s="356" t="s">
        <v>1376</v>
      </c>
      <c r="O68" s="34"/>
      <c r="P68" s="70"/>
      <c r="Q68" s="357" t="s">
        <v>1961</v>
      </c>
    </row>
    <row r="69" spans="1:17" ht="102">
      <c r="A69" s="5" t="s">
        <v>101</v>
      </c>
      <c r="B69" s="56">
        <v>13.5</v>
      </c>
      <c r="C69" s="74">
        <v>13.3</v>
      </c>
      <c r="D69" s="6" t="s">
        <v>122</v>
      </c>
      <c r="E69" s="74" t="s">
        <v>1430</v>
      </c>
      <c r="F69" s="7" t="s">
        <v>1445</v>
      </c>
      <c r="G69" s="358" t="s">
        <v>9</v>
      </c>
      <c r="H69" s="358" t="s">
        <v>12</v>
      </c>
      <c r="I69" s="358" t="s">
        <v>14</v>
      </c>
      <c r="J69" s="6" t="s">
        <v>2075</v>
      </c>
      <c r="K69" s="6" t="s">
        <v>2108</v>
      </c>
      <c r="L69" s="59" t="s">
        <v>1210</v>
      </c>
      <c r="M69" s="57"/>
      <c r="N69" s="356" t="s">
        <v>1396</v>
      </c>
      <c r="O69" s="34"/>
      <c r="P69" s="70"/>
      <c r="Q69" s="357" t="s">
        <v>1961</v>
      </c>
    </row>
    <row r="70" spans="1:17" ht="204">
      <c r="A70" s="5" t="s">
        <v>101</v>
      </c>
      <c r="B70" s="56">
        <v>14.1</v>
      </c>
      <c r="C70" s="74">
        <v>14.6</v>
      </c>
      <c r="D70" s="6" t="s">
        <v>123</v>
      </c>
      <c r="E70" s="74" t="s">
        <v>1431</v>
      </c>
      <c r="F70" s="7" t="s">
        <v>1435</v>
      </c>
      <c r="G70" s="358" t="s">
        <v>9</v>
      </c>
      <c r="H70" s="358" t="s">
        <v>9</v>
      </c>
      <c r="I70" s="358" t="s">
        <v>9</v>
      </c>
      <c r="J70" s="6" t="s">
        <v>2075</v>
      </c>
      <c r="K70" s="6" t="s">
        <v>2110</v>
      </c>
      <c r="L70" s="67" t="s">
        <v>1215</v>
      </c>
      <c r="M70" s="57" t="s">
        <v>2133</v>
      </c>
      <c r="N70" s="356" t="s">
        <v>1359</v>
      </c>
      <c r="O70" s="34"/>
      <c r="P70" s="70"/>
      <c r="Q70" s="357" t="s">
        <v>1559</v>
      </c>
    </row>
    <row r="71" spans="1:17" ht="204">
      <c r="A71" s="5" t="s">
        <v>101</v>
      </c>
      <c r="B71" s="56">
        <v>14.2</v>
      </c>
      <c r="C71" s="74">
        <v>14.4</v>
      </c>
      <c r="D71" s="6" t="s">
        <v>123</v>
      </c>
      <c r="E71" s="74" t="s">
        <v>1431</v>
      </c>
      <c r="F71" s="7" t="s">
        <v>1436</v>
      </c>
      <c r="G71" s="358" t="s">
        <v>9</v>
      </c>
      <c r="H71" s="358" t="s">
        <v>9</v>
      </c>
      <c r="I71" s="358" t="s">
        <v>12</v>
      </c>
      <c r="J71" s="6" t="s">
        <v>2075</v>
      </c>
      <c r="K71" s="6"/>
      <c r="L71" s="67" t="s">
        <v>1215</v>
      </c>
      <c r="M71" s="57"/>
      <c r="N71" s="356" t="s">
        <v>1437</v>
      </c>
      <c r="O71" s="34"/>
      <c r="P71" s="70" t="s">
        <v>200</v>
      </c>
      <c r="Q71" s="357" t="s">
        <v>1559</v>
      </c>
    </row>
    <row r="72" spans="1:17" ht="204">
      <c r="A72" s="5" t="s">
        <v>101</v>
      </c>
      <c r="B72" s="56">
        <v>14.3</v>
      </c>
      <c r="C72" s="74">
        <v>14.1</v>
      </c>
      <c r="D72" s="6" t="s">
        <v>123</v>
      </c>
      <c r="E72" s="74" t="s">
        <v>1431</v>
      </c>
      <c r="F72" s="7" t="s">
        <v>166</v>
      </c>
      <c r="G72" s="358" t="s">
        <v>9</v>
      </c>
      <c r="H72" s="358" t="s">
        <v>12</v>
      </c>
      <c r="I72" s="358" t="s">
        <v>12</v>
      </c>
      <c r="J72" s="6" t="s">
        <v>2075</v>
      </c>
      <c r="K72" s="6"/>
      <c r="L72" s="67" t="s">
        <v>1215</v>
      </c>
      <c r="M72" s="57"/>
      <c r="N72" s="356" t="s">
        <v>1375</v>
      </c>
      <c r="O72" s="34"/>
      <c r="P72" s="70" t="s">
        <v>164</v>
      </c>
      <c r="Q72" s="357" t="s">
        <v>1559</v>
      </c>
    </row>
    <row r="73" spans="1:17" ht="204">
      <c r="A73" s="5" t="s">
        <v>101</v>
      </c>
      <c r="B73" s="56">
        <v>14.4</v>
      </c>
      <c r="C73" s="74">
        <v>14.9</v>
      </c>
      <c r="D73" s="6" t="s">
        <v>123</v>
      </c>
      <c r="E73" s="74" t="s">
        <v>1430</v>
      </c>
      <c r="F73" s="7" t="s">
        <v>165</v>
      </c>
      <c r="G73" s="358" t="s">
        <v>9</v>
      </c>
      <c r="H73" s="358" t="s">
        <v>12</v>
      </c>
      <c r="I73" s="358" t="s">
        <v>14</v>
      </c>
      <c r="J73" s="6" t="s">
        <v>2075</v>
      </c>
      <c r="K73" s="6" t="s">
        <v>2097</v>
      </c>
      <c r="L73" s="67" t="s">
        <v>1215</v>
      </c>
      <c r="M73" s="57" t="s">
        <v>2134</v>
      </c>
      <c r="N73" s="356" t="s">
        <v>1330</v>
      </c>
      <c r="O73" s="34"/>
      <c r="P73" s="70"/>
      <c r="Q73" s="357" t="s">
        <v>1559</v>
      </c>
    </row>
    <row r="74" spans="1:17" ht="51">
      <c r="A74" s="5" t="s">
        <v>101</v>
      </c>
      <c r="B74" s="56">
        <v>15.1</v>
      </c>
      <c r="C74" s="74">
        <v>15.1</v>
      </c>
      <c r="D74" s="6" t="s">
        <v>124</v>
      </c>
      <c r="E74" s="74" t="s">
        <v>1429</v>
      </c>
      <c r="F74" s="7" t="s">
        <v>170</v>
      </c>
      <c r="G74" s="358" t="s">
        <v>9</v>
      </c>
      <c r="H74" s="358" t="s">
        <v>9</v>
      </c>
      <c r="I74" s="358" t="s">
        <v>12</v>
      </c>
      <c r="J74" s="6" t="s">
        <v>2075</v>
      </c>
      <c r="K74" s="6"/>
      <c r="L74" s="60"/>
      <c r="M74" s="57"/>
      <c r="N74" s="356" t="s">
        <v>1363</v>
      </c>
      <c r="O74" s="34"/>
      <c r="P74" s="70"/>
      <c r="Q74" s="357" t="s">
        <v>1559</v>
      </c>
    </row>
    <row r="75" spans="1:17" ht="51">
      <c r="A75" s="5" t="s">
        <v>101</v>
      </c>
      <c r="B75" s="56">
        <v>15.2</v>
      </c>
      <c r="C75" s="74">
        <v>15.3</v>
      </c>
      <c r="D75" s="6" t="s">
        <v>124</v>
      </c>
      <c r="E75" s="74" t="s">
        <v>1430</v>
      </c>
      <c r="F75" s="7" t="s">
        <v>201</v>
      </c>
      <c r="G75" s="358" t="s">
        <v>9</v>
      </c>
      <c r="H75" s="358" t="s">
        <v>9</v>
      </c>
      <c r="I75" s="358" t="s">
        <v>12</v>
      </c>
      <c r="J75" s="6" t="s">
        <v>2075</v>
      </c>
      <c r="K75" s="6"/>
      <c r="L75" s="60"/>
      <c r="M75" s="57"/>
      <c r="N75" s="356" t="s">
        <v>1339</v>
      </c>
      <c r="O75" s="34"/>
      <c r="P75" s="70"/>
      <c r="Q75" s="357" t="s">
        <v>1559</v>
      </c>
    </row>
    <row r="76" spans="1:17" ht="51">
      <c r="A76" s="5" t="s">
        <v>101</v>
      </c>
      <c r="B76" s="56">
        <v>15.3</v>
      </c>
      <c r="C76" s="74">
        <v>15.4</v>
      </c>
      <c r="D76" s="6" t="s">
        <v>124</v>
      </c>
      <c r="E76" s="74" t="s">
        <v>1431</v>
      </c>
      <c r="F76" s="7" t="s">
        <v>167</v>
      </c>
      <c r="G76" s="358" t="s">
        <v>9</v>
      </c>
      <c r="H76" s="358" t="s">
        <v>12</v>
      </c>
      <c r="I76" s="358" t="s">
        <v>14</v>
      </c>
      <c r="J76" s="6" t="s">
        <v>2075</v>
      </c>
      <c r="K76" s="6"/>
      <c r="L76" s="60"/>
      <c r="M76" s="57"/>
      <c r="N76" s="356" t="s">
        <v>1339</v>
      </c>
      <c r="O76" s="34"/>
      <c r="P76" s="70"/>
      <c r="Q76" s="357" t="s">
        <v>1559</v>
      </c>
    </row>
    <row r="77" spans="1:17" ht="51">
      <c r="A77" s="5" t="s">
        <v>101</v>
      </c>
      <c r="B77" s="56">
        <v>15.4</v>
      </c>
      <c r="C77" s="74">
        <v>15.7</v>
      </c>
      <c r="D77" s="6" t="s">
        <v>124</v>
      </c>
      <c r="E77" s="74" t="s">
        <v>1431</v>
      </c>
      <c r="F77" s="7" t="s">
        <v>1477</v>
      </c>
      <c r="G77" s="358" t="s">
        <v>9</v>
      </c>
      <c r="H77" s="358" t="s">
        <v>9</v>
      </c>
      <c r="I77" s="358" t="s">
        <v>9</v>
      </c>
      <c r="J77" s="6" t="s">
        <v>2075</v>
      </c>
      <c r="K77" s="6"/>
      <c r="L77" s="60"/>
      <c r="M77" s="57"/>
      <c r="N77" s="356" t="s">
        <v>1380</v>
      </c>
      <c r="O77" s="34"/>
      <c r="P77" s="70"/>
      <c r="Q77" s="357" t="s">
        <v>1559</v>
      </c>
    </row>
    <row r="78" spans="1:17" ht="85">
      <c r="A78" s="5" t="s">
        <v>101</v>
      </c>
      <c r="B78" s="56">
        <v>15.5</v>
      </c>
      <c r="C78" s="74">
        <v>15.1</v>
      </c>
      <c r="D78" s="6" t="s">
        <v>124</v>
      </c>
      <c r="E78" s="74" t="s">
        <v>1431</v>
      </c>
      <c r="F78" s="7" t="s">
        <v>1447</v>
      </c>
      <c r="G78" s="358" t="s">
        <v>9</v>
      </c>
      <c r="H78" s="358" t="s">
        <v>9</v>
      </c>
      <c r="I78" s="358" t="s">
        <v>9</v>
      </c>
      <c r="J78" s="6" t="s">
        <v>2075</v>
      </c>
      <c r="K78" s="6"/>
      <c r="L78" s="60"/>
      <c r="M78" s="57"/>
      <c r="N78" s="356" t="s">
        <v>1369</v>
      </c>
      <c r="O78" s="34"/>
      <c r="P78" s="70" t="s">
        <v>169</v>
      </c>
      <c r="Q78" s="357" t="s">
        <v>1559</v>
      </c>
    </row>
    <row r="79" spans="1:17" ht="187">
      <c r="A79" s="5" t="s">
        <v>146</v>
      </c>
      <c r="B79" s="56">
        <v>16.100000000000001</v>
      </c>
      <c r="C79" s="74">
        <v>16.600000000000001</v>
      </c>
      <c r="D79" s="6" t="s">
        <v>125</v>
      </c>
      <c r="E79" s="74" t="s">
        <v>1429</v>
      </c>
      <c r="F79" s="7" t="s">
        <v>1478</v>
      </c>
      <c r="G79" s="358" t="s">
        <v>9</v>
      </c>
      <c r="H79" s="358" t="s">
        <v>9</v>
      </c>
      <c r="I79" s="358" t="s">
        <v>12</v>
      </c>
      <c r="J79" s="6" t="s">
        <v>2075</v>
      </c>
      <c r="K79" s="6" t="s">
        <v>2092</v>
      </c>
      <c r="L79" s="67" t="s">
        <v>1216</v>
      </c>
      <c r="M79" s="57" t="s">
        <v>2137</v>
      </c>
      <c r="N79" s="356" t="s">
        <v>1379</v>
      </c>
      <c r="O79" s="34"/>
      <c r="P79" s="70"/>
      <c r="Q79" s="357" t="s">
        <v>1559</v>
      </c>
    </row>
    <row r="80" spans="1:17" ht="187">
      <c r="A80" s="5" t="s">
        <v>146</v>
      </c>
      <c r="B80" s="56">
        <v>16.2</v>
      </c>
      <c r="C80" s="74">
        <v>16.3</v>
      </c>
      <c r="D80" s="6" t="s">
        <v>125</v>
      </c>
      <c r="E80" s="74" t="s">
        <v>1431</v>
      </c>
      <c r="F80" s="7" t="s">
        <v>1474</v>
      </c>
      <c r="G80" s="358" t="s">
        <v>12</v>
      </c>
      <c r="H80" s="358" t="s">
        <v>12</v>
      </c>
      <c r="I80" s="358" t="s">
        <v>14</v>
      </c>
      <c r="J80" s="6" t="s">
        <v>2075</v>
      </c>
      <c r="K80" s="6"/>
      <c r="L80" s="67" t="s">
        <v>1216</v>
      </c>
      <c r="M80" s="57"/>
      <c r="N80" s="356" t="s">
        <v>1382</v>
      </c>
      <c r="O80" s="34"/>
      <c r="P80" s="70"/>
      <c r="Q80" s="357" t="s">
        <v>1559</v>
      </c>
    </row>
    <row r="81" spans="1:17" ht="187">
      <c r="A81" s="5" t="s">
        <v>146</v>
      </c>
      <c r="B81" s="56">
        <v>16.3</v>
      </c>
      <c r="C81" s="74">
        <v>16.399999999999999</v>
      </c>
      <c r="D81" s="6" t="s">
        <v>125</v>
      </c>
      <c r="E81" s="74" t="s">
        <v>1431</v>
      </c>
      <c r="F81" s="7" t="s">
        <v>1449</v>
      </c>
      <c r="G81" s="358" t="s">
        <v>9</v>
      </c>
      <c r="H81" s="358" t="s">
        <v>9</v>
      </c>
      <c r="I81" s="358" t="s">
        <v>12</v>
      </c>
      <c r="J81" s="6" t="s">
        <v>2075</v>
      </c>
      <c r="K81" s="6" t="s">
        <v>2095</v>
      </c>
      <c r="L81" s="67" t="s">
        <v>1216</v>
      </c>
      <c r="M81" s="57" t="s">
        <v>2135</v>
      </c>
      <c r="N81" s="356" t="s">
        <v>1382</v>
      </c>
      <c r="O81" s="34"/>
      <c r="P81" s="70"/>
      <c r="Q81" s="357" t="s">
        <v>1559</v>
      </c>
    </row>
    <row r="82" spans="1:17" ht="187">
      <c r="A82" s="5" t="s">
        <v>146</v>
      </c>
      <c r="B82" s="56">
        <v>16.399999999999999</v>
      </c>
      <c r="C82" s="74">
        <v>16.899999999999999</v>
      </c>
      <c r="D82" s="6" t="s">
        <v>125</v>
      </c>
      <c r="E82" s="74" t="s">
        <v>1431</v>
      </c>
      <c r="F82" s="7" t="s">
        <v>1452</v>
      </c>
      <c r="G82" s="358" t="s">
        <v>9</v>
      </c>
      <c r="H82" s="358" t="s">
        <v>9</v>
      </c>
      <c r="I82" s="358" t="s">
        <v>9</v>
      </c>
      <c r="J82" s="6" t="s">
        <v>2075</v>
      </c>
      <c r="K82" s="6" t="s">
        <v>2095</v>
      </c>
      <c r="L82" s="67" t="s">
        <v>1216</v>
      </c>
      <c r="M82" s="57"/>
      <c r="N82" s="356" t="s">
        <v>1377</v>
      </c>
      <c r="O82" s="34"/>
      <c r="P82" s="70"/>
      <c r="Q82" s="357" t="s">
        <v>1559</v>
      </c>
    </row>
    <row r="83" spans="1:17" ht="187">
      <c r="A83" s="5" t="s">
        <v>146</v>
      </c>
      <c r="B83" s="56">
        <v>16.5</v>
      </c>
      <c r="C83" s="74">
        <v>16.11</v>
      </c>
      <c r="D83" s="6" t="s">
        <v>125</v>
      </c>
      <c r="E83" s="74" t="s">
        <v>1431</v>
      </c>
      <c r="F83" s="7" t="s">
        <v>1451</v>
      </c>
      <c r="G83" s="358" t="s">
        <v>9</v>
      </c>
      <c r="H83" s="358" t="s">
        <v>9</v>
      </c>
      <c r="I83" s="358" t="s">
        <v>9</v>
      </c>
      <c r="J83" s="6" t="s">
        <v>2075</v>
      </c>
      <c r="K83" s="6"/>
      <c r="L83" s="67" t="s">
        <v>1216</v>
      </c>
      <c r="M83" s="57"/>
      <c r="N83" s="356" t="s">
        <v>1377</v>
      </c>
      <c r="O83" s="34"/>
      <c r="P83" s="70"/>
      <c r="Q83" s="357" t="s">
        <v>1559</v>
      </c>
    </row>
    <row r="84" spans="1:17" ht="187">
      <c r="A84" s="5" t="s">
        <v>146</v>
      </c>
      <c r="B84" s="56">
        <v>16.600000000000001</v>
      </c>
      <c r="C84" s="74">
        <v>16.7</v>
      </c>
      <c r="D84" s="6" t="s">
        <v>125</v>
      </c>
      <c r="E84" s="74" t="s">
        <v>1431</v>
      </c>
      <c r="F84" s="7" t="s">
        <v>1448</v>
      </c>
      <c r="G84" s="358" t="s">
        <v>9</v>
      </c>
      <c r="H84" s="358" t="s">
        <v>9</v>
      </c>
      <c r="I84" s="358" t="s">
        <v>12</v>
      </c>
      <c r="J84" s="6" t="s">
        <v>2075</v>
      </c>
      <c r="K84" s="6" t="s">
        <v>2111</v>
      </c>
      <c r="L84" s="67" t="s">
        <v>1216</v>
      </c>
      <c r="M84" s="57" t="s">
        <v>2138</v>
      </c>
      <c r="N84" s="356" t="s">
        <v>1378</v>
      </c>
      <c r="O84" s="34"/>
      <c r="P84" s="70" t="s">
        <v>156</v>
      </c>
      <c r="Q84" s="357" t="s">
        <v>1559</v>
      </c>
    </row>
    <row r="85" spans="1:17" ht="187">
      <c r="A85" s="5" t="s">
        <v>146</v>
      </c>
      <c r="B85" s="56">
        <v>16.7</v>
      </c>
      <c r="C85" s="74">
        <v>16.8</v>
      </c>
      <c r="D85" s="6" t="s">
        <v>125</v>
      </c>
      <c r="E85" s="74" t="s">
        <v>1431</v>
      </c>
      <c r="F85" s="7" t="s">
        <v>1479</v>
      </c>
      <c r="G85" s="358" t="s">
        <v>9</v>
      </c>
      <c r="H85" s="358" t="s">
        <v>9</v>
      </c>
      <c r="I85" s="358" t="s">
        <v>9</v>
      </c>
      <c r="J85" s="6" t="s">
        <v>2075</v>
      </c>
      <c r="K85" s="6"/>
      <c r="L85" s="67" t="s">
        <v>1216</v>
      </c>
      <c r="M85" s="57"/>
      <c r="N85" s="356" t="s">
        <v>1383</v>
      </c>
      <c r="O85" s="34"/>
      <c r="P85" s="70"/>
      <c r="Q85" s="357" t="s">
        <v>1559</v>
      </c>
    </row>
    <row r="86" spans="1:17" ht="187">
      <c r="A86" s="5" t="s">
        <v>146</v>
      </c>
      <c r="B86" s="56">
        <v>16.8</v>
      </c>
      <c r="C86" s="74">
        <v>16.12</v>
      </c>
      <c r="D86" s="6" t="s">
        <v>125</v>
      </c>
      <c r="E86" s="74" t="s">
        <v>1430</v>
      </c>
      <c r="F86" s="7" t="s">
        <v>1453</v>
      </c>
      <c r="G86" s="358" t="s">
        <v>9</v>
      </c>
      <c r="H86" s="358" t="s">
        <v>9</v>
      </c>
      <c r="I86" s="358" t="s">
        <v>12</v>
      </c>
      <c r="J86" s="6" t="s">
        <v>2075</v>
      </c>
      <c r="K86" s="6"/>
      <c r="L86" s="67" t="s">
        <v>1216</v>
      </c>
      <c r="M86" s="57"/>
      <c r="N86" s="356" t="s">
        <v>1383</v>
      </c>
      <c r="O86" s="34"/>
      <c r="P86" s="70"/>
      <c r="Q86" s="357" t="s">
        <v>1559</v>
      </c>
    </row>
    <row r="87" spans="1:17" ht="187">
      <c r="A87" s="5" t="s">
        <v>146</v>
      </c>
      <c r="B87" s="56">
        <v>16.899999999999999</v>
      </c>
      <c r="C87" s="74">
        <v>16.13</v>
      </c>
      <c r="D87" s="6" t="s">
        <v>125</v>
      </c>
      <c r="E87" s="74" t="s">
        <v>1430</v>
      </c>
      <c r="F87" s="7" t="s">
        <v>1450</v>
      </c>
      <c r="G87" s="358" t="s">
        <v>9</v>
      </c>
      <c r="H87" s="358" t="s">
        <v>12</v>
      </c>
      <c r="I87" s="358" t="s">
        <v>14</v>
      </c>
      <c r="J87" s="6" t="s">
        <v>2075</v>
      </c>
      <c r="K87" s="6"/>
      <c r="L87" s="67" t="s">
        <v>1216</v>
      </c>
      <c r="M87" s="57"/>
      <c r="N87" s="356" t="s">
        <v>1351</v>
      </c>
      <c r="O87" s="34"/>
      <c r="P87" s="70" t="s">
        <v>1</v>
      </c>
      <c r="Q87" s="357" t="s">
        <v>1559</v>
      </c>
    </row>
    <row r="88" spans="1:17" ht="187">
      <c r="A88" s="5" t="s">
        <v>146</v>
      </c>
      <c r="B88" s="58">
        <v>16.100000000000001</v>
      </c>
      <c r="C88" s="74">
        <v>16.5</v>
      </c>
      <c r="D88" s="6" t="s">
        <v>125</v>
      </c>
      <c r="E88" s="74" t="s">
        <v>1431</v>
      </c>
      <c r="F88" s="7" t="s">
        <v>162</v>
      </c>
      <c r="G88" s="358" t="s">
        <v>9</v>
      </c>
      <c r="H88" s="358" t="s">
        <v>9</v>
      </c>
      <c r="I88" s="358" t="s">
        <v>12</v>
      </c>
      <c r="J88" s="6" t="s">
        <v>2075</v>
      </c>
      <c r="K88" s="6"/>
      <c r="L88" s="67" t="s">
        <v>1216</v>
      </c>
      <c r="M88" s="57" t="s">
        <v>2136</v>
      </c>
      <c r="N88" s="356" t="s">
        <v>1384</v>
      </c>
      <c r="O88" s="34"/>
      <c r="P88" s="70"/>
      <c r="Q88" s="357" t="s">
        <v>1559</v>
      </c>
    </row>
    <row r="89" spans="1:17" ht="119">
      <c r="A89" s="5" t="s">
        <v>146</v>
      </c>
      <c r="B89" s="56">
        <v>17.100000000000001</v>
      </c>
      <c r="C89" s="74">
        <v>17.3</v>
      </c>
      <c r="D89" s="6" t="s">
        <v>126</v>
      </c>
      <c r="E89" s="74" t="s">
        <v>1454</v>
      </c>
      <c r="F89" s="7" t="s">
        <v>1455</v>
      </c>
      <c r="G89" s="358" t="s">
        <v>9</v>
      </c>
      <c r="H89" s="358" t="s">
        <v>9</v>
      </c>
      <c r="I89" s="358" t="s">
        <v>9</v>
      </c>
      <c r="J89" s="6" t="s">
        <v>2075</v>
      </c>
      <c r="K89" s="6" t="s">
        <v>2113</v>
      </c>
      <c r="L89" s="67" t="s">
        <v>1217</v>
      </c>
      <c r="M89" s="57" t="s">
        <v>2139</v>
      </c>
      <c r="N89" s="356" t="s">
        <v>1344</v>
      </c>
      <c r="O89" s="34"/>
      <c r="P89" s="70"/>
      <c r="Q89" s="357" t="s">
        <v>1961</v>
      </c>
    </row>
    <row r="90" spans="1:17" ht="119">
      <c r="A90" s="5" t="s">
        <v>146</v>
      </c>
      <c r="B90" s="56">
        <v>17.2</v>
      </c>
      <c r="C90" s="74">
        <v>17.5</v>
      </c>
      <c r="D90" s="6" t="s">
        <v>126</v>
      </c>
      <c r="E90" s="74" t="s">
        <v>1454</v>
      </c>
      <c r="F90" s="7" t="s">
        <v>1456</v>
      </c>
      <c r="G90" s="358" t="s">
        <v>9</v>
      </c>
      <c r="H90" s="358" t="s">
        <v>9</v>
      </c>
      <c r="I90" s="358" t="s">
        <v>9</v>
      </c>
      <c r="J90" s="6" t="s">
        <v>2075</v>
      </c>
      <c r="K90" s="6"/>
      <c r="L90" s="67" t="s">
        <v>1217</v>
      </c>
      <c r="M90" s="57"/>
      <c r="N90" s="356" t="s">
        <v>1344</v>
      </c>
      <c r="O90" s="34"/>
      <c r="P90" s="70"/>
      <c r="Q90" s="357" t="s">
        <v>1961</v>
      </c>
    </row>
    <row r="91" spans="1:17" ht="85">
      <c r="A91" s="5" t="s">
        <v>146</v>
      </c>
      <c r="B91" s="56">
        <v>17.3</v>
      </c>
      <c r="C91" s="74">
        <v>17.600000000000001</v>
      </c>
      <c r="D91" s="6" t="s">
        <v>126</v>
      </c>
      <c r="E91" s="74" t="s">
        <v>1454</v>
      </c>
      <c r="F91" s="7" t="s">
        <v>1457</v>
      </c>
      <c r="G91" s="358" t="s">
        <v>9</v>
      </c>
      <c r="H91" s="358" t="s">
        <v>9</v>
      </c>
      <c r="I91" s="358" t="s">
        <v>9</v>
      </c>
      <c r="J91" s="6" t="s">
        <v>2075</v>
      </c>
      <c r="K91" s="6"/>
      <c r="L91" s="67" t="s">
        <v>1217</v>
      </c>
      <c r="M91" s="57"/>
      <c r="N91" s="356" t="s">
        <v>1305</v>
      </c>
      <c r="O91" s="34"/>
      <c r="P91" s="70" t="s">
        <v>1306</v>
      </c>
      <c r="Q91" s="357" t="s">
        <v>1961</v>
      </c>
    </row>
    <row r="92" spans="1:17" ht="85">
      <c r="A92" s="5" t="s">
        <v>146</v>
      </c>
      <c r="B92" s="56">
        <v>17.399999999999999</v>
      </c>
      <c r="C92" s="74">
        <v>17.7</v>
      </c>
      <c r="D92" s="6" t="s">
        <v>126</v>
      </c>
      <c r="E92" s="74" t="s">
        <v>1454</v>
      </c>
      <c r="F92" s="7" t="s">
        <v>1458</v>
      </c>
      <c r="G92" s="358" t="s">
        <v>9</v>
      </c>
      <c r="H92" s="358" t="s">
        <v>9</v>
      </c>
      <c r="I92" s="358" t="s">
        <v>9</v>
      </c>
      <c r="J92" s="6" t="s">
        <v>2075</v>
      </c>
      <c r="K92" s="6"/>
      <c r="L92" s="67" t="s">
        <v>1217</v>
      </c>
      <c r="M92" s="57"/>
      <c r="N92" s="356" t="s">
        <v>1359</v>
      </c>
      <c r="O92" s="34"/>
      <c r="P92" s="70"/>
      <c r="Q92" s="357" t="s">
        <v>1961</v>
      </c>
    </row>
    <row r="93" spans="1:17" ht="119">
      <c r="A93" s="5" t="s">
        <v>146</v>
      </c>
      <c r="B93" s="56">
        <v>17.5</v>
      </c>
      <c r="C93" s="74">
        <v>17.8</v>
      </c>
      <c r="D93" s="6" t="s">
        <v>126</v>
      </c>
      <c r="E93" s="74" t="s">
        <v>1454</v>
      </c>
      <c r="F93" s="7" t="s">
        <v>1459</v>
      </c>
      <c r="G93" s="358" t="s">
        <v>9</v>
      </c>
      <c r="H93" s="358" t="s">
        <v>9</v>
      </c>
      <c r="I93" s="358" t="s">
        <v>9</v>
      </c>
      <c r="J93" s="6" t="s">
        <v>2075</v>
      </c>
      <c r="K93" s="6"/>
      <c r="L93" s="67" t="s">
        <v>1217</v>
      </c>
      <c r="M93" s="57"/>
      <c r="N93" s="356" t="s">
        <v>1344</v>
      </c>
      <c r="O93" s="34"/>
      <c r="P93" s="70"/>
      <c r="Q93" s="357" t="s">
        <v>1961</v>
      </c>
    </row>
    <row r="94" spans="1:17" ht="85">
      <c r="A94" s="5" t="s">
        <v>146</v>
      </c>
      <c r="B94" s="56">
        <v>17.600000000000001</v>
      </c>
      <c r="C94" s="74">
        <v>17.899999999999999</v>
      </c>
      <c r="D94" s="6" t="s">
        <v>126</v>
      </c>
      <c r="E94" s="74" t="s">
        <v>1454</v>
      </c>
      <c r="F94" s="7" t="s">
        <v>1460</v>
      </c>
      <c r="G94" s="358" t="s">
        <v>9</v>
      </c>
      <c r="H94" s="358" t="s">
        <v>9</v>
      </c>
      <c r="I94" s="358" t="s">
        <v>9</v>
      </c>
      <c r="J94" s="6" t="s">
        <v>2075</v>
      </c>
      <c r="K94" s="6" t="s">
        <v>2112</v>
      </c>
      <c r="L94" s="67" t="s">
        <v>1217</v>
      </c>
      <c r="M94" s="57"/>
      <c r="N94" s="356" t="s">
        <v>1343</v>
      </c>
      <c r="O94" s="34"/>
      <c r="P94" s="70"/>
      <c r="Q94" s="357" t="s">
        <v>1961</v>
      </c>
    </row>
    <row r="95" spans="1:17" ht="102">
      <c r="A95" s="5" t="s">
        <v>146</v>
      </c>
      <c r="B95" s="56">
        <v>18.100000000000001</v>
      </c>
      <c r="C95" s="74">
        <v>18.899999999999999</v>
      </c>
      <c r="D95" s="6" t="s">
        <v>127</v>
      </c>
      <c r="E95" s="74" t="s">
        <v>1454</v>
      </c>
      <c r="F95" s="7" t="s">
        <v>1462</v>
      </c>
      <c r="G95" s="358" t="s">
        <v>9</v>
      </c>
      <c r="H95" s="358" t="s">
        <v>9</v>
      </c>
      <c r="I95" s="358" t="s">
        <v>12</v>
      </c>
      <c r="J95" s="6" t="s">
        <v>2075</v>
      </c>
      <c r="K95" s="6"/>
      <c r="L95" s="10"/>
      <c r="M95" s="57"/>
      <c r="N95" s="356" t="s">
        <v>1332</v>
      </c>
      <c r="O95" s="34"/>
      <c r="P95" s="70" t="s">
        <v>186</v>
      </c>
      <c r="Q95" s="357" t="s">
        <v>1961</v>
      </c>
    </row>
    <row r="96" spans="1:17" ht="85">
      <c r="A96" s="5" t="s">
        <v>146</v>
      </c>
      <c r="B96" s="56">
        <v>18.2</v>
      </c>
      <c r="C96" s="74">
        <v>18.399999999999999</v>
      </c>
      <c r="D96" s="6" t="s">
        <v>127</v>
      </c>
      <c r="E96" s="74" t="s">
        <v>1454</v>
      </c>
      <c r="F96" s="7" t="s">
        <v>1461</v>
      </c>
      <c r="G96" s="358" t="s">
        <v>9</v>
      </c>
      <c r="H96" s="358" t="s">
        <v>12</v>
      </c>
      <c r="I96" s="358" t="s">
        <v>12</v>
      </c>
      <c r="J96" s="6" t="s">
        <v>2075</v>
      </c>
      <c r="K96" s="6"/>
      <c r="L96" s="10"/>
      <c r="M96" s="57"/>
      <c r="N96" s="356" t="s">
        <v>1358</v>
      </c>
      <c r="O96" s="34"/>
      <c r="P96" s="70"/>
      <c r="Q96" s="357" t="s">
        <v>1558</v>
      </c>
    </row>
    <row r="97" spans="1:17" ht="68">
      <c r="A97" s="5" t="s">
        <v>146</v>
      </c>
      <c r="B97" s="56">
        <v>18.3</v>
      </c>
      <c r="C97" s="74">
        <v>18.600000000000001</v>
      </c>
      <c r="D97" s="6" t="s">
        <v>127</v>
      </c>
      <c r="E97" s="74" t="s">
        <v>1454</v>
      </c>
      <c r="F97" s="7" t="s">
        <v>1397</v>
      </c>
      <c r="G97" s="358" t="s">
        <v>9</v>
      </c>
      <c r="H97" s="358" t="s">
        <v>9</v>
      </c>
      <c r="I97" s="358" t="s">
        <v>12</v>
      </c>
      <c r="J97" s="6" t="s">
        <v>2075</v>
      </c>
      <c r="K97" s="6"/>
      <c r="L97" s="10"/>
      <c r="M97" s="57"/>
      <c r="N97" s="356" t="s">
        <v>1342</v>
      </c>
      <c r="O97" s="34"/>
      <c r="P97" s="70"/>
      <c r="Q97" s="357" t="s">
        <v>1961</v>
      </c>
    </row>
    <row r="98" spans="1:17" ht="51">
      <c r="A98" s="5" t="s">
        <v>146</v>
      </c>
      <c r="B98" s="56">
        <v>18.399999999999999</v>
      </c>
      <c r="C98" s="75">
        <v>18.100000000000001</v>
      </c>
      <c r="D98" s="6" t="s">
        <v>127</v>
      </c>
      <c r="E98" s="74" t="s">
        <v>1454</v>
      </c>
      <c r="F98" s="7" t="s">
        <v>1465</v>
      </c>
      <c r="G98" s="358" t="s">
        <v>9</v>
      </c>
      <c r="H98" s="358" t="s">
        <v>9</v>
      </c>
      <c r="I98" s="358" t="s">
        <v>12</v>
      </c>
      <c r="J98" s="6" t="s">
        <v>2075</v>
      </c>
      <c r="K98" s="6"/>
      <c r="L98" s="10"/>
      <c r="M98" s="57"/>
      <c r="N98" s="356" t="s">
        <v>1338</v>
      </c>
      <c r="O98" s="34"/>
      <c r="P98" s="70"/>
      <c r="Q98" s="357" t="s">
        <v>1558</v>
      </c>
    </row>
    <row r="99" spans="1:17" ht="51">
      <c r="A99" s="5" t="s">
        <v>146</v>
      </c>
      <c r="B99" s="56">
        <v>18.5</v>
      </c>
      <c r="C99" s="74">
        <v>18.7</v>
      </c>
      <c r="D99" s="6" t="s">
        <v>127</v>
      </c>
      <c r="E99" s="74" t="s">
        <v>1454</v>
      </c>
      <c r="F99" s="7" t="s">
        <v>1464</v>
      </c>
      <c r="G99" s="358" t="s">
        <v>9</v>
      </c>
      <c r="H99" s="358" t="s">
        <v>12</v>
      </c>
      <c r="I99" s="358" t="s">
        <v>12</v>
      </c>
      <c r="J99" s="6" t="s">
        <v>2075</v>
      </c>
      <c r="K99" s="6"/>
      <c r="L99" s="10"/>
      <c r="M99" s="57"/>
      <c r="N99" s="356" t="s">
        <v>1361</v>
      </c>
      <c r="O99" s="34"/>
      <c r="P99" s="70"/>
      <c r="Q99" s="357" t="s">
        <v>1961</v>
      </c>
    </row>
    <row r="100" spans="1:17" ht="51">
      <c r="A100" s="5" t="s">
        <v>146</v>
      </c>
      <c r="B100" s="56">
        <v>18.600000000000001</v>
      </c>
      <c r="C100" s="74">
        <v>18.8</v>
      </c>
      <c r="D100" s="6" t="s">
        <v>127</v>
      </c>
      <c r="E100" s="74" t="s">
        <v>1454</v>
      </c>
      <c r="F100" s="7" t="s">
        <v>1463</v>
      </c>
      <c r="G100" s="358" t="s">
        <v>9</v>
      </c>
      <c r="H100" s="358" t="s">
        <v>12</v>
      </c>
      <c r="I100" s="358" t="s">
        <v>12</v>
      </c>
      <c r="J100" s="6" t="s">
        <v>2075</v>
      </c>
      <c r="K100" s="6"/>
      <c r="L100" s="10"/>
      <c r="M100" s="57"/>
      <c r="N100" s="356" t="s">
        <v>1361</v>
      </c>
      <c r="O100" s="34"/>
      <c r="P100" s="70"/>
      <c r="Q100" s="357" t="s">
        <v>1961</v>
      </c>
    </row>
    <row r="101" spans="1:17" ht="68">
      <c r="A101" s="5" t="s">
        <v>146</v>
      </c>
      <c r="B101" s="56">
        <v>19.100000000000001</v>
      </c>
      <c r="C101" s="74">
        <v>19.100000000000001</v>
      </c>
      <c r="D101" s="6" t="s">
        <v>128</v>
      </c>
      <c r="E101" s="74" t="s">
        <v>1454</v>
      </c>
      <c r="F101" s="7" t="s">
        <v>1466</v>
      </c>
      <c r="G101" s="358" t="s">
        <v>9</v>
      </c>
      <c r="H101" s="358" t="s">
        <v>9</v>
      </c>
      <c r="I101" s="358" t="s">
        <v>9</v>
      </c>
      <c r="J101" s="6" t="s">
        <v>2075</v>
      </c>
      <c r="K101" s="6" t="s">
        <v>2114</v>
      </c>
      <c r="L101" s="5" t="s">
        <v>1218</v>
      </c>
      <c r="M101" s="373" t="s">
        <v>2141</v>
      </c>
      <c r="N101" s="356" t="s">
        <v>1349</v>
      </c>
      <c r="O101" s="34"/>
      <c r="P101" s="70"/>
      <c r="Q101" s="357" t="s">
        <v>1962</v>
      </c>
    </row>
    <row r="102" spans="1:17" ht="51">
      <c r="A102" s="5" t="s">
        <v>146</v>
      </c>
      <c r="B102" s="56">
        <v>19.2</v>
      </c>
      <c r="C102" s="74">
        <v>19.2</v>
      </c>
      <c r="D102" s="6" t="s">
        <v>128</v>
      </c>
      <c r="E102" s="74" t="s">
        <v>1454</v>
      </c>
      <c r="F102" s="7" t="s">
        <v>1467</v>
      </c>
      <c r="G102" s="358" t="s">
        <v>9</v>
      </c>
      <c r="H102" s="358" t="s">
        <v>9</v>
      </c>
      <c r="I102" s="358" t="s">
        <v>12</v>
      </c>
      <c r="J102" s="6" t="s">
        <v>2075</v>
      </c>
      <c r="K102" s="6" t="s">
        <v>2114</v>
      </c>
      <c r="L102" s="5" t="s">
        <v>1218</v>
      </c>
      <c r="M102" s="373" t="s">
        <v>2140</v>
      </c>
      <c r="N102" s="356" t="s">
        <v>1346</v>
      </c>
      <c r="O102" s="34"/>
      <c r="P102" s="70"/>
      <c r="Q102" s="357" t="s">
        <v>1962</v>
      </c>
    </row>
    <row r="103" spans="1:17" ht="51">
      <c r="A103" s="5" t="s">
        <v>146</v>
      </c>
      <c r="B103" s="56">
        <v>19.3</v>
      </c>
      <c r="C103" s="74">
        <v>19.3</v>
      </c>
      <c r="D103" s="6" t="s">
        <v>128</v>
      </c>
      <c r="E103" s="74" t="s">
        <v>1454</v>
      </c>
      <c r="F103" s="7" t="s">
        <v>1468</v>
      </c>
      <c r="G103" s="358" t="s">
        <v>9</v>
      </c>
      <c r="H103" s="358" t="s">
        <v>9</v>
      </c>
      <c r="I103" s="358" t="s">
        <v>9</v>
      </c>
      <c r="J103" s="6" t="s">
        <v>2075</v>
      </c>
      <c r="K103" s="6" t="s">
        <v>2115</v>
      </c>
      <c r="L103" s="5" t="s">
        <v>1218</v>
      </c>
      <c r="M103" s="58" t="s">
        <v>2128</v>
      </c>
      <c r="N103" s="356" t="s">
        <v>1348</v>
      </c>
      <c r="O103" s="34"/>
      <c r="P103" s="70"/>
      <c r="Q103" s="357" t="s">
        <v>1962</v>
      </c>
    </row>
    <row r="104" spans="1:17" ht="85">
      <c r="A104" s="5" t="s">
        <v>146</v>
      </c>
      <c r="B104" s="56">
        <v>19.399999999999999</v>
      </c>
      <c r="C104" s="74">
        <v>19.7</v>
      </c>
      <c r="D104" s="6" t="s">
        <v>128</v>
      </c>
      <c r="E104" s="74" t="s">
        <v>1454</v>
      </c>
      <c r="F104" s="7" t="s">
        <v>1470</v>
      </c>
      <c r="G104" s="358" t="s">
        <v>9</v>
      </c>
      <c r="H104" s="358" t="s">
        <v>9</v>
      </c>
      <c r="I104" s="358" t="s">
        <v>12</v>
      </c>
      <c r="J104" s="6" t="s">
        <v>2075</v>
      </c>
      <c r="K104" s="6"/>
      <c r="L104" s="5" t="s">
        <v>1218</v>
      </c>
      <c r="M104" s="58"/>
      <c r="N104" s="356" t="s">
        <v>1347</v>
      </c>
      <c r="O104" s="34"/>
      <c r="P104" s="70" t="s">
        <v>145</v>
      </c>
      <c r="Q104" s="357" t="s">
        <v>1962</v>
      </c>
    </row>
    <row r="105" spans="1:17" ht="51">
      <c r="A105" s="5" t="s">
        <v>146</v>
      </c>
      <c r="B105" s="56">
        <v>19.5</v>
      </c>
      <c r="C105" s="74">
        <v>19.600000000000001</v>
      </c>
      <c r="D105" s="6" t="s">
        <v>128</v>
      </c>
      <c r="E105" s="74" t="s">
        <v>1454</v>
      </c>
      <c r="F105" s="7" t="s">
        <v>1469</v>
      </c>
      <c r="G105" s="358" t="s">
        <v>9</v>
      </c>
      <c r="H105" s="358" t="s">
        <v>9</v>
      </c>
      <c r="I105" s="358" t="s">
        <v>9</v>
      </c>
      <c r="J105" s="6" t="s">
        <v>2075</v>
      </c>
      <c r="K105" s="6" t="s">
        <v>2116</v>
      </c>
      <c r="L105" s="5" t="s">
        <v>1218</v>
      </c>
      <c r="M105" s="58" t="s">
        <v>2128</v>
      </c>
      <c r="N105" s="356" t="s">
        <v>1345</v>
      </c>
      <c r="O105" s="34"/>
      <c r="P105" s="70" t="s">
        <v>192</v>
      </c>
      <c r="Q105" s="357" t="s">
        <v>1962</v>
      </c>
    </row>
    <row r="106" spans="1:17" ht="51">
      <c r="A106" s="5" t="s">
        <v>146</v>
      </c>
      <c r="B106" s="56">
        <v>20.100000000000001</v>
      </c>
      <c r="C106" s="74">
        <v>20.2</v>
      </c>
      <c r="D106" s="6" t="s">
        <v>129</v>
      </c>
      <c r="E106" s="74" t="s">
        <v>1454</v>
      </c>
      <c r="F106" s="7" t="s">
        <v>1471</v>
      </c>
      <c r="G106" s="358" t="s">
        <v>9</v>
      </c>
      <c r="H106" s="358" t="s">
        <v>9</v>
      </c>
      <c r="I106" s="358" t="s">
        <v>12</v>
      </c>
      <c r="J106" s="6" t="s">
        <v>2075</v>
      </c>
      <c r="K106" s="6"/>
      <c r="L106" s="10"/>
      <c r="M106" s="56"/>
      <c r="N106" s="356" t="s">
        <v>1360</v>
      </c>
      <c r="O106" s="34"/>
      <c r="P106" s="70"/>
      <c r="Q106" s="357" t="s">
        <v>1558</v>
      </c>
    </row>
    <row r="107" spans="1:17" ht="68">
      <c r="A107" s="5" t="s">
        <v>146</v>
      </c>
      <c r="B107" s="56">
        <v>20.2</v>
      </c>
      <c r="C107" s="74">
        <v>20.3</v>
      </c>
      <c r="D107" s="6" t="s">
        <v>129</v>
      </c>
      <c r="E107" s="74" t="s">
        <v>1454</v>
      </c>
      <c r="F107" s="7" t="s">
        <v>1472</v>
      </c>
      <c r="G107" s="358" t="s">
        <v>9</v>
      </c>
      <c r="H107" s="358" t="s">
        <v>9</v>
      </c>
      <c r="I107" s="358" t="s">
        <v>12</v>
      </c>
      <c r="J107" s="6" t="s">
        <v>2075</v>
      </c>
      <c r="K107" s="6"/>
      <c r="L107" s="10"/>
      <c r="M107" s="56"/>
      <c r="N107" s="356" t="s">
        <v>1347</v>
      </c>
      <c r="O107" s="34"/>
      <c r="P107" s="70"/>
      <c r="Q107" s="357" t="s">
        <v>1558</v>
      </c>
    </row>
    <row r="108" spans="1:17">
      <c r="A108" s="5"/>
      <c r="B108" s="5"/>
      <c r="C108" s="76"/>
      <c r="D108" s="6"/>
      <c r="E108" s="76"/>
      <c r="F108" s="7"/>
      <c r="G108" s="5"/>
      <c r="H108" s="5"/>
      <c r="I108" s="5"/>
      <c r="J108" s="5"/>
      <c r="K108" s="5"/>
      <c r="L108" s="5"/>
      <c r="M108" s="5"/>
      <c r="N108" s="68"/>
      <c r="O108" s="34"/>
      <c r="P108" s="70"/>
      <c r="Q108" s="175"/>
    </row>
    <row r="109" spans="1:17">
      <c r="A109" s="5"/>
      <c r="B109" s="5"/>
      <c r="C109" s="76"/>
      <c r="D109" s="6"/>
      <c r="E109" s="76"/>
      <c r="F109" s="7"/>
      <c r="G109" s="5"/>
      <c r="H109" s="5"/>
      <c r="I109" s="5"/>
      <c r="J109" s="5"/>
      <c r="K109" s="5"/>
      <c r="L109" s="5"/>
      <c r="M109" s="5"/>
      <c r="N109" s="68"/>
      <c r="O109" s="34"/>
      <c r="P109" s="70"/>
      <c r="Q109" s="175"/>
    </row>
    <row r="110" spans="1:17">
      <c r="A110" s="5"/>
      <c r="B110" s="5"/>
      <c r="C110" s="76"/>
      <c r="D110" s="6"/>
      <c r="E110" s="76"/>
      <c r="F110" s="7"/>
      <c r="G110" s="5"/>
      <c r="H110" s="5"/>
      <c r="I110" s="5"/>
      <c r="J110" s="5"/>
      <c r="K110" s="5"/>
      <c r="L110" s="5"/>
      <c r="M110" s="5"/>
      <c r="N110" s="68"/>
      <c r="O110" s="34"/>
      <c r="P110" s="70"/>
      <c r="Q110" s="175"/>
    </row>
    <row r="111" spans="1:17" ht="20">
      <c r="F111" s="9" t="s">
        <v>9</v>
      </c>
      <c r="G111" s="5">
        <f>COUNTIF(G3:G110, "Required")</f>
        <v>104</v>
      </c>
      <c r="H111" s="5">
        <f>COUNTIF(H3:H110, "Required")</f>
        <v>86</v>
      </c>
      <c r="I111" s="5">
        <f>COUNTIF(I3:I110, "Required")</f>
        <v>40</v>
      </c>
      <c r="J111" s="14"/>
    </row>
    <row r="112" spans="1:17" ht="20">
      <c r="F112" s="9" t="s">
        <v>12</v>
      </c>
      <c r="G112" s="5">
        <f>COUNTIF(G3:G110, "Recommend")</f>
        <v>1</v>
      </c>
      <c r="H112" s="5">
        <f>COUNTIF(H3:H110, "Recommend")</f>
        <v>19</v>
      </c>
      <c r="I112" s="5">
        <f>COUNTIF(I3:I110, "Recommend")</f>
        <v>56</v>
      </c>
      <c r="J112" s="14"/>
    </row>
    <row r="113" spans="6:10" ht="20">
      <c r="F113" s="9" t="s">
        <v>14</v>
      </c>
      <c r="G113" s="5">
        <f>COUNTIF(G3:G110, "Optional")</f>
        <v>0</v>
      </c>
      <c r="H113" s="5">
        <f>COUNTIF(H3:H110, "Optional")</f>
        <v>0</v>
      </c>
      <c r="I113" s="5">
        <f>COUNTIF(I3:I110, "Optional")</f>
        <v>9</v>
      </c>
      <c r="J113" s="14"/>
    </row>
    <row r="114" spans="6:10" ht="20">
      <c r="F114" s="9" t="s">
        <v>171</v>
      </c>
      <c r="G114" s="10">
        <f>SUM(G111:G113)</f>
        <v>105</v>
      </c>
      <c r="H114" s="10">
        <f>SUM(H111:H112)</f>
        <v>105</v>
      </c>
      <c r="I114" s="10">
        <f>SUM(I111:I112)</f>
        <v>96</v>
      </c>
      <c r="J114" s="62"/>
    </row>
  </sheetData>
  <mergeCells count="2">
    <mergeCell ref="G1:I1"/>
    <mergeCell ref="S2:U6"/>
  </mergeCells>
  <conditionalFormatting sqref="G108:J1048576 G1:G2 J4:J36 J39:J51 J53:J107">
    <cfRule type="containsText" dxfId="774" priority="1003" operator="containsText" text="Optional">
      <formula>NOT(ISERROR(SEARCH("Optional",G1)))</formula>
    </cfRule>
    <cfRule type="containsText" dxfId="773" priority="1004" operator="containsText" text="Recommend">
      <formula>NOT(ISERROR(SEARCH("Recommend",G1)))</formula>
    </cfRule>
    <cfRule type="containsText" dxfId="772" priority="1005" operator="containsText" text="Required">
      <formula>NOT(ISERROR(SEARCH("Required",G1)))</formula>
    </cfRule>
  </conditionalFormatting>
  <conditionalFormatting sqref="H2:J2 J1">
    <cfRule type="containsText" dxfId="771" priority="997" operator="containsText" text="Optional">
      <formula>NOT(ISERROR(SEARCH("Optional",H1)))</formula>
    </cfRule>
    <cfRule type="containsText" dxfId="770" priority="998" operator="containsText" text="Recommend">
      <formula>NOT(ISERROR(SEARCH("Recommend",H1)))</formula>
    </cfRule>
    <cfRule type="containsText" dxfId="769" priority="999" operator="containsText" text="Required">
      <formula>NOT(ISERROR(SEARCH("Required",H1)))</formula>
    </cfRule>
  </conditionalFormatting>
  <conditionalFormatting sqref="J3">
    <cfRule type="containsText" dxfId="768" priority="406" operator="containsText" text="Optional">
      <formula>NOT(ISERROR(SEARCH("Optional",J3)))</formula>
    </cfRule>
    <cfRule type="containsText" dxfId="767" priority="407" operator="containsText" text="Recommend">
      <formula>NOT(ISERROR(SEARCH("Recommend",J3)))</formula>
    </cfRule>
    <cfRule type="containsText" dxfId="766" priority="408" operator="containsText" text="Required">
      <formula>NOT(ISERROR(SEARCH("Required",J3)))</formula>
    </cfRule>
  </conditionalFormatting>
  <conditionalFormatting sqref="G81:G107">
    <cfRule type="containsText" dxfId="765" priority="397" operator="containsText" text="Optional">
      <formula>NOT(ISERROR(SEARCH("Optional",G81)))</formula>
    </cfRule>
    <cfRule type="containsText" dxfId="764" priority="398" operator="containsText" text="Recommend">
      <formula>NOT(ISERROR(SEARCH("Recommend",G81)))</formula>
    </cfRule>
    <cfRule type="containsText" dxfId="763" priority="399" operator="containsText" text="Required">
      <formula>NOT(ISERROR(SEARCH("Required",G81)))</formula>
    </cfRule>
  </conditionalFormatting>
  <conditionalFormatting sqref="H74:H75">
    <cfRule type="containsText" dxfId="762" priority="367" operator="containsText" text="Optional">
      <formula>NOT(ISERROR(SEARCH("Optional",H74)))</formula>
    </cfRule>
    <cfRule type="containsText" dxfId="761" priority="368" operator="containsText" text="Recommend">
      <formula>NOT(ISERROR(SEARCH("Recommend",H74)))</formula>
    </cfRule>
    <cfRule type="containsText" dxfId="760" priority="369" operator="containsText" text="Required">
      <formula>NOT(ISERROR(SEARCH("Required",H74)))</formula>
    </cfRule>
  </conditionalFormatting>
  <conditionalFormatting sqref="H40:H46">
    <cfRule type="containsText" dxfId="759" priority="385" operator="containsText" text="Optional">
      <formula>NOT(ISERROR(SEARCH("Optional",H40)))</formula>
    </cfRule>
    <cfRule type="containsText" dxfId="758" priority="386" operator="containsText" text="Recommend">
      <formula>NOT(ISERROR(SEARCH("Recommend",H40)))</formula>
    </cfRule>
    <cfRule type="containsText" dxfId="757" priority="387" operator="containsText" text="Required">
      <formula>NOT(ISERROR(SEARCH("Required",H40)))</formula>
    </cfRule>
  </conditionalFormatting>
  <conditionalFormatting sqref="H81:H86">
    <cfRule type="containsText" dxfId="756" priority="361" operator="containsText" text="Optional">
      <formula>NOT(ISERROR(SEARCH("Optional",H81)))</formula>
    </cfRule>
    <cfRule type="containsText" dxfId="755" priority="362" operator="containsText" text="Recommend">
      <formula>NOT(ISERROR(SEARCH("Recommend",H81)))</formula>
    </cfRule>
    <cfRule type="containsText" dxfId="754" priority="363" operator="containsText" text="Required">
      <formula>NOT(ISERROR(SEARCH("Required",H81)))</formula>
    </cfRule>
  </conditionalFormatting>
  <conditionalFormatting sqref="H58:H60">
    <cfRule type="containsText" dxfId="753" priority="379" operator="containsText" text="Optional">
      <formula>NOT(ISERROR(SEARCH("Optional",H58)))</formula>
    </cfRule>
    <cfRule type="containsText" dxfId="752" priority="380" operator="containsText" text="Recommend">
      <formula>NOT(ISERROR(SEARCH("Recommend",H58)))</formula>
    </cfRule>
    <cfRule type="containsText" dxfId="751" priority="381" operator="containsText" text="Required">
      <formula>NOT(ISERROR(SEARCH("Required",H58)))</formula>
    </cfRule>
  </conditionalFormatting>
  <conditionalFormatting sqref="H66:H68">
    <cfRule type="containsText" dxfId="750" priority="373" operator="containsText" text="Optional">
      <formula>NOT(ISERROR(SEARCH("Optional",H66)))</formula>
    </cfRule>
    <cfRule type="containsText" dxfId="749" priority="374" operator="containsText" text="Recommend">
      <formula>NOT(ISERROR(SEARCH("Recommend",H66)))</formula>
    </cfRule>
    <cfRule type="containsText" dxfId="748" priority="375" operator="containsText" text="Required">
      <formula>NOT(ISERROR(SEARCH("Required",H66)))</formula>
    </cfRule>
  </conditionalFormatting>
  <conditionalFormatting sqref="H97:H98">
    <cfRule type="containsText" dxfId="747" priority="355" operator="containsText" text="Optional">
      <formula>NOT(ISERROR(SEARCH("Optional",H97)))</formula>
    </cfRule>
    <cfRule type="containsText" dxfId="746" priority="356" operator="containsText" text="Recommend">
      <formula>NOT(ISERROR(SEARCH("Recommend",H97)))</formula>
    </cfRule>
    <cfRule type="containsText" dxfId="745" priority="357" operator="containsText" text="Required">
      <formula>NOT(ISERROR(SEARCH("Required",H97)))</formula>
    </cfRule>
  </conditionalFormatting>
  <conditionalFormatting sqref="H63:H64">
    <cfRule type="containsText" dxfId="744" priority="376" operator="containsText" text="Optional">
      <formula>NOT(ISERROR(SEARCH("Optional",H63)))</formula>
    </cfRule>
    <cfRule type="containsText" dxfId="743" priority="377" operator="containsText" text="Recommend">
      <formula>NOT(ISERROR(SEARCH("Recommend",H63)))</formula>
    </cfRule>
    <cfRule type="containsText" dxfId="742" priority="378" operator="containsText" text="Required">
      <formula>NOT(ISERROR(SEARCH("Required",H63)))</formula>
    </cfRule>
  </conditionalFormatting>
  <conditionalFormatting sqref="I35">
    <cfRule type="containsText" dxfId="741" priority="337" operator="containsText" text="Optional">
      <formula>NOT(ISERROR(SEARCH("Optional",I35)))</formula>
    </cfRule>
    <cfRule type="containsText" dxfId="740" priority="338" operator="containsText" text="Recommend">
      <formula>NOT(ISERROR(SEARCH("Recommend",I35)))</formula>
    </cfRule>
    <cfRule type="containsText" dxfId="739" priority="339" operator="containsText" text="Required">
      <formula>NOT(ISERROR(SEARCH("Required",I35)))</formula>
    </cfRule>
  </conditionalFormatting>
  <conditionalFormatting sqref="H77:H79">
    <cfRule type="containsText" dxfId="738" priority="364" operator="containsText" text="Optional">
      <formula>NOT(ISERROR(SEARCH("Optional",H77)))</formula>
    </cfRule>
    <cfRule type="containsText" dxfId="737" priority="365" operator="containsText" text="Recommend">
      <formula>NOT(ISERROR(SEARCH("Recommend",H77)))</formula>
    </cfRule>
    <cfRule type="containsText" dxfId="736" priority="366" operator="containsText" text="Required">
      <formula>NOT(ISERROR(SEARCH("Required",H77)))</formula>
    </cfRule>
  </conditionalFormatting>
  <conditionalFormatting sqref="I50">
    <cfRule type="containsText" dxfId="735" priority="319" operator="containsText" text="Optional">
      <formula>NOT(ISERROR(SEARCH("Optional",I50)))</formula>
    </cfRule>
    <cfRule type="containsText" dxfId="734" priority="320" operator="containsText" text="Recommend">
      <formula>NOT(ISERROR(SEARCH("Recommend",I50)))</formula>
    </cfRule>
    <cfRule type="containsText" dxfId="733" priority="321" operator="containsText" text="Required">
      <formula>NOT(ISERROR(SEARCH("Required",I50)))</formula>
    </cfRule>
  </conditionalFormatting>
  <conditionalFormatting sqref="I16:I19">
    <cfRule type="containsText" dxfId="732" priority="346" operator="containsText" text="Optional">
      <formula>NOT(ISERROR(SEARCH("Optional",I16)))</formula>
    </cfRule>
    <cfRule type="containsText" dxfId="731" priority="347" operator="containsText" text="Recommend">
      <formula>NOT(ISERROR(SEARCH("Recommend",I16)))</formula>
    </cfRule>
    <cfRule type="containsText" dxfId="730" priority="348" operator="containsText" text="Required">
      <formula>NOT(ISERROR(SEARCH("Required",I16)))</formula>
    </cfRule>
  </conditionalFormatting>
  <conditionalFormatting sqref="I66">
    <cfRule type="containsText" dxfId="729" priority="301" operator="containsText" text="Optional">
      <formula>NOT(ISERROR(SEARCH("Optional",I66)))</formula>
    </cfRule>
    <cfRule type="containsText" dxfId="728" priority="302" operator="containsText" text="Recommend">
      <formula>NOT(ISERROR(SEARCH("Recommend",I66)))</formula>
    </cfRule>
    <cfRule type="containsText" dxfId="727" priority="303" operator="containsText" text="Required">
      <formula>NOT(ISERROR(SEARCH("Required",I66)))</formula>
    </cfRule>
  </conditionalFormatting>
  <conditionalFormatting sqref="I53">
    <cfRule type="containsText" dxfId="726" priority="313" operator="containsText" text="Optional">
      <formula>NOT(ISERROR(SEARCH("Optional",I53)))</formula>
    </cfRule>
    <cfRule type="containsText" dxfId="725" priority="314" operator="containsText" text="Recommend">
      <formula>NOT(ISERROR(SEARCH("Recommend",I53)))</formula>
    </cfRule>
    <cfRule type="containsText" dxfId="724" priority="315" operator="containsText" text="Required">
      <formula>NOT(ISERROR(SEARCH("Required",I53)))</formula>
    </cfRule>
  </conditionalFormatting>
  <conditionalFormatting sqref="I90">
    <cfRule type="containsText" dxfId="723" priority="274" operator="containsText" text="Optional">
      <formula>NOT(ISERROR(SEARCH("Optional",I90)))</formula>
    </cfRule>
    <cfRule type="containsText" dxfId="722" priority="275" operator="containsText" text="Recommend">
      <formula>NOT(ISERROR(SEARCH("Recommend",I90)))</formula>
    </cfRule>
    <cfRule type="containsText" dxfId="721" priority="276" operator="containsText" text="Required">
      <formula>NOT(ISERROR(SEARCH("Required",I90)))</formula>
    </cfRule>
  </conditionalFormatting>
  <conditionalFormatting sqref="I92">
    <cfRule type="containsText" dxfId="720" priority="268" operator="containsText" text="Optional">
      <formula>NOT(ISERROR(SEARCH("Optional",I92)))</formula>
    </cfRule>
    <cfRule type="containsText" dxfId="719" priority="269" operator="containsText" text="Recommend">
      <formula>NOT(ISERROR(SEARCH("Recommend",I92)))</formula>
    </cfRule>
    <cfRule type="containsText" dxfId="718" priority="270" operator="containsText" text="Required">
      <formula>NOT(ISERROR(SEARCH("Required",I92)))</formula>
    </cfRule>
  </conditionalFormatting>
  <conditionalFormatting sqref="I77">
    <cfRule type="containsText" dxfId="717" priority="292" operator="containsText" text="Optional">
      <formula>NOT(ISERROR(SEARCH("Optional",I77)))</formula>
    </cfRule>
    <cfRule type="containsText" dxfId="716" priority="293" operator="containsText" text="Recommend">
      <formula>NOT(ISERROR(SEARCH("Recommend",I77)))</formula>
    </cfRule>
    <cfRule type="containsText" dxfId="715" priority="294" operator="containsText" text="Required">
      <formula>NOT(ISERROR(SEARCH("Required",I77)))</formula>
    </cfRule>
  </conditionalFormatting>
  <conditionalFormatting sqref="I101">
    <cfRule type="containsText" dxfId="714" priority="259" operator="containsText" text="Optional">
      <formula>NOT(ISERROR(SEARCH("Optional",I101)))</formula>
    </cfRule>
    <cfRule type="containsText" dxfId="713" priority="260" operator="containsText" text="Recommend">
      <formula>NOT(ISERROR(SEARCH("Recommend",I101)))</formula>
    </cfRule>
    <cfRule type="containsText" dxfId="712" priority="261" operator="containsText" text="Required">
      <formula>NOT(ISERROR(SEARCH("Required",I101)))</formula>
    </cfRule>
  </conditionalFormatting>
  <conditionalFormatting sqref="H23">
    <cfRule type="containsText" dxfId="711" priority="247" operator="containsText" text="Optional">
      <formula>NOT(ISERROR(SEARCH("Optional",H23)))</formula>
    </cfRule>
    <cfRule type="containsText" dxfId="710" priority="248" operator="containsText" text="Recommend">
      <formula>NOT(ISERROR(SEARCH("Recommend",H23)))</formula>
    </cfRule>
    <cfRule type="containsText" dxfId="709" priority="249" operator="containsText" text="Required">
      <formula>NOT(ISERROR(SEARCH("Required",H23)))</formula>
    </cfRule>
  </conditionalFormatting>
  <conditionalFormatting sqref="J37:J38">
    <cfRule type="containsText" dxfId="708" priority="637" operator="containsText" text="Optional">
      <formula>NOT(ISERROR(SEARCH("Optional",J37)))</formula>
    </cfRule>
    <cfRule type="containsText" dxfId="707" priority="638" operator="containsText" text="Recommend">
      <formula>NOT(ISERROR(SEARCH("Recommend",J37)))</formula>
    </cfRule>
    <cfRule type="containsText" dxfId="706" priority="639" operator="containsText" text="Required">
      <formula>NOT(ISERROR(SEARCH("Required",J37)))</formula>
    </cfRule>
  </conditionalFormatting>
  <conditionalFormatting sqref="J52">
    <cfRule type="containsText" dxfId="705" priority="634" operator="containsText" text="Optional">
      <formula>NOT(ISERROR(SEARCH("Optional",J52)))</formula>
    </cfRule>
    <cfRule type="containsText" dxfId="704" priority="635" operator="containsText" text="Recommend">
      <formula>NOT(ISERROR(SEARCH("Recommend",J52)))</formula>
    </cfRule>
    <cfRule type="containsText" dxfId="703" priority="636" operator="containsText" text="Required">
      <formula>NOT(ISERROR(SEARCH("Required",J52)))</formula>
    </cfRule>
  </conditionalFormatting>
  <conditionalFormatting sqref="H62">
    <cfRule type="containsText" dxfId="702" priority="226" operator="containsText" text="Optional">
      <formula>NOT(ISERROR(SEARCH("Optional",H62)))</formula>
    </cfRule>
    <cfRule type="containsText" dxfId="701" priority="227" operator="containsText" text="Recommend">
      <formula>NOT(ISERROR(SEARCH("Recommend",H62)))</formula>
    </cfRule>
    <cfRule type="containsText" dxfId="700" priority="228" operator="containsText" text="Required">
      <formula>NOT(ISERROR(SEARCH("Required",H62)))</formula>
    </cfRule>
  </conditionalFormatting>
  <conditionalFormatting sqref="H48">
    <cfRule type="containsText" dxfId="699" priority="235" operator="containsText" text="Optional">
      <formula>NOT(ISERROR(SEARCH("Optional",H48)))</formula>
    </cfRule>
    <cfRule type="containsText" dxfId="698" priority="236" operator="containsText" text="Recommend">
      <formula>NOT(ISERROR(SEARCH("Recommend",H48)))</formula>
    </cfRule>
    <cfRule type="containsText" dxfId="697" priority="237" operator="containsText" text="Required">
      <formula>NOT(ISERROR(SEARCH("Required",H48)))</formula>
    </cfRule>
  </conditionalFormatting>
  <conditionalFormatting sqref="H96">
    <cfRule type="containsText" dxfId="696" priority="202" operator="containsText" text="Optional">
      <formula>NOT(ISERROR(SEARCH("Optional",H96)))</formula>
    </cfRule>
    <cfRule type="containsText" dxfId="695" priority="203" operator="containsText" text="Recommend">
      <formula>NOT(ISERROR(SEARCH("Recommend",H96)))</formula>
    </cfRule>
    <cfRule type="containsText" dxfId="694" priority="204" operator="containsText" text="Required">
      <formula>NOT(ISERROR(SEARCH("Required",H96)))</formula>
    </cfRule>
  </conditionalFormatting>
  <conditionalFormatting sqref="H76">
    <cfRule type="containsText" dxfId="693" priority="211" operator="containsText" text="Optional">
      <formula>NOT(ISERROR(SEARCH("Optional",H76)))</formula>
    </cfRule>
    <cfRule type="containsText" dxfId="692" priority="212" operator="containsText" text="Recommend">
      <formula>NOT(ISERROR(SEARCH("Recommend",H76)))</formula>
    </cfRule>
    <cfRule type="containsText" dxfId="691" priority="213" operator="containsText" text="Required">
      <formula>NOT(ISERROR(SEARCH("Required",H76)))</formula>
    </cfRule>
  </conditionalFormatting>
  <conditionalFormatting sqref="H80">
    <cfRule type="containsText" dxfId="690" priority="208" operator="containsText" text="Optional">
      <formula>NOT(ISERROR(SEARCH("Optional",H80)))</formula>
    </cfRule>
    <cfRule type="containsText" dxfId="689" priority="209" operator="containsText" text="Recommend">
      <formula>NOT(ISERROR(SEARCH("Recommend",H80)))</formula>
    </cfRule>
    <cfRule type="containsText" dxfId="688" priority="210" operator="containsText" text="Required">
      <formula>NOT(ISERROR(SEARCH("Required",H80)))</formula>
    </cfRule>
  </conditionalFormatting>
  <conditionalFormatting sqref="G3:I3">
    <cfRule type="containsText" dxfId="687" priority="610" operator="containsText" text="Optional">
      <formula>NOT(ISERROR(SEARCH("Optional",G3)))</formula>
    </cfRule>
    <cfRule type="containsText" dxfId="686" priority="611" operator="containsText" text="Recommend">
      <formula>NOT(ISERROR(SEARCH("Recommend",G3)))</formula>
    </cfRule>
    <cfRule type="containsText" dxfId="685" priority="612" operator="containsText" text="Required">
      <formula>NOT(ISERROR(SEARCH("Required",G3)))</formula>
    </cfRule>
  </conditionalFormatting>
  <conditionalFormatting sqref="I68">
    <cfRule type="containsText" dxfId="684" priority="136" operator="containsText" text="Optional">
      <formula>NOT(ISERROR(SEARCH("Optional",I68)))</formula>
    </cfRule>
    <cfRule type="containsText" dxfId="683" priority="137" operator="containsText" text="Recommend">
      <formula>NOT(ISERROR(SEARCH("Recommend",I68)))</formula>
    </cfRule>
    <cfRule type="containsText" dxfId="682" priority="138" operator="containsText" text="Required">
      <formula>NOT(ISERROR(SEARCH("Required",I68)))</formula>
    </cfRule>
  </conditionalFormatting>
  <conditionalFormatting sqref="I75">
    <cfRule type="containsText" dxfId="681" priority="148" operator="containsText" text="Optional">
      <formula>NOT(ISERROR(SEARCH("Optional",I75)))</formula>
    </cfRule>
    <cfRule type="containsText" dxfId="680" priority="149" operator="containsText" text="Recommend">
      <formula>NOT(ISERROR(SEARCH("Recommend",I75)))</formula>
    </cfRule>
    <cfRule type="containsText" dxfId="679" priority="150" operator="containsText" text="Required">
      <formula>NOT(ISERROR(SEARCH("Required",I75)))</formula>
    </cfRule>
  </conditionalFormatting>
  <conditionalFormatting sqref="H57">
    <cfRule type="containsText" dxfId="678" priority="232" operator="containsText" text="Optional">
      <formula>NOT(ISERROR(SEARCH("Optional",H57)))</formula>
    </cfRule>
    <cfRule type="containsText" dxfId="677" priority="233" operator="containsText" text="Recommend">
      <formula>NOT(ISERROR(SEARCH("Recommend",H57)))</formula>
    </cfRule>
    <cfRule type="containsText" dxfId="676" priority="234" operator="containsText" text="Required">
      <formula>NOT(ISERROR(SEARCH("Required",H57)))</formula>
    </cfRule>
  </conditionalFormatting>
  <conditionalFormatting sqref="I96">
    <cfRule type="containsText" dxfId="675" priority="169" operator="containsText" text="Optional">
      <formula>NOT(ISERROR(SEARCH("Optional",I96)))</formula>
    </cfRule>
    <cfRule type="containsText" dxfId="674" priority="170" operator="containsText" text="Recommend">
      <formula>NOT(ISERROR(SEARCH("Recommend",I96)))</formula>
    </cfRule>
    <cfRule type="containsText" dxfId="673" priority="171" operator="containsText" text="Required">
      <formula>NOT(ISERROR(SEARCH("Required",I96)))</formula>
    </cfRule>
  </conditionalFormatting>
  <conditionalFormatting sqref="H65">
    <cfRule type="containsText" dxfId="672" priority="223" operator="containsText" text="Optional">
      <formula>NOT(ISERROR(SEARCH("Optional",H65)))</formula>
    </cfRule>
    <cfRule type="containsText" dxfId="671" priority="224" operator="containsText" text="Recommend">
      <formula>NOT(ISERROR(SEARCH("Recommend",H65)))</formula>
    </cfRule>
    <cfRule type="containsText" dxfId="670" priority="225" operator="containsText" text="Required">
      <formula>NOT(ISERROR(SEARCH("Required",H65)))</formula>
    </cfRule>
  </conditionalFormatting>
  <conditionalFormatting sqref="I86">
    <cfRule type="containsText" dxfId="669" priority="160" operator="containsText" text="Optional">
      <formula>NOT(ISERROR(SEARCH("Optional",I86)))</formula>
    </cfRule>
    <cfRule type="containsText" dxfId="668" priority="161" operator="containsText" text="Recommend">
      <formula>NOT(ISERROR(SEARCH("Recommend",I86)))</formula>
    </cfRule>
    <cfRule type="containsText" dxfId="667" priority="162" operator="containsText" text="Required">
      <formula>NOT(ISERROR(SEARCH("Required",I86)))</formula>
    </cfRule>
  </conditionalFormatting>
  <conditionalFormatting sqref="I81">
    <cfRule type="containsText" dxfId="666" priority="154" operator="containsText" text="Optional">
      <formula>NOT(ISERROR(SEARCH("Optional",I81)))</formula>
    </cfRule>
    <cfRule type="containsText" dxfId="665" priority="155" operator="containsText" text="Recommend">
      <formula>NOT(ISERROR(SEARCH("Recommend",I81)))</formula>
    </cfRule>
    <cfRule type="containsText" dxfId="664" priority="156" operator="containsText" text="Required">
      <formula>NOT(ISERROR(SEARCH("Required",I81)))</formula>
    </cfRule>
  </conditionalFormatting>
  <conditionalFormatting sqref="I88">
    <cfRule type="containsText" dxfId="663" priority="163" operator="containsText" text="Optional">
      <formula>NOT(ISERROR(SEARCH("Optional",I88)))</formula>
    </cfRule>
    <cfRule type="containsText" dxfId="662" priority="164" operator="containsText" text="Recommend">
      <formula>NOT(ISERROR(SEARCH("Recommend",I88)))</formula>
    </cfRule>
    <cfRule type="containsText" dxfId="661" priority="165" operator="containsText" text="Required">
      <formula>NOT(ISERROR(SEARCH("Required",I88)))</formula>
    </cfRule>
  </conditionalFormatting>
  <conditionalFormatting sqref="I74">
    <cfRule type="containsText" dxfId="660" priority="145" operator="containsText" text="Optional">
      <formula>NOT(ISERROR(SEARCH("Optional",I74)))</formula>
    </cfRule>
    <cfRule type="containsText" dxfId="659" priority="146" operator="containsText" text="Recommend">
      <formula>NOT(ISERROR(SEARCH("Recommend",I74)))</formula>
    </cfRule>
    <cfRule type="containsText" dxfId="658" priority="147" operator="containsText" text="Required">
      <formula>NOT(ISERROR(SEARCH("Required",I74)))</formula>
    </cfRule>
  </conditionalFormatting>
  <conditionalFormatting sqref="I58">
    <cfRule type="containsText" dxfId="657" priority="127" operator="containsText" text="Optional">
      <formula>NOT(ISERROR(SEARCH("Optional",I58)))</formula>
    </cfRule>
    <cfRule type="containsText" dxfId="656" priority="128" operator="containsText" text="Recommend">
      <formula>NOT(ISERROR(SEARCH("Recommend",I58)))</formula>
    </cfRule>
    <cfRule type="containsText" dxfId="655" priority="129" operator="containsText" text="Required">
      <formula>NOT(ISERROR(SEARCH("Required",I58)))</formula>
    </cfRule>
  </conditionalFormatting>
  <conditionalFormatting sqref="H99">
    <cfRule type="containsText" dxfId="654" priority="199" operator="containsText" text="Optional">
      <formula>NOT(ISERROR(SEARCH("Optional",H99)))</formula>
    </cfRule>
    <cfRule type="containsText" dxfId="653" priority="200" operator="containsText" text="Recommend">
      <formula>NOT(ISERROR(SEARCH("Recommend",H99)))</formula>
    </cfRule>
    <cfRule type="containsText" dxfId="652" priority="201" operator="containsText" text="Required">
      <formula>NOT(ISERROR(SEARCH("Required",H99)))</formula>
    </cfRule>
  </conditionalFormatting>
  <conditionalFormatting sqref="I89">
    <cfRule type="containsText" dxfId="651" priority="277" operator="containsText" text="Optional">
      <formula>NOT(ISERROR(SEARCH("Optional",I89)))</formula>
    </cfRule>
    <cfRule type="containsText" dxfId="650" priority="278" operator="containsText" text="Recommend">
      <formula>NOT(ISERROR(SEARCH("Recommend",I89)))</formula>
    </cfRule>
    <cfRule type="containsText" dxfId="649" priority="279" operator="containsText" text="Required">
      <formula>NOT(ISERROR(SEARCH("Required",I89)))</formula>
    </cfRule>
  </conditionalFormatting>
  <conditionalFormatting sqref="I99">
    <cfRule type="containsText" dxfId="648" priority="178" operator="containsText" text="Optional">
      <formula>NOT(ISERROR(SEARCH("Optional",I99)))</formula>
    </cfRule>
    <cfRule type="containsText" dxfId="647" priority="179" operator="containsText" text="Recommend">
      <formula>NOT(ISERROR(SEARCH("Recommend",I99)))</formula>
    </cfRule>
    <cfRule type="containsText" dxfId="646" priority="180" operator="containsText" text="Required">
      <formula>NOT(ISERROR(SEARCH("Required",I99)))</formula>
    </cfRule>
  </conditionalFormatting>
  <conditionalFormatting sqref="I39">
    <cfRule type="containsText" dxfId="645" priority="100" operator="containsText" text="Optional">
      <formula>NOT(ISERROR(SEARCH("Optional",I39)))</formula>
    </cfRule>
    <cfRule type="containsText" dxfId="644" priority="101" operator="containsText" text="Recommend">
      <formula>NOT(ISERROR(SEARCH("Recommend",I39)))</formula>
    </cfRule>
    <cfRule type="containsText" dxfId="643" priority="102" operator="containsText" text="Required">
      <formula>NOT(ISERROR(SEARCH("Required",I39)))</formula>
    </cfRule>
  </conditionalFormatting>
  <conditionalFormatting sqref="I37">
    <cfRule type="containsText" dxfId="642" priority="94" operator="containsText" text="Optional">
      <formula>NOT(ISERROR(SEARCH("Optional",I37)))</formula>
    </cfRule>
    <cfRule type="containsText" dxfId="641" priority="95" operator="containsText" text="Recommend">
      <formula>NOT(ISERROR(SEARCH("Recommend",I37)))</formula>
    </cfRule>
    <cfRule type="containsText" dxfId="640" priority="96" operator="containsText" text="Required">
      <formula>NOT(ISERROR(SEARCH("Required",I37)))</formula>
    </cfRule>
  </conditionalFormatting>
  <conditionalFormatting sqref="I46">
    <cfRule type="containsText" dxfId="639" priority="109" operator="containsText" text="Optional">
      <formula>NOT(ISERROR(SEARCH("Optional",I46)))</formula>
    </cfRule>
    <cfRule type="containsText" dxfId="638" priority="110" operator="containsText" text="Recommend">
      <formula>NOT(ISERROR(SEARCH("Recommend",I46)))</formula>
    </cfRule>
    <cfRule type="containsText" dxfId="637" priority="111" operator="containsText" text="Required">
      <formula>NOT(ISERROR(SEARCH("Required",I46)))</formula>
    </cfRule>
  </conditionalFormatting>
  <conditionalFormatting sqref="I41">
    <cfRule type="containsText" dxfId="636" priority="106" operator="containsText" text="Optional">
      <formula>NOT(ISERROR(SEARCH("Optional",I41)))</formula>
    </cfRule>
    <cfRule type="containsText" dxfId="635" priority="107" operator="containsText" text="Recommend">
      <formula>NOT(ISERROR(SEARCH("Recommend",I41)))</formula>
    </cfRule>
    <cfRule type="containsText" dxfId="634" priority="108" operator="containsText" text="Required">
      <formula>NOT(ISERROR(SEARCH("Required",I41)))</formula>
    </cfRule>
  </conditionalFormatting>
  <conditionalFormatting sqref="I30">
    <cfRule type="containsText" dxfId="633" priority="340" operator="containsText" text="Optional">
      <formula>NOT(ISERROR(SEARCH("Optional",I30)))</formula>
    </cfRule>
    <cfRule type="containsText" dxfId="632" priority="341" operator="containsText" text="Recommend">
      <formula>NOT(ISERROR(SEARCH("Recommend",I30)))</formula>
    </cfRule>
    <cfRule type="containsText" dxfId="631" priority="342" operator="containsText" text="Required">
      <formula>NOT(ISERROR(SEARCH("Required",I30)))</formula>
    </cfRule>
  </conditionalFormatting>
  <conditionalFormatting sqref="I24">
    <cfRule type="containsText" dxfId="630" priority="64" operator="containsText" text="Optional">
      <formula>NOT(ISERROR(SEARCH("Optional",I24)))</formula>
    </cfRule>
    <cfRule type="containsText" dxfId="629" priority="65" operator="containsText" text="Recommend">
      <formula>NOT(ISERROR(SEARCH("Recommend",I24)))</formula>
    </cfRule>
    <cfRule type="containsText" dxfId="628" priority="66" operator="containsText" text="Required">
      <formula>NOT(ISERROR(SEARCH("Required",I24)))</formula>
    </cfRule>
  </conditionalFormatting>
  <conditionalFormatting sqref="I31">
    <cfRule type="containsText" dxfId="627" priority="79" operator="containsText" text="Optional">
      <formula>NOT(ISERROR(SEARCH("Optional",I31)))</formula>
    </cfRule>
    <cfRule type="containsText" dxfId="626" priority="80" operator="containsText" text="Recommend">
      <formula>NOT(ISERROR(SEARCH("Recommend",I31)))</formula>
    </cfRule>
    <cfRule type="containsText" dxfId="625" priority="81" operator="containsText" text="Required">
      <formula>NOT(ISERROR(SEARCH("Required",I31)))</formula>
    </cfRule>
  </conditionalFormatting>
  <conditionalFormatting sqref="I63">
    <cfRule type="containsText" dxfId="624" priority="304" operator="containsText" text="Optional">
      <formula>NOT(ISERROR(SEARCH("Optional",I63)))</formula>
    </cfRule>
    <cfRule type="containsText" dxfId="623" priority="305" operator="containsText" text="Recommend">
      <formula>NOT(ISERROR(SEARCH("Recommend",I63)))</formula>
    </cfRule>
    <cfRule type="containsText" dxfId="622" priority="306" operator="containsText" text="Required">
      <formula>NOT(ISERROR(SEARCH("Required",I63)))</formula>
    </cfRule>
  </conditionalFormatting>
  <conditionalFormatting sqref="I78">
    <cfRule type="containsText" dxfId="621" priority="289" operator="containsText" text="Optional">
      <formula>NOT(ISERROR(SEARCH("Optional",I78)))</formula>
    </cfRule>
    <cfRule type="containsText" dxfId="620" priority="290" operator="containsText" text="Recommend">
      <formula>NOT(ISERROR(SEARCH("Recommend",I78)))</formula>
    </cfRule>
    <cfRule type="containsText" dxfId="619" priority="291" operator="containsText" text="Required">
      <formula>NOT(ISERROR(SEARCH("Required",I78)))</formula>
    </cfRule>
  </conditionalFormatting>
  <conditionalFormatting sqref="I28">
    <cfRule type="containsText" dxfId="618" priority="73" operator="containsText" text="Optional">
      <formula>NOT(ISERROR(SEARCH("Optional",I28)))</formula>
    </cfRule>
    <cfRule type="containsText" dxfId="617" priority="74" operator="containsText" text="Recommend">
      <formula>NOT(ISERROR(SEARCH("Recommend",I28)))</formula>
    </cfRule>
    <cfRule type="containsText" dxfId="616" priority="75" operator="containsText" text="Required">
      <formula>NOT(ISERROR(SEARCH("Required",I28)))</formula>
    </cfRule>
  </conditionalFormatting>
  <conditionalFormatting sqref="I71">
    <cfRule type="containsText" dxfId="615" priority="139" operator="containsText" text="Optional">
      <formula>NOT(ISERROR(SEARCH("Optional",I71)))</formula>
    </cfRule>
    <cfRule type="containsText" dxfId="614" priority="140" operator="containsText" text="Recommend">
      <formula>NOT(ISERROR(SEARCH("Recommend",I71)))</formula>
    </cfRule>
    <cfRule type="containsText" dxfId="613" priority="141" operator="containsText" text="Required">
      <formula>NOT(ISERROR(SEARCH("Required",I71)))</formula>
    </cfRule>
  </conditionalFormatting>
  <conditionalFormatting sqref="I48">
    <cfRule type="containsText" dxfId="612" priority="25" operator="containsText" text="Optional">
      <formula>NOT(ISERROR(SEARCH("Optional",I48)))</formula>
    </cfRule>
    <cfRule type="containsText" dxfId="611" priority="26" operator="containsText" text="Recommend">
      <formula>NOT(ISERROR(SEARCH("Recommend",I48)))</formula>
    </cfRule>
    <cfRule type="containsText" dxfId="610" priority="27" operator="containsText" text="Required">
      <formula>NOT(ISERROR(SEARCH("Required",I48)))</formula>
    </cfRule>
  </conditionalFormatting>
  <conditionalFormatting sqref="I97">
    <cfRule type="containsText" dxfId="609" priority="172" operator="containsText" text="Optional">
      <formula>NOT(ISERROR(SEARCH("Optional",I97)))</formula>
    </cfRule>
    <cfRule type="containsText" dxfId="608" priority="173" operator="containsText" text="Recommend">
      <formula>NOT(ISERROR(SEARCH("Recommend",I97)))</formula>
    </cfRule>
    <cfRule type="containsText" dxfId="607" priority="174" operator="containsText" text="Required">
      <formula>NOT(ISERROR(SEARCH("Required",I97)))</formula>
    </cfRule>
  </conditionalFormatting>
  <conditionalFormatting sqref="I98">
    <cfRule type="containsText" dxfId="606" priority="175" operator="containsText" text="Optional">
      <formula>NOT(ISERROR(SEARCH("Optional",I98)))</formula>
    </cfRule>
    <cfRule type="containsText" dxfId="605" priority="176" operator="containsText" text="Recommend">
      <formula>NOT(ISERROR(SEARCH("Recommend",I98)))</formula>
    </cfRule>
    <cfRule type="containsText" dxfId="604" priority="177" operator="containsText" text="Required">
      <formula>NOT(ISERROR(SEARCH("Required",I98)))</formula>
    </cfRule>
  </conditionalFormatting>
  <conditionalFormatting sqref="I106">
    <cfRule type="containsText" dxfId="603" priority="190" operator="containsText" text="Optional">
      <formula>NOT(ISERROR(SEARCH("Optional",I106)))</formula>
    </cfRule>
    <cfRule type="containsText" dxfId="602" priority="191" operator="containsText" text="Recommend">
      <formula>NOT(ISERROR(SEARCH("Recommend",I106)))</formula>
    </cfRule>
    <cfRule type="containsText" dxfId="601" priority="192" operator="containsText" text="Required">
      <formula>NOT(ISERROR(SEARCH("Required",I106)))</formula>
    </cfRule>
  </conditionalFormatting>
  <conditionalFormatting sqref="G4:G79">
    <cfRule type="containsText" dxfId="600" priority="403" operator="containsText" text="Optional">
      <formula>NOT(ISERROR(SEARCH("Optional",G4)))</formula>
    </cfRule>
    <cfRule type="containsText" dxfId="599" priority="404" operator="containsText" text="Recommend">
      <formula>NOT(ISERROR(SEARCH("Recommend",G4)))</formula>
    </cfRule>
    <cfRule type="containsText" dxfId="598" priority="405" operator="containsText" text="Required">
      <formula>NOT(ISERROR(SEARCH("Required",G4)))</formula>
    </cfRule>
  </conditionalFormatting>
  <conditionalFormatting sqref="G80">
    <cfRule type="containsText" dxfId="597" priority="400" operator="containsText" text="Optional">
      <formula>NOT(ISERROR(SEARCH("Optional",G80)))</formula>
    </cfRule>
    <cfRule type="containsText" dxfId="596" priority="401" operator="containsText" text="Recommend">
      <formula>NOT(ISERROR(SEARCH("Recommend",G80)))</formula>
    </cfRule>
    <cfRule type="containsText" dxfId="595" priority="402" operator="containsText" text="Required">
      <formula>NOT(ISERROR(SEARCH("Required",G80)))</formula>
    </cfRule>
  </conditionalFormatting>
  <conditionalFormatting sqref="H4">
    <cfRule type="containsText" dxfId="594" priority="394" operator="containsText" text="Optional">
      <formula>NOT(ISERROR(SEARCH("Optional",H4)))</formula>
    </cfRule>
    <cfRule type="containsText" dxfId="593" priority="395" operator="containsText" text="Recommend">
      <formula>NOT(ISERROR(SEARCH("Recommend",H4)))</formula>
    </cfRule>
    <cfRule type="containsText" dxfId="592" priority="396" operator="containsText" text="Required">
      <formula>NOT(ISERROR(SEARCH("Required",H4)))</formula>
    </cfRule>
  </conditionalFormatting>
  <conditionalFormatting sqref="H6:H22">
    <cfRule type="containsText" dxfId="591" priority="391" operator="containsText" text="Optional">
      <formula>NOT(ISERROR(SEARCH("Optional",H6)))</formula>
    </cfRule>
    <cfRule type="containsText" dxfId="590" priority="392" operator="containsText" text="Recommend">
      <formula>NOT(ISERROR(SEARCH("Recommend",H6)))</formula>
    </cfRule>
    <cfRule type="containsText" dxfId="589" priority="393" operator="containsText" text="Required">
      <formula>NOT(ISERROR(SEARCH("Required",H6)))</formula>
    </cfRule>
  </conditionalFormatting>
  <conditionalFormatting sqref="H25:H38">
    <cfRule type="containsText" dxfId="588" priority="388" operator="containsText" text="Optional">
      <formula>NOT(ISERROR(SEARCH("Optional",H25)))</formula>
    </cfRule>
    <cfRule type="containsText" dxfId="587" priority="389" operator="containsText" text="Recommend">
      <formula>NOT(ISERROR(SEARCH("Recommend",H25)))</formula>
    </cfRule>
    <cfRule type="containsText" dxfId="586" priority="390" operator="containsText" text="Required">
      <formula>NOT(ISERROR(SEARCH("Required",H25)))</formula>
    </cfRule>
  </conditionalFormatting>
  <conditionalFormatting sqref="H49:H56">
    <cfRule type="containsText" dxfId="585" priority="382" operator="containsText" text="Optional">
      <formula>NOT(ISERROR(SEARCH("Optional",H49)))</formula>
    </cfRule>
    <cfRule type="containsText" dxfId="584" priority="383" operator="containsText" text="Recommend">
      <formula>NOT(ISERROR(SEARCH("Recommend",H49)))</formula>
    </cfRule>
    <cfRule type="containsText" dxfId="583" priority="384" operator="containsText" text="Required">
      <formula>NOT(ISERROR(SEARCH("Required",H49)))</formula>
    </cfRule>
  </conditionalFormatting>
  <conditionalFormatting sqref="H70:H71">
    <cfRule type="containsText" dxfId="582" priority="370" operator="containsText" text="Optional">
      <formula>NOT(ISERROR(SEARCH("Optional",H70)))</formula>
    </cfRule>
    <cfRule type="containsText" dxfId="581" priority="371" operator="containsText" text="Recommend">
      <formula>NOT(ISERROR(SEARCH("Recommend",H70)))</formula>
    </cfRule>
    <cfRule type="containsText" dxfId="580" priority="372" operator="containsText" text="Required">
      <formula>NOT(ISERROR(SEARCH("Required",H70)))</formula>
    </cfRule>
  </conditionalFormatting>
  <conditionalFormatting sqref="H88:H95">
    <cfRule type="containsText" dxfId="579" priority="358" operator="containsText" text="Optional">
      <formula>NOT(ISERROR(SEARCH("Optional",H88)))</formula>
    </cfRule>
    <cfRule type="containsText" dxfId="578" priority="359" operator="containsText" text="Recommend">
      <formula>NOT(ISERROR(SEARCH("Recommend",H88)))</formula>
    </cfRule>
    <cfRule type="containsText" dxfId="577" priority="360" operator="containsText" text="Required">
      <formula>NOT(ISERROR(SEARCH("Required",H88)))</formula>
    </cfRule>
  </conditionalFormatting>
  <conditionalFormatting sqref="H101:H107">
    <cfRule type="containsText" dxfId="576" priority="352" operator="containsText" text="Optional">
      <formula>NOT(ISERROR(SEARCH("Optional",H101)))</formula>
    </cfRule>
    <cfRule type="containsText" dxfId="575" priority="353" operator="containsText" text="Recommend">
      <formula>NOT(ISERROR(SEARCH("Recommend",H101)))</formula>
    </cfRule>
    <cfRule type="containsText" dxfId="574" priority="354" operator="containsText" text="Required">
      <formula>NOT(ISERROR(SEARCH("Required",H101)))</formula>
    </cfRule>
  </conditionalFormatting>
  <conditionalFormatting sqref="I10:I11 I7:I8">
    <cfRule type="containsText" dxfId="573" priority="349" operator="containsText" text="Optional">
      <formula>NOT(ISERROR(SEARCH("Optional",I7)))</formula>
    </cfRule>
    <cfRule type="containsText" dxfId="572" priority="350" operator="containsText" text="Recommend">
      <formula>NOT(ISERROR(SEARCH("Recommend",I7)))</formula>
    </cfRule>
    <cfRule type="containsText" dxfId="571" priority="351" operator="containsText" text="Required">
      <formula>NOT(ISERROR(SEARCH("Required",I7)))</formula>
    </cfRule>
  </conditionalFormatting>
  <conditionalFormatting sqref="I26">
    <cfRule type="containsText" dxfId="570" priority="343" operator="containsText" text="Optional">
      <formula>NOT(ISERROR(SEARCH("Optional",I26)))</formula>
    </cfRule>
    <cfRule type="containsText" dxfId="569" priority="344" operator="containsText" text="Recommend">
      <formula>NOT(ISERROR(SEARCH("Recommend",I26)))</formula>
    </cfRule>
    <cfRule type="containsText" dxfId="568" priority="345" operator="containsText" text="Required">
      <formula>NOT(ISERROR(SEARCH("Required",I26)))</formula>
    </cfRule>
  </conditionalFormatting>
  <conditionalFormatting sqref="I42">
    <cfRule type="containsText" dxfId="567" priority="334" operator="containsText" text="Optional">
      <formula>NOT(ISERROR(SEARCH("Optional",I42)))</formula>
    </cfRule>
    <cfRule type="containsText" dxfId="566" priority="335" operator="containsText" text="Recommend">
      <formula>NOT(ISERROR(SEARCH("Recommend",I42)))</formula>
    </cfRule>
    <cfRule type="containsText" dxfId="565" priority="336" operator="containsText" text="Required">
      <formula>NOT(ISERROR(SEARCH("Required",I42)))</formula>
    </cfRule>
  </conditionalFormatting>
  <conditionalFormatting sqref="I43">
    <cfRule type="containsText" dxfId="564" priority="331" operator="containsText" text="Optional">
      <formula>NOT(ISERROR(SEARCH("Optional",I43)))</formula>
    </cfRule>
    <cfRule type="containsText" dxfId="563" priority="332" operator="containsText" text="Recommend">
      <formula>NOT(ISERROR(SEARCH("Recommend",I43)))</formula>
    </cfRule>
    <cfRule type="containsText" dxfId="562" priority="333" operator="containsText" text="Required">
      <formula>NOT(ISERROR(SEARCH("Required",I43)))</formula>
    </cfRule>
  </conditionalFormatting>
  <conditionalFormatting sqref="I44">
    <cfRule type="containsText" dxfId="561" priority="328" operator="containsText" text="Optional">
      <formula>NOT(ISERROR(SEARCH("Optional",I44)))</formula>
    </cfRule>
    <cfRule type="containsText" dxfId="560" priority="329" operator="containsText" text="Recommend">
      <formula>NOT(ISERROR(SEARCH("Recommend",I44)))</formula>
    </cfRule>
    <cfRule type="containsText" dxfId="559" priority="330" operator="containsText" text="Required">
      <formula>NOT(ISERROR(SEARCH("Required",I44)))</formula>
    </cfRule>
  </conditionalFormatting>
  <conditionalFormatting sqref="I45">
    <cfRule type="containsText" dxfId="558" priority="325" operator="containsText" text="Optional">
      <formula>NOT(ISERROR(SEARCH("Optional",I45)))</formula>
    </cfRule>
    <cfRule type="containsText" dxfId="557" priority="326" operator="containsText" text="Recommend">
      <formula>NOT(ISERROR(SEARCH("Recommend",I45)))</formula>
    </cfRule>
    <cfRule type="containsText" dxfId="556" priority="327" operator="containsText" text="Required">
      <formula>NOT(ISERROR(SEARCH("Required",I45)))</formula>
    </cfRule>
  </conditionalFormatting>
  <conditionalFormatting sqref="I49">
    <cfRule type="containsText" dxfId="555" priority="322" operator="containsText" text="Optional">
      <formula>NOT(ISERROR(SEARCH("Optional",I49)))</formula>
    </cfRule>
    <cfRule type="containsText" dxfId="554" priority="323" operator="containsText" text="Recommend">
      <formula>NOT(ISERROR(SEARCH("Recommend",I49)))</formula>
    </cfRule>
    <cfRule type="containsText" dxfId="553" priority="324" operator="containsText" text="Required">
      <formula>NOT(ISERROR(SEARCH("Required",I49)))</formula>
    </cfRule>
  </conditionalFormatting>
  <conditionalFormatting sqref="I51">
    <cfRule type="containsText" dxfId="552" priority="316" operator="containsText" text="Optional">
      <formula>NOT(ISERROR(SEARCH("Optional",I51)))</formula>
    </cfRule>
    <cfRule type="containsText" dxfId="551" priority="317" operator="containsText" text="Recommend">
      <formula>NOT(ISERROR(SEARCH("Recommend",I51)))</formula>
    </cfRule>
    <cfRule type="containsText" dxfId="550" priority="318" operator="containsText" text="Required">
      <formula>NOT(ISERROR(SEARCH("Required",I51)))</formula>
    </cfRule>
  </conditionalFormatting>
  <conditionalFormatting sqref="I56">
    <cfRule type="containsText" dxfId="549" priority="310" operator="containsText" text="Optional">
      <formula>NOT(ISERROR(SEARCH("Optional",I56)))</formula>
    </cfRule>
    <cfRule type="containsText" dxfId="548" priority="311" operator="containsText" text="Recommend">
      <formula>NOT(ISERROR(SEARCH("Recommend",I56)))</formula>
    </cfRule>
    <cfRule type="containsText" dxfId="547" priority="312" operator="containsText" text="Required">
      <formula>NOT(ISERROR(SEARCH("Required",I56)))</formula>
    </cfRule>
  </conditionalFormatting>
  <conditionalFormatting sqref="I59">
    <cfRule type="containsText" dxfId="546" priority="307" operator="containsText" text="Optional">
      <formula>NOT(ISERROR(SEARCH("Optional",I59)))</formula>
    </cfRule>
    <cfRule type="containsText" dxfId="545" priority="308" operator="containsText" text="Recommend">
      <formula>NOT(ISERROR(SEARCH("Recommend",I59)))</formula>
    </cfRule>
    <cfRule type="containsText" dxfId="544" priority="309" operator="containsText" text="Required">
      <formula>NOT(ISERROR(SEARCH("Required",I59)))</formula>
    </cfRule>
  </conditionalFormatting>
  <conditionalFormatting sqref="I67">
    <cfRule type="containsText" dxfId="543" priority="298" operator="containsText" text="Optional">
      <formula>NOT(ISERROR(SEARCH("Optional",I67)))</formula>
    </cfRule>
    <cfRule type="containsText" dxfId="542" priority="299" operator="containsText" text="Recommend">
      <formula>NOT(ISERROR(SEARCH("Recommend",I67)))</formula>
    </cfRule>
    <cfRule type="containsText" dxfId="541" priority="300" operator="containsText" text="Required">
      <formula>NOT(ISERROR(SEARCH("Required",I67)))</formula>
    </cfRule>
  </conditionalFormatting>
  <conditionalFormatting sqref="I70">
    <cfRule type="containsText" dxfId="540" priority="295" operator="containsText" text="Optional">
      <formula>NOT(ISERROR(SEARCH("Optional",I70)))</formula>
    </cfRule>
    <cfRule type="containsText" dxfId="539" priority="296" operator="containsText" text="Recommend">
      <formula>NOT(ISERROR(SEARCH("Recommend",I70)))</formula>
    </cfRule>
    <cfRule type="containsText" dxfId="538" priority="297" operator="containsText" text="Required">
      <formula>NOT(ISERROR(SEARCH("Required",I70)))</formula>
    </cfRule>
  </conditionalFormatting>
  <conditionalFormatting sqref="I82">
    <cfRule type="containsText" dxfId="537" priority="286" operator="containsText" text="Optional">
      <formula>NOT(ISERROR(SEARCH("Optional",I82)))</formula>
    </cfRule>
    <cfRule type="containsText" dxfId="536" priority="287" operator="containsText" text="Recommend">
      <formula>NOT(ISERROR(SEARCH("Recommend",I82)))</formula>
    </cfRule>
    <cfRule type="containsText" dxfId="535" priority="288" operator="containsText" text="Required">
      <formula>NOT(ISERROR(SEARCH("Required",I82)))</formula>
    </cfRule>
  </conditionalFormatting>
  <conditionalFormatting sqref="I83">
    <cfRule type="containsText" dxfId="534" priority="283" operator="containsText" text="Optional">
      <formula>NOT(ISERROR(SEARCH("Optional",I83)))</formula>
    </cfRule>
    <cfRule type="containsText" dxfId="533" priority="284" operator="containsText" text="Recommend">
      <formula>NOT(ISERROR(SEARCH("Recommend",I83)))</formula>
    </cfRule>
    <cfRule type="containsText" dxfId="532" priority="285" operator="containsText" text="Required">
      <formula>NOT(ISERROR(SEARCH("Required",I83)))</formula>
    </cfRule>
  </conditionalFormatting>
  <conditionalFormatting sqref="I85">
    <cfRule type="containsText" dxfId="531" priority="280" operator="containsText" text="Optional">
      <formula>NOT(ISERROR(SEARCH("Optional",I85)))</formula>
    </cfRule>
    <cfRule type="containsText" dxfId="530" priority="281" operator="containsText" text="Recommend">
      <formula>NOT(ISERROR(SEARCH("Recommend",I85)))</formula>
    </cfRule>
    <cfRule type="containsText" dxfId="529" priority="282" operator="containsText" text="Required">
      <formula>NOT(ISERROR(SEARCH("Required",I85)))</formula>
    </cfRule>
  </conditionalFormatting>
  <conditionalFormatting sqref="I91">
    <cfRule type="containsText" dxfId="528" priority="271" operator="containsText" text="Optional">
      <formula>NOT(ISERROR(SEARCH("Optional",I91)))</formula>
    </cfRule>
    <cfRule type="containsText" dxfId="527" priority="272" operator="containsText" text="Recommend">
      <formula>NOT(ISERROR(SEARCH("Recommend",I91)))</formula>
    </cfRule>
    <cfRule type="containsText" dxfId="526" priority="273" operator="containsText" text="Required">
      <formula>NOT(ISERROR(SEARCH("Required",I91)))</formula>
    </cfRule>
  </conditionalFormatting>
  <conditionalFormatting sqref="I93">
    <cfRule type="containsText" dxfId="525" priority="265" operator="containsText" text="Optional">
      <formula>NOT(ISERROR(SEARCH("Optional",I93)))</formula>
    </cfRule>
    <cfRule type="containsText" dxfId="524" priority="266" operator="containsText" text="Recommend">
      <formula>NOT(ISERROR(SEARCH("Recommend",I93)))</formula>
    </cfRule>
    <cfRule type="containsText" dxfId="523" priority="267" operator="containsText" text="Required">
      <formula>NOT(ISERROR(SEARCH("Required",I93)))</formula>
    </cfRule>
  </conditionalFormatting>
  <conditionalFormatting sqref="I94">
    <cfRule type="containsText" dxfId="522" priority="262" operator="containsText" text="Optional">
      <formula>NOT(ISERROR(SEARCH("Optional",I94)))</formula>
    </cfRule>
    <cfRule type="containsText" dxfId="521" priority="263" operator="containsText" text="Recommend">
      <formula>NOT(ISERROR(SEARCH("Recommend",I94)))</formula>
    </cfRule>
    <cfRule type="containsText" dxfId="520" priority="264" operator="containsText" text="Required">
      <formula>NOT(ISERROR(SEARCH("Required",I94)))</formula>
    </cfRule>
  </conditionalFormatting>
  <conditionalFormatting sqref="I103">
    <cfRule type="containsText" dxfId="519" priority="256" operator="containsText" text="Optional">
      <formula>NOT(ISERROR(SEARCH("Optional",I103)))</formula>
    </cfRule>
    <cfRule type="containsText" dxfId="518" priority="257" operator="containsText" text="Recommend">
      <formula>NOT(ISERROR(SEARCH("Recommend",I103)))</formula>
    </cfRule>
    <cfRule type="containsText" dxfId="517" priority="258" operator="containsText" text="Required">
      <formula>NOT(ISERROR(SEARCH("Required",I103)))</formula>
    </cfRule>
  </conditionalFormatting>
  <conditionalFormatting sqref="I105">
    <cfRule type="containsText" dxfId="516" priority="253" operator="containsText" text="Optional">
      <formula>NOT(ISERROR(SEARCH("Optional",I105)))</formula>
    </cfRule>
    <cfRule type="containsText" dxfId="515" priority="254" operator="containsText" text="Recommend">
      <formula>NOT(ISERROR(SEARCH("Recommend",I105)))</formula>
    </cfRule>
    <cfRule type="containsText" dxfId="514" priority="255" operator="containsText" text="Required">
      <formula>NOT(ISERROR(SEARCH("Required",I105)))</formula>
    </cfRule>
  </conditionalFormatting>
  <conditionalFormatting sqref="H5">
    <cfRule type="containsText" dxfId="513" priority="250" operator="containsText" text="Optional">
      <formula>NOT(ISERROR(SEARCH("Optional",H5)))</formula>
    </cfRule>
    <cfRule type="containsText" dxfId="512" priority="251" operator="containsText" text="Recommend">
      <formula>NOT(ISERROR(SEARCH("Recommend",H5)))</formula>
    </cfRule>
    <cfRule type="containsText" dxfId="511" priority="252" operator="containsText" text="Required">
      <formula>NOT(ISERROR(SEARCH("Required",H5)))</formula>
    </cfRule>
  </conditionalFormatting>
  <conditionalFormatting sqref="H24">
    <cfRule type="containsText" dxfId="510" priority="244" operator="containsText" text="Optional">
      <formula>NOT(ISERROR(SEARCH("Optional",H24)))</formula>
    </cfRule>
    <cfRule type="containsText" dxfId="509" priority="245" operator="containsText" text="Recommend">
      <formula>NOT(ISERROR(SEARCH("Recommend",H24)))</formula>
    </cfRule>
    <cfRule type="containsText" dxfId="508" priority="246" operator="containsText" text="Required">
      <formula>NOT(ISERROR(SEARCH("Required",H24)))</formula>
    </cfRule>
  </conditionalFormatting>
  <conditionalFormatting sqref="H39">
    <cfRule type="containsText" dxfId="507" priority="241" operator="containsText" text="Optional">
      <formula>NOT(ISERROR(SEARCH("Optional",H39)))</formula>
    </cfRule>
    <cfRule type="containsText" dxfId="506" priority="242" operator="containsText" text="Recommend">
      <formula>NOT(ISERROR(SEARCH("Recommend",H39)))</formula>
    </cfRule>
    <cfRule type="containsText" dxfId="505" priority="243" operator="containsText" text="Required">
      <formula>NOT(ISERROR(SEARCH("Required",H39)))</formula>
    </cfRule>
  </conditionalFormatting>
  <conditionalFormatting sqref="H47">
    <cfRule type="containsText" dxfId="504" priority="238" operator="containsText" text="Optional">
      <formula>NOT(ISERROR(SEARCH("Optional",H47)))</formula>
    </cfRule>
    <cfRule type="containsText" dxfId="503" priority="239" operator="containsText" text="Recommend">
      <formula>NOT(ISERROR(SEARCH("Recommend",H47)))</formula>
    </cfRule>
    <cfRule type="containsText" dxfId="502" priority="240" operator="containsText" text="Required">
      <formula>NOT(ISERROR(SEARCH("Required",H47)))</formula>
    </cfRule>
  </conditionalFormatting>
  <conditionalFormatting sqref="H61">
    <cfRule type="containsText" dxfId="501" priority="229" operator="containsText" text="Optional">
      <formula>NOT(ISERROR(SEARCH("Optional",H61)))</formula>
    </cfRule>
    <cfRule type="containsText" dxfId="500" priority="230" operator="containsText" text="Recommend">
      <formula>NOT(ISERROR(SEARCH("Recommend",H61)))</formula>
    </cfRule>
    <cfRule type="containsText" dxfId="499" priority="231" operator="containsText" text="Required">
      <formula>NOT(ISERROR(SEARCH("Required",H61)))</formula>
    </cfRule>
  </conditionalFormatting>
  <conditionalFormatting sqref="H69">
    <cfRule type="containsText" dxfId="498" priority="220" operator="containsText" text="Optional">
      <formula>NOT(ISERROR(SEARCH("Optional",H69)))</formula>
    </cfRule>
    <cfRule type="containsText" dxfId="497" priority="221" operator="containsText" text="Recommend">
      <formula>NOT(ISERROR(SEARCH("Recommend",H69)))</formula>
    </cfRule>
    <cfRule type="containsText" dxfId="496" priority="222" operator="containsText" text="Required">
      <formula>NOT(ISERROR(SEARCH("Required",H69)))</formula>
    </cfRule>
  </conditionalFormatting>
  <conditionalFormatting sqref="H72">
    <cfRule type="containsText" dxfId="495" priority="217" operator="containsText" text="Optional">
      <formula>NOT(ISERROR(SEARCH("Optional",H72)))</formula>
    </cfRule>
    <cfRule type="containsText" dxfId="494" priority="218" operator="containsText" text="Recommend">
      <formula>NOT(ISERROR(SEARCH("Recommend",H72)))</formula>
    </cfRule>
    <cfRule type="containsText" dxfId="493" priority="219" operator="containsText" text="Required">
      <formula>NOT(ISERROR(SEARCH("Required",H72)))</formula>
    </cfRule>
  </conditionalFormatting>
  <conditionalFormatting sqref="H73">
    <cfRule type="containsText" dxfId="492" priority="214" operator="containsText" text="Optional">
      <formula>NOT(ISERROR(SEARCH("Optional",H73)))</formula>
    </cfRule>
    <cfRule type="containsText" dxfId="491" priority="215" operator="containsText" text="Recommend">
      <formula>NOT(ISERROR(SEARCH("Recommend",H73)))</formula>
    </cfRule>
    <cfRule type="containsText" dxfId="490" priority="216" operator="containsText" text="Required">
      <formula>NOT(ISERROR(SEARCH("Required",H73)))</formula>
    </cfRule>
  </conditionalFormatting>
  <conditionalFormatting sqref="H87">
    <cfRule type="containsText" dxfId="489" priority="205" operator="containsText" text="Optional">
      <formula>NOT(ISERROR(SEARCH("Optional",H87)))</formula>
    </cfRule>
    <cfRule type="containsText" dxfId="488" priority="206" operator="containsText" text="Recommend">
      <formula>NOT(ISERROR(SEARCH("Recommend",H87)))</formula>
    </cfRule>
    <cfRule type="containsText" dxfId="487" priority="207" operator="containsText" text="Required">
      <formula>NOT(ISERROR(SEARCH("Required",H87)))</formula>
    </cfRule>
  </conditionalFormatting>
  <conditionalFormatting sqref="H100">
    <cfRule type="containsText" dxfId="486" priority="196" operator="containsText" text="Optional">
      <formula>NOT(ISERROR(SEARCH("Optional",H100)))</formula>
    </cfRule>
    <cfRule type="containsText" dxfId="485" priority="197" operator="containsText" text="Recommend">
      <formula>NOT(ISERROR(SEARCH("Recommend",H100)))</formula>
    </cfRule>
    <cfRule type="containsText" dxfId="484" priority="198" operator="containsText" text="Required">
      <formula>NOT(ISERROR(SEARCH("Required",H100)))</formula>
    </cfRule>
  </conditionalFormatting>
  <conditionalFormatting sqref="I107">
    <cfRule type="containsText" dxfId="483" priority="193" operator="containsText" text="Optional">
      <formula>NOT(ISERROR(SEARCH("Optional",I107)))</formula>
    </cfRule>
    <cfRule type="containsText" dxfId="482" priority="194" operator="containsText" text="Recommend">
      <formula>NOT(ISERROR(SEARCH("Recommend",I107)))</formula>
    </cfRule>
    <cfRule type="containsText" dxfId="481" priority="195" operator="containsText" text="Required">
      <formula>NOT(ISERROR(SEARCH("Required",I107)))</formula>
    </cfRule>
  </conditionalFormatting>
  <conditionalFormatting sqref="I104">
    <cfRule type="containsText" dxfId="480" priority="187" operator="containsText" text="Optional">
      <formula>NOT(ISERROR(SEARCH("Optional",I104)))</formula>
    </cfRule>
    <cfRule type="containsText" dxfId="479" priority="188" operator="containsText" text="Recommend">
      <formula>NOT(ISERROR(SEARCH("Recommend",I104)))</formula>
    </cfRule>
    <cfRule type="containsText" dxfId="478" priority="189" operator="containsText" text="Required">
      <formula>NOT(ISERROR(SEARCH("Required",I104)))</formula>
    </cfRule>
  </conditionalFormatting>
  <conditionalFormatting sqref="I102">
    <cfRule type="containsText" dxfId="477" priority="184" operator="containsText" text="Optional">
      <formula>NOT(ISERROR(SEARCH("Optional",I102)))</formula>
    </cfRule>
    <cfRule type="containsText" dxfId="476" priority="185" operator="containsText" text="Recommend">
      <formula>NOT(ISERROR(SEARCH("Recommend",I102)))</formula>
    </cfRule>
    <cfRule type="containsText" dxfId="475" priority="186" operator="containsText" text="Required">
      <formula>NOT(ISERROR(SEARCH("Required",I102)))</formula>
    </cfRule>
  </conditionalFormatting>
  <conditionalFormatting sqref="I100">
    <cfRule type="containsText" dxfId="474" priority="181" operator="containsText" text="Optional">
      <formula>NOT(ISERROR(SEARCH("Optional",I100)))</formula>
    </cfRule>
    <cfRule type="containsText" dxfId="473" priority="182" operator="containsText" text="Recommend">
      <formula>NOT(ISERROR(SEARCH("Recommend",I100)))</formula>
    </cfRule>
    <cfRule type="containsText" dxfId="472" priority="183" operator="containsText" text="Required">
      <formula>NOT(ISERROR(SEARCH("Required",I100)))</formula>
    </cfRule>
  </conditionalFormatting>
  <conditionalFormatting sqref="I95">
    <cfRule type="containsText" dxfId="471" priority="166" operator="containsText" text="Optional">
      <formula>NOT(ISERROR(SEARCH("Optional",I95)))</formula>
    </cfRule>
    <cfRule type="containsText" dxfId="470" priority="167" operator="containsText" text="Recommend">
      <formula>NOT(ISERROR(SEARCH("Recommend",I95)))</formula>
    </cfRule>
    <cfRule type="containsText" dxfId="469" priority="168" operator="containsText" text="Required">
      <formula>NOT(ISERROR(SEARCH("Required",I95)))</formula>
    </cfRule>
  </conditionalFormatting>
  <conditionalFormatting sqref="I84">
    <cfRule type="containsText" dxfId="468" priority="157" operator="containsText" text="Optional">
      <formula>NOT(ISERROR(SEARCH("Optional",I84)))</formula>
    </cfRule>
    <cfRule type="containsText" dxfId="467" priority="158" operator="containsText" text="Recommend">
      <formula>NOT(ISERROR(SEARCH("Recommend",I84)))</formula>
    </cfRule>
    <cfRule type="containsText" dxfId="466" priority="159" operator="containsText" text="Required">
      <formula>NOT(ISERROR(SEARCH("Required",I84)))</formula>
    </cfRule>
  </conditionalFormatting>
  <conditionalFormatting sqref="I79">
    <cfRule type="containsText" dxfId="465" priority="151" operator="containsText" text="Optional">
      <formula>NOT(ISERROR(SEARCH("Optional",I79)))</formula>
    </cfRule>
    <cfRule type="containsText" dxfId="464" priority="152" operator="containsText" text="Recommend">
      <formula>NOT(ISERROR(SEARCH("Recommend",I79)))</formula>
    </cfRule>
    <cfRule type="containsText" dxfId="463" priority="153" operator="containsText" text="Required">
      <formula>NOT(ISERROR(SEARCH("Required",I79)))</formula>
    </cfRule>
  </conditionalFormatting>
  <conditionalFormatting sqref="I72">
    <cfRule type="containsText" dxfId="462" priority="142" operator="containsText" text="Optional">
      <formula>NOT(ISERROR(SEARCH("Optional",I72)))</formula>
    </cfRule>
    <cfRule type="containsText" dxfId="461" priority="143" operator="containsText" text="Recommend">
      <formula>NOT(ISERROR(SEARCH("Recommend",I72)))</formula>
    </cfRule>
    <cfRule type="containsText" dxfId="460" priority="144" operator="containsText" text="Required">
      <formula>NOT(ISERROR(SEARCH("Required",I72)))</formula>
    </cfRule>
  </conditionalFormatting>
  <conditionalFormatting sqref="I64">
    <cfRule type="containsText" dxfId="459" priority="133" operator="containsText" text="Optional">
      <formula>NOT(ISERROR(SEARCH("Optional",I64)))</formula>
    </cfRule>
    <cfRule type="containsText" dxfId="458" priority="134" operator="containsText" text="Recommend">
      <formula>NOT(ISERROR(SEARCH("Recommend",I64)))</formula>
    </cfRule>
    <cfRule type="containsText" dxfId="457" priority="135" operator="containsText" text="Required">
      <formula>NOT(ISERROR(SEARCH("Required",I64)))</formula>
    </cfRule>
  </conditionalFormatting>
  <conditionalFormatting sqref="I60">
    <cfRule type="containsText" dxfId="456" priority="130" operator="containsText" text="Optional">
      <formula>NOT(ISERROR(SEARCH("Optional",I60)))</formula>
    </cfRule>
    <cfRule type="containsText" dxfId="455" priority="131" operator="containsText" text="Recommend">
      <formula>NOT(ISERROR(SEARCH("Recommend",I60)))</formula>
    </cfRule>
    <cfRule type="containsText" dxfId="454" priority="132" operator="containsText" text="Required">
      <formula>NOT(ISERROR(SEARCH("Required",I60)))</formula>
    </cfRule>
  </conditionalFormatting>
  <conditionalFormatting sqref="I57">
    <cfRule type="containsText" dxfId="453" priority="124" operator="containsText" text="Optional">
      <formula>NOT(ISERROR(SEARCH("Optional",I57)))</formula>
    </cfRule>
    <cfRule type="containsText" dxfId="452" priority="125" operator="containsText" text="Recommend">
      <formula>NOT(ISERROR(SEARCH("Recommend",I57)))</formula>
    </cfRule>
    <cfRule type="containsText" dxfId="451" priority="126" operator="containsText" text="Required">
      <formula>NOT(ISERROR(SEARCH("Required",I57)))</formula>
    </cfRule>
  </conditionalFormatting>
  <conditionalFormatting sqref="I55">
    <cfRule type="containsText" dxfId="450" priority="121" operator="containsText" text="Optional">
      <formula>NOT(ISERROR(SEARCH("Optional",I55)))</formula>
    </cfRule>
    <cfRule type="containsText" dxfId="449" priority="122" operator="containsText" text="Recommend">
      <formula>NOT(ISERROR(SEARCH("Recommend",I55)))</formula>
    </cfRule>
    <cfRule type="containsText" dxfId="448" priority="123" operator="containsText" text="Required">
      <formula>NOT(ISERROR(SEARCH("Required",I55)))</formula>
    </cfRule>
  </conditionalFormatting>
  <conditionalFormatting sqref="I54">
    <cfRule type="containsText" dxfId="447" priority="118" operator="containsText" text="Optional">
      <formula>NOT(ISERROR(SEARCH("Optional",I54)))</formula>
    </cfRule>
    <cfRule type="containsText" dxfId="446" priority="119" operator="containsText" text="Recommend">
      <formula>NOT(ISERROR(SEARCH("Recommend",I54)))</formula>
    </cfRule>
    <cfRule type="containsText" dxfId="445" priority="120" operator="containsText" text="Required">
      <formula>NOT(ISERROR(SEARCH("Required",I54)))</formula>
    </cfRule>
  </conditionalFormatting>
  <conditionalFormatting sqref="I52">
    <cfRule type="containsText" dxfId="444" priority="115" operator="containsText" text="Optional">
      <formula>NOT(ISERROR(SEARCH("Optional",I52)))</formula>
    </cfRule>
    <cfRule type="containsText" dxfId="443" priority="116" operator="containsText" text="Recommend">
      <formula>NOT(ISERROR(SEARCH("Recommend",I52)))</formula>
    </cfRule>
    <cfRule type="containsText" dxfId="442" priority="117" operator="containsText" text="Required">
      <formula>NOT(ISERROR(SEARCH("Required",I52)))</formula>
    </cfRule>
  </conditionalFormatting>
  <conditionalFormatting sqref="I47">
    <cfRule type="containsText" dxfId="441" priority="112" operator="containsText" text="Optional">
      <formula>NOT(ISERROR(SEARCH("Optional",I47)))</formula>
    </cfRule>
    <cfRule type="containsText" dxfId="440" priority="113" operator="containsText" text="Recommend">
      <formula>NOT(ISERROR(SEARCH("Recommend",I47)))</formula>
    </cfRule>
    <cfRule type="containsText" dxfId="439" priority="114" operator="containsText" text="Required">
      <formula>NOT(ISERROR(SEARCH("Required",I47)))</formula>
    </cfRule>
  </conditionalFormatting>
  <conditionalFormatting sqref="I40">
    <cfRule type="containsText" dxfId="438" priority="103" operator="containsText" text="Optional">
      <formula>NOT(ISERROR(SEARCH("Optional",I40)))</formula>
    </cfRule>
    <cfRule type="containsText" dxfId="437" priority="104" operator="containsText" text="Recommend">
      <formula>NOT(ISERROR(SEARCH("Recommend",I40)))</formula>
    </cfRule>
    <cfRule type="containsText" dxfId="436" priority="105" operator="containsText" text="Required">
      <formula>NOT(ISERROR(SEARCH("Required",I40)))</formula>
    </cfRule>
  </conditionalFormatting>
  <conditionalFormatting sqref="I38">
    <cfRule type="containsText" dxfId="435" priority="97" operator="containsText" text="Optional">
      <formula>NOT(ISERROR(SEARCH("Optional",I38)))</formula>
    </cfRule>
    <cfRule type="containsText" dxfId="434" priority="98" operator="containsText" text="Recommend">
      <formula>NOT(ISERROR(SEARCH("Recommend",I38)))</formula>
    </cfRule>
    <cfRule type="containsText" dxfId="433" priority="99" operator="containsText" text="Required">
      <formula>NOT(ISERROR(SEARCH("Required",I38)))</formula>
    </cfRule>
  </conditionalFormatting>
  <conditionalFormatting sqref="I36">
    <cfRule type="containsText" dxfId="432" priority="91" operator="containsText" text="Optional">
      <formula>NOT(ISERROR(SEARCH("Optional",I36)))</formula>
    </cfRule>
    <cfRule type="containsText" dxfId="431" priority="92" operator="containsText" text="Recommend">
      <formula>NOT(ISERROR(SEARCH("Recommend",I36)))</formula>
    </cfRule>
    <cfRule type="containsText" dxfId="430" priority="93" operator="containsText" text="Required">
      <formula>NOT(ISERROR(SEARCH("Required",I36)))</formula>
    </cfRule>
  </conditionalFormatting>
  <conditionalFormatting sqref="I34">
    <cfRule type="containsText" dxfId="429" priority="88" operator="containsText" text="Optional">
      <formula>NOT(ISERROR(SEARCH("Optional",I34)))</formula>
    </cfRule>
    <cfRule type="containsText" dxfId="428" priority="89" operator="containsText" text="Recommend">
      <formula>NOT(ISERROR(SEARCH("Recommend",I34)))</formula>
    </cfRule>
    <cfRule type="containsText" dxfId="427" priority="90" operator="containsText" text="Required">
      <formula>NOT(ISERROR(SEARCH("Required",I34)))</formula>
    </cfRule>
  </conditionalFormatting>
  <conditionalFormatting sqref="I33">
    <cfRule type="containsText" dxfId="426" priority="85" operator="containsText" text="Optional">
      <formula>NOT(ISERROR(SEARCH("Optional",I33)))</formula>
    </cfRule>
    <cfRule type="containsText" dxfId="425" priority="86" operator="containsText" text="Recommend">
      <formula>NOT(ISERROR(SEARCH("Recommend",I33)))</formula>
    </cfRule>
    <cfRule type="containsText" dxfId="424" priority="87" operator="containsText" text="Required">
      <formula>NOT(ISERROR(SEARCH("Required",I33)))</formula>
    </cfRule>
  </conditionalFormatting>
  <conditionalFormatting sqref="I32">
    <cfRule type="containsText" dxfId="423" priority="82" operator="containsText" text="Optional">
      <formula>NOT(ISERROR(SEARCH("Optional",I32)))</formula>
    </cfRule>
    <cfRule type="containsText" dxfId="422" priority="83" operator="containsText" text="Recommend">
      <formula>NOT(ISERROR(SEARCH("Recommend",I32)))</formula>
    </cfRule>
    <cfRule type="containsText" dxfId="421" priority="84" operator="containsText" text="Required">
      <formula>NOT(ISERROR(SEARCH("Required",I32)))</formula>
    </cfRule>
  </conditionalFormatting>
  <conditionalFormatting sqref="I29">
    <cfRule type="containsText" dxfId="420" priority="76" operator="containsText" text="Optional">
      <formula>NOT(ISERROR(SEARCH("Optional",I29)))</formula>
    </cfRule>
    <cfRule type="containsText" dxfId="419" priority="77" operator="containsText" text="Recommend">
      <formula>NOT(ISERROR(SEARCH("Recommend",I29)))</formula>
    </cfRule>
    <cfRule type="containsText" dxfId="418" priority="78" operator="containsText" text="Required">
      <formula>NOT(ISERROR(SEARCH("Required",I29)))</formula>
    </cfRule>
  </conditionalFormatting>
  <conditionalFormatting sqref="I27">
    <cfRule type="containsText" dxfId="417" priority="70" operator="containsText" text="Optional">
      <formula>NOT(ISERROR(SEARCH("Optional",I27)))</formula>
    </cfRule>
    <cfRule type="containsText" dxfId="416" priority="71" operator="containsText" text="Recommend">
      <formula>NOT(ISERROR(SEARCH("Recommend",I27)))</formula>
    </cfRule>
    <cfRule type="containsText" dxfId="415" priority="72" operator="containsText" text="Required">
      <formula>NOT(ISERROR(SEARCH("Required",I27)))</formula>
    </cfRule>
  </conditionalFormatting>
  <conditionalFormatting sqref="I25">
    <cfRule type="containsText" dxfId="414" priority="67" operator="containsText" text="Optional">
      <formula>NOT(ISERROR(SEARCH("Optional",I25)))</formula>
    </cfRule>
    <cfRule type="containsText" dxfId="413" priority="68" operator="containsText" text="Recommend">
      <formula>NOT(ISERROR(SEARCH("Recommend",I25)))</formula>
    </cfRule>
    <cfRule type="containsText" dxfId="412" priority="69" operator="containsText" text="Required">
      <formula>NOT(ISERROR(SEARCH("Required",I25)))</formula>
    </cfRule>
  </conditionalFormatting>
  <conditionalFormatting sqref="I23">
    <cfRule type="containsText" dxfId="411" priority="61" operator="containsText" text="Optional">
      <formula>NOT(ISERROR(SEARCH("Optional",I23)))</formula>
    </cfRule>
    <cfRule type="containsText" dxfId="410" priority="62" operator="containsText" text="Recommend">
      <formula>NOT(ISERROR(SEARCH("Recommend",I23)))</formula>
    </cfRule>
    <cfRule type="containsText" dxfId="409" priority="63" operator="containsText" text="Required">
      <formula>NOT(ISERROR(SEARCH("Required",I23)))</formula>
    </cfRule>
  </conditionalFormatting>
  <conditionalFormatting sqref="I22">
    <cfRule type="containsText" dxfId="408" priority="58" operator="containsText" text="Optional">
      <formula>NOT(ISERROR(SEARCH("Optional",I22)))</formula>
    </cfRule>
    <cfRule type="containsText" dxfId="407" priority="59" operator="containsText" text="Recommend">
      <formula>NOT(ISERROR(SEARCH("Recommend",I22)))</formula>
    </cfRule>
    <cfRule type="containsText" dxfId="406" priority="60" operator="containsText" text="Required">
      <formula>NOT(ISERROR(SEARCH("Required",I22)))</formula>
    </cfRule>
  </conditionalFormatting>
  <conditionalFormatting sqref="I21">
    <cfRule type="containsText" dxfId="405" priority="55" operator="containsText" text="Optional">
      <formula>NOT(ISERROR(SEARCH("Optional",I21)))</formula>
    </cfRule>
    <cfRule type="containsText" dxfId="404" priority="56" operator="containsText" text="Recommend">
      <formula>NOT(ISERROR(SEARCH("Recommend",I21)))</formula>
    </cfRule>
    <cfRule type="containsText" dxfId="403" priority="57" operator="containsText" text="Required">
      <formula>NOT(ISERROR(SEARCH("Required",I21)))</formula>
    </cfRule>
  </conditionalFormatting>
  <conditionalFormatting sqref="I20">
    <cfRule type="containsText" dxfId="402" priority="52" operator="containsText" text="Optional">
      <formula>NOT(ISERROR(SEARCH("Optional",I20)))</formula>
    </cfRule>
    <cfRule type="containsText" dxfId="401" priority="53" operator="containsText" text="Recommend">
      <formula>NOT(ISERROR(SEARCH("Recommend",I20)))</formula>
    </cfRule>
    <cfRule type="containsText" dxfId="400" priority="54" operator="containsText" text="Required">
      <formula>NOT(ISERROR(SEARCH("Required",I20)))</formula>
    </cfRule>
  </conditionalFormatting>
  <conditionalFormatting sqref="I15">
    <cfRule type="containsText" dxfId="399" priority="49" operator="containsText" text="Optional">
      <formula>NOT(ISERROR(SEARCH("Optional",I15)))</formula>
    </cfRule>
    <cfRule type="containsText" dxfId="398" priority="50" operator="containsText" text="Recommend">
      <formula>NOT(ISERROR(SEARCH("Recommend",I15)))</formula>
    </cfRule>
    <cfRule type="containsText" dxfId="397" priority="51" operator="containsText" text="Required">
      <formula>NOT(ISERROR(SEARCH("Required",I15)))</formula>
    </cfRule>
  </conditionalFormatting>
  <conditionalFormatting sqref="I14">
    <cfRule type="containsText" dxfId="396" priority="46" operator="containsText" text="Optional">
      <formula>NOT(ISERROR(SEARCH("Optional",I14)))</formula>
    </cfRule>
    <cfRule type="containsText" dxfId="395" priority="47" operator="containsText" text="Recommend">
      <formula>NOT(ISERROR(SEARCH("Recommend",I14)))</formula>
    </cfRule>
    <cfRule type="containsText" dxfId="394" priority="48" operator="containsText" text="Required">
      <formula>NOT(ISERROR(SEARCH("Required",I14)))</formula>
    </cfRule>
  </conditionalFormatting>
  <conditionalFormatting sqref="I13">
    <cfRule type="containsText" dxfId="393" priority="43" operator="containsText" text="Optional">
      <formula>NOT(ISERROR(SEARCH("Optional",I13)))</formula>
    </cfRule>
    <cfRule type="containsText" dxfId="392" priority="44" operator="containsText" text="Recommend">
      <formula>NOT(ISERROR(SEARCH("Recommend",I13)))</formula>
    </cfRule>
    <cfRule type="containsText" dxfId="391" priority="45" operator="containsText" text="Required">
      <formula>NOT(ISERROR(SEARCH("Required",I13)))</formula>
    </cfRule>
  </conditionalFormatting>
  <conditionalFormatting sqref="I12">
    <cfRule type="containsText" dxfId="390" priority="40" operator="containsText" text="Optional">
      <formula>NOT(ISERROR(SEARCH("Optional",I12)))</formula>
    </cfRule>
    <cfRule type="containsText" dxfId="389" priority="41" operator="containsText" text="Recommend">
      <formula>NOT(ISERROR(SEARCH("Recommend",I12)))</formula>
    </cfRule>
    <cfRule type="containsText" dxfId="388" priority="42" operator="containsText" text="Required">
      <formula>NOT(ISERROR(SEARCH("Required",I12)))</formula>
    </cfRule>
  </conditionalFormatting>
  <conditionalFormatting sqref="I9">
    <cfRule type="containsText" dxfId="387" priority="37" operator="containsText" text="Optional">
      <formula>NOT(ISERROR(SEARCH("Optional",I9)))</formula>
    </cfRule>
    <cfRule type="containsText" dxfId="386" priority="38" operator="containsText" text="Recommend">
      <formula>NOT(ISERROR(SEARCH("Recommend",I9)))</formula>
    </cfRule>
    <cfRule type="containsText" dxfId="385" priority="39" operator="containsText" text="Required">
      <formula>NOT(ISERROR(SEARCH("Required",I9)))</formula>
    </cfRule>
  </conditionalFormatting>
  <conditionalFormatting sqref="I6">
    <cfRule type="containsText" dxfId="384" priority="34" operator="containsText" text="Optional">
      <formula>NOT(ISERROR(SEARCH("Optional",I6)))</formula>
    </cfRule>
    <cfRule type="containsText" dxfId="383" priority="35" operator="containsText" text="Recommend">
      <formula>NOT(ISERROR(SEARCH("Recommend",I6)))</formula>
    </cfRule>
    <cfRule type="containsText" dxfId="382" priority="36" operator="containsText" text="Required">
      <formula>NOT(ISERROR(SEARCH("Required",I6)))</formula>
    </cfRule>
  </conditionalFormatting>
  <conditionalFormatting sqref="I5">
    <cfRule type="containsText" dxfId="381" priority="31" operator="containsText" text="Optional">
      <formula>NOT(ISERROR(SEARCH("Optional",I5)))</formula>
    </cfRule>
    <cfRule type="containsText" dxfId="380" priority="32" operator="containsText" text="Recommend">
      <formula>NOT(ISERROR(SEARCH("Recommend",I5)))</formula>
    </cfRule>
    <cfRule type="containsText" dxfId="379" priority="33" operator="containsText" text="Required">
      <formula>NOT(ISERROR(SEARCH("Required",I5)))</formula>
    </cfRule>
  </conditionalFormatting>
  <conditionalFormatting sqref="I4">
    <cfRule type="containsText" dxfId="378" priority="28" operator="containsText" text="Optional">
      <formula>NOT(ISERROR(SEARCH("Optional",I4)))</formula>
    </cfRule>
    <cfRule type="containsText" dxfId="377" priority="29" operator="containsText" text="Recommend">
      <formula>NOT(ISERROR(SEARCH("Recommend",I4)))</formula>
    </cfRule>
    <cfRule type="containsText" dxfId="376" priority="30" operator="containsText" text="Required">
      <formula>NOT(ISERROR(SEARCH("Required",I4)))</formula>
    </cfRule>
  </conditionalFormatting>
  <conditionalFormatting sqref="I61">
    <cfRule type="containsText" dxfId="375" priority="22" operator="containsText" text="Optional">
      <formula>NOT(ISERROR(SEARCH("Optional",I61)))</formula>
    </cfRule>
    <cfRule type="containsText" dxfId="374" priority="23" operator="containsText" text="Recommend">
      <formula>NOT(ISERROR(SEARCH("Recommend",I61)))</formula>
    </cfRule>
    <cfRule type="containsText" dxfId="373" priority="24" operator="containsText" text="Required">
      <formula>NOT(ISERROR(SEARCH("Required",I61)))</formula>
    </cfRule>
  </conditionalFormatting>
  <conditionalFormatting sqref="I62">
    <cfRule type="containsText" dxfId="372" priority="19" operator="containsText" text="Optional">
      <formula>NOT(ISERROR(SEARCH("Optional",I62)))</formula>
    </cfRule>
    <cfRule type="containsText" dxfId="371" priority="20" operator="containsText" text="Recommend">
      <formula>NOT(ISERROR(SEARCH("Recommend",I62)))</formula>
    </cfRule>
    <cfRule type="containsText" dxfId="370" priority="21" operator="containsText" text="Required">
      <formula>NOT(ISERROR(SEARCH("Required",I62)))</formula>
    </cfRule>
  </conditionalFormatting>
  <conditionalFormatting sqref="I65">
    <cfRule type="containsText" dxfId="369" priority="16" operator="containsText" text="Optional">
      <formula>NOT(ISERROR(SEARCH("Optional",I65)))</formula>
    </cfRule>
    <cfRule type="containsText" dxfId="368" priority="17" operator="containsText" text="Recommend">
      <formula>NOT(ISERROR(SEARCH("Recommend",I65)))</formula>
    </cfRule>
    <cfRule type="containsText" dxfId="367" priority="18" operator="containsText" text="Required">
      <formula>NOT(ISERROR(SEARCH("Required",I65)))</formula>
    </cfRule>
  </conditionalFormatting>
  <conditionalFormatting sqref="I69">
    <cfRule type="containsText" dxfId="366" priority="13" operator="containsText" text="Optional">
      <formula>NOT(ISERROR(SEARCH("Optional",I69)))</formula>
    </cfRule>
    <cfRule type="containsText" dxfId="365" priority="14" operator="containsText" text="Recommend">
      <formula>NOT(ISERROR(SEARCH("Recommend",I69)))</formula>
    </cfRule>
    <cfRule type="containsText" dxfId="364" priority="15" operator="containsText" text="Required">
      <formula>NOT(ISERROR(SEARCH("Required",I69)))</formula>
    </cfRule>
  </conditionalFormatting>
  <conditionalFormatting sqref="I73">
    <cfRule type="containsText" dxfId="363" priority="10" operator="containsText" text="Optional">
      <formula>NOT(ISERROR(SEARCH("Optional",I73)))</formula>
    </cfRule>
    <cfRule type="containsText" dxfId="362" priority="11" operator="containsText" text="Recommend">
      <formula>NOT(ISERROR(SEARCH("Recommend",I73)))</formula>
    </cfRule>
    <cfRule type="containsText" dxfId="361" priority="12" operator="containsText" text="Required">
      <formula>NOT(ISERROR(SEARCH("Required",I73)))</formula>
    </cfRule>
  </conditionalFormatting>
  <conditionalFormatting sqref="I76">
    <cfRule type="containsText" dxfId="360" priority="7" operator="containsText" text="Optional">
      <formula>NOT(ISERROR(SEARCH("Optional",I76)))</formula>
    </cfRule>
    <cfRule type="containsText" dxfId="359" priority="8" operator="containsText" text="Recommend">
      <formula>NOT(ISERROR(SEARCH("Recommend",I76)))</formula>
    </cfRule>
    <cfRule type="containsText" dxfId="358" priority="9" operator="containsText" text="Required">
      <formula>NOT(ISERROR(SEARCH("Required",I76)))</formula>
    </cfRule>
  </conditionalFormatting>
  <conditionalFormatting sqref="I80">
    <cfRule type="containsText" dxfId="357" priority="4" operator="containsText" text="Optional">
      <formula>NOT(ISERROR(SEARCH("Optional",I80)))</formula>
    </cfRule>
    <cfRule type="containsText" dxfId="356" priority="5" operator="containsText" text="Recommend">
      <formula>NOT(ISERROR(SEARCH("Recommend",I80)))</formula>
    </cfRule>
    <cfRule type="containsText" dxfId="355" priority="6" operator="containsText" text="Required">
      <formula>NOT(ISERROR(SEARCH("Required",I80)))</formula>
    </cfRule>
  </conditionalFormatting>
  <conditionalFormatting sqref="I87">
    <cfRule type="containsText" dxfId="354" priority="1" operator="containsText" text="Optional">
      <formula>NOT(ISERROR(SEARCH("Optional",I87)))</formula>
    </cfRule>
    <cfRule type="containsText" dxfId="353" priority="2" operator="containsText" text="Recommend">
      <formula>NOT(ISERROR(SEARCH("Recommend",I87)))</formula>
    </cfRule>
    <cfRule type="containsText" dxfId="352" priority="3" operator="containsText" text="Required">
      <formula>NOT(ISERROR(SEARCH("Required",I87)))</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formula1>
    </dataValidation>
  </dataValidations>
  <printOptions horizontalCentered="1" verticalCentered="1"/>
  <pageMargins left="0" right="0" top="0.25" bottom="0.25" header="0.3" footer="0.3"/>
  <pageSetup scale="24" fitToHeight="2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zoomScale="50" zoomScaleNormal="50" workbookViewId="0">
      <selection sqref="A1:AF1"/>
    </sheetView>
  </sheetViews>
  <sheetFormatPr baseColWidth="10" defaultColWidth="8.83203125" defaultRowHeight="16"/>
  <cols>
    <col min="2" max="2" width="7.6640625" customWidth="1"/>
    <col min="3" max="3" width="4.83203125" customWidth="1"/>
    <col min="4" max="4" width="27.83203125" customWidth="1"/>
    <col min="5" max="5" width="11.83203125" style="46" customWidth="1"/>
    <col min="6" max="6" width="7.83203125" customWidth="1"/>
    <col min="7" max="7" width="8.83203125" customWidth="1"/>
    <col min="8" max="8" width="23.33203125" bestFit="1" customWidth="1"/>
    <col min="9" max="12" width="13.5" style="46" customWidth="1"/>
    <col min="13" max="13" width="13.6640625" style="46"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37" t="s">
        <v>2087</v>
      </c>
      <c r="B1" s="637"/>
      <c r="C1" s="637"/>
      <c r="D1" s="637"/>
      <c r="E1" s="637"/>
      <c r="F1" s="637"/>
      <c r="G1" s="637"/>
      <c r="H1" s="637"/>
      <c r="I1" s="637"/>
      <c r="J1" s="637"/>
      <c r="K1" s="637"/>
      <c r="L1" s="637"/>
      <c r="M1" s="637"/>
      <c r="N1" s="637"/>
      <c r="O1" s="637"/>
      <c r="P1" s="637"/>
      <c r="Q1" s="637"/>
      <c r="R1" s="637"/>
      <c r="S1" s="637"/>
      <c r="T1" s="637"/>
      <c r="U1" s="637"/>
      <c r="V1" s="637"/>
      <c r="W1" s="637"/>
      <c r="X1" s="637"/>
      <c r="Y1" s="637"/>
      <c r="Z1" s="637"/>
      <c r="AA1" s="637"/>
      <c r="AB1" s="637"/>
      <c r="AC1" s="637"/>
      <c r="AD1" s="637"/>
      <c r="AE1" s="637"/>
      <c r="AF1" s="637"/>
    </row>
    <row r="2" spans="1:32">
      <c r="A2" s="770" t="s">
        <v>1983</v>
      </c>
      <c r="B2" s="204"/>
      <c r="C2" s="204"/>
      <c r="D2" s="204"/>
      <c r="E2" s="205"/>
      <c r="F2" s="204"/>
      <c r="G2" s="204"/>
      <c r="H2" s="204"/>
      <c r="I2" s="205"/>
      <c r="J2" s="205"/>
      <c r="K2" s="205"/>
      <c r="L2" s="205"/>
      <c r="M2" s="205"/>
      <c r="N2" s="204"/>
      <c r="O2" s="204"/>
      <c r="P2" s="204"/>
      <c r="Q2" s="204"/>
      <c r="R2" s="204"/>
      <c r="S2" s="204"/>
      <c r="T2" s="204"/>
      <c r="U2" s="204"/>
      <c r="V2" s="204"/>
      <c r="W2" s="204"/>
      <c r="X2" s="204"/>
      <c r="Y2" s="204"/>
      <c r="Z2" s="204"/>
      <c r="AA2" s="204"/>
      <c r="AB2" s="204"/>
      <c r="AC2" s="204"/>
      <c r="AD2" s="204"/>
      <c r="AE2" s="204"/>
      <c r="AF2" s="206"/>
    </row>
    <row r="3" spans="1:32" ht="16" customHeight="1">
      <c r="A3" s="771"/>
      <c r="B3" s="638" t="s">
        <v>1981</v>
      </c>
      <c r="C3" s="638"/>
      <c r="D3" s="638"/>
      <c r="E3" s="638"/>
      <c r="F3" s="125"/>
      <c r="G3" s="125"/>
      <c r="H3" s="125"/>
      <c r="I3" s="166"/>
      <c r="J3" s="166"/>
      <c r="K3" s="166"/>
      <c r="L3" s="166"/>
      <c r="M3" s="166"/>
      <c r="N3" s="125"/>
      <c r="O3" s="125"/>
      <c r="P3" s="125"/>
      <c r="Q3" s="125"/>
      <c r="R3" s="125"/>
      <c r="S3" s="125"/>
      <c r="T3" s="125"/>
      <c r="U3" s="125"/>
      <c r="V3" s="125"/>
      <c r="W3" s="125"/>
      <c r="X3" s="125"/>
      <c r="Y3" s="125"/>
      <c r="Z3" s="125"/>
      <c r="AA3" s="125"/>
      <c r="AB3" s="125"/>
      <c r="AC3" s="125"/>
      <c r="AD3" s="125"/>
      <c r="AE3" s="125"/>
      <c r="AF3" s="207"/>
    </row>
    <row r="4" spans="1:32" ht="15" customHeight="1">
      <c r="A4" s="771"/>
      <c r="B4" s="638"/>
      <c r="C4" s="638"/>
      <c r="D4" s="638"/>
      <c r="E4" s="638"/>
      <c r="F4" s="125"/>
      <c r="G4" s="125"/>
      <c r="H4" s="125"/>
      <c r="I4" s="166"/>
      <c r="J4" s="166"/>
      <c r="K4" s="166"/>
      <c r="L4" s="166"/>
      <c r="M4" s="166"/>
      <c r="N4" s="125"/>
      <c r="O4" s="125"/>
      <c r="P4" s="125"/>
      <c r="Q4" s="125"/>
      <c r="R4" s="125"/>
      <c r="S4" s="125"/>
      <c r="T4" s="125"/>
      <c r="U4" s="125"/>
      <c r="V4" s="125"/>
      <c r="W4" s="125"/>
      <c r="X4" s="125"/>
      <c r="Y4" s="125"/>
      <c r="Z4" s="125"/>
      <c r="AA4" s="125"/>
      <c r="AB4" s="125"/>
      <c r="AC4" s="125"/>
      <c r="AD4" s="125"/>
      <c r="AE4" s="125"/>
      <c r="AF4" s="207"/>
    </row>
    <row r="5" spans="1:32">
      <c r="A5" s="771"/>
      <c r="B5" s="638"/>
      <c r="C5" s="638"/>
      <c r="D5" s="638"/>
      <c r="E5" s="638"/>
      <c r="F5" s="125"/>
      <c r="G5" s="125"/>
      <c r="H5" s="125"/>
      <c r="I5" s="166"/>
      <c r="J5" s="166"/>
      <c r="K5" s="166"/>
      <c r="L5" s="166"/>
      <c r="M5" s="166"/>
      <c r="N5" s="125"/>
      <c r="O5" s="125"/>
      <c r="P5" s="125"/>
      <c r="Q5" s="125"/>
      <c r="R5" s="125"/>
      <c r="S5" s="125"/>
      <c r="T5" s="125"/>
      <c r="U5" s="125"/>
      <c r="V5" s="125"/>
      <c r="W5" s="125"/>
      <c r="X5" s="125"/>
      <c r="Y5" s="125"/>
      <c r="Z5" s="125"/>
      <c r="AA5" s="125"/>
      <c r="AB5" s="125"/>
      <c r="AC5" s="125"/>
      <c r="AD5" s="125"/>
      <c r="AE5" s="125"/>
      <c r="AF5" s="207"/>
    </row>
    <row r="6" spans="1:32" ht="16" customHeight="1">
      <c r="A6" s="771"/>
      <c r="B6" s="208"/>
      <c r="C6" s="208"/>
      <c r="D6" s="208"/>
      <c r="E6" s="208"/>
      <c r="F6" s="125"/>
      <c r="G6" s="125"/>
      <c r="H6" s="125"/>
      <c r="I6" s="166"/>
      <c r="J6" s="166"/>
      <c r="K6" s="166"/>
      <c r="L6" s="166"/>
      <c r="M6" s="166"/>
      <c r="N6" s="125"/>
      <c r="O6" s="125"/>
      <c r="P6" s="125"/>
      <c r="Q6" s="125"/>
      <c r="R6" s="125"/>
      <c r="S6" s="125"/>
      <c r="T6" s="125"/>
      <c r="U6" s="125"/>
      <c r="V6" s="125"/>
      <c r="W6" s="125"/>
      <c r="X6" s="125"/>
      <c r="Y6" s="125"/>
      <c r="Z6" s="125"/>
      <c r="AA6" s="125"/>
      <c r="AB6" s="125"/>
      <c r="AC6" s="125"/>
      <c r="AD6" s="125"/>
      <c r="AE6" s="125"/>
      <c r="AF6" s="207"/>
    </row>
    <row r="7" spans="1:32" ht="17" thickBot="1">
      <c r="A7" s="771"/>
      <c r="B7" s="125"/>
      <c r="C7" s="640"/>
      <c r="D7" s="640"/>
      <c r="E7" s="640"/>
      <c r="F7" s="125"/>
      <c r="G7" s="125"/>
      <c r="H7" s="125"/>
      <c r="I7" s="166"/>
      <c r="J7" s="166"/>
      <c r="K7" s="166"/>
      <c r="L7" s="166"/>
      <c r="M7" s="166"/>
      <c r="N7" s="125"/>
      <c r="O7" s="125"/>
      <c r="P7" s="125"/>
      <c r="Q7" s="125"/>
      <c r="R7" s="125"/>
      <c r="S7" s="125"/>
      <c r="T7" s="125"/>
      <c r="U7" s="125"/>
      <c r="V7" s="125"/>
      <c r="W7" s="125"/>
      <c r="X7" s="125"/>
      <c r="Y7" s="125"/>
      <c r="Z7" s="125"/>
      <c r="AA7" s="125"/>
      <c r="AB7" s="125"/>
      <c r="AC7" s="125"/>
      <c r="AD7" s="125"/>
      <c r="AE7" s="125"/>
      <c r="AF7" s="207"/>
    </row>
    <row r="8" spans="1:32" ht="17" customHeight="1" thickTop="1">
      <c r="A8" s="771"/>
      <c r="B8" s="773" t="s">
        <v>1992</v>
      </c>
      <c r="C8" s="644"/>
      <c r="D8" s="88" t="s">
        <v>1492</v>
      </c>
      <c r="E8" s="86" t="s">
        <v>1537</v>
      </c>
      <c r="F8" s="125"/>
      <c r="G8" s="638" t="s">
        <v>1985</v>
      </c>
      <c r="H8" s="638"/>
      <c r="I8" s="638"/>
      <c r="J8" s="638"/>
      <c r="K8" s="638"/>
      <c r="L8" s="638"/>
      <c r="M8" s="638"/>
      <c r="N8" s="125"/>
      <c r="O8" s="125"/>
      <c r="P8" s="736" t="s">
        <v>1995</v>
      </c>
      <c r="Q8" s="737"/>
      <c r="R8" s="737"/>
      <c r="S8" s="737"/>
      <c r="T8" s="737"/>
      <c r="U8" s="737"/>
      <c r="V8" s="738"/>
      <c r="W8" s="125"/>
      <c r="X8" s="125"/>
      <c r="Y8" s="125"/>
      <c r="Z8" s="125"/>
      <c r="AA8" s="125"/>
      <c r="AB8" s="125"/>
      <c r="AC8" s="125"/>
      <c r="AD8" s="125"/>
      <c r="AE8" s="125"/>
      <c r="AF8" s="207"/>
    </row>
    <row r="9" spans="1:32" ht="16" customHeight="1">
      <c r="A9" s="771"/>
      <c r="B9" s="773"/>
      <c r="C9" s="645"/>
      <c r="D9" s="89" t="s">
        <v>1501</v>
      </c>
      <c r="E9" s="347">
        <v>0</v>
      </c>
      <c r="F9" s="125"/>
      <c r="G9" s="638"/>
      <c r="H9" s="638"/>
      <c r="I9" s="638"/>
      <c r="J9" s="638"/>
      <c r="K9" s="638"/>
      <c r="L9" s="638"/>
      <c r="M9" s="638"/>
      <c r="N9" s="125"/>
      <c r="O9" s="125"/>
      <c r="P9" s="739"/>
      <c r="Q9" s="740"/>
      <c r="R9" s="740"/>
      <c r="S9" s="740"/>
      <c r="T9" s="740"/>
      <c r="U9" s="740"/>
      <c r="V9" s="741"/>
      <c r="W9" s="125"/>
      <c r="X9" s="125"/>
      <c r="Y9" s="125"/>
      <c r="Z9" s="125"/>
      <c r="AA9" s="125"/>
      <c r="AB9" s="125"/>
      <c r="AC9" s="125"/>
      <c r="AD9" s="125"/>
      <c r="AE9" s="125"/>
      <c r="AF9" s="207"/>
    </row>
    <row r="10" spans="1:32" ht="16" customHeight="1">
      <c r="A10" s="771"/>
      <c r="B10" s="773"/>
      <c r="C10" s="645"/>
      <c r="D10" s="89" t="s">
        <v>1496</v>
      </c>
      <c r="E10" s="347">
        <v>1</v>
      </c>
      <c r="F10" s="125"/>
      <c r="G10" s="638"/>
      <c r="H10" s="638"/>
      <c r="I10" s="638"/>
      <c r="J10" s="638"/>
      <c r="K10" s="638"/>
      <c r="L10" s="638"/>
      <c r="M10" s="638"/>
      <c r="N10" s="125"/>
      <c r="O10" s="125"/>
      <c r="P10" s="739"/>
      <c r="Q10" s="740"/>
      <c r="R10" s="740"/>
      <c r="S10" s="740"/>
      <c r="T10" s="740"/>
      <c r="U10" s="740"/>
      <c r="V10" s="741"/>
      <c r="W10" s="125"/>
      <c r="X10" s="125"/>
      <c r="Y10" s="125"/>
      <c r="Z10" s="125"/>
      <c r="AA10" s="125"/>
      <c r="AB10" s="125"/>
      <c r="AC10" s="125"/>
      <c r="AD10" s="125"/>
      <c r="AE10" s="125"/>
      <c r="AF10" s="207"/>
    </row>
    <row r="11" spans="1:32" ht="16" customHeight="1">
      <c r="A11" s="771"/>
      <c r="B11" s="773"/>
      <c r="C11" s="645"/>
      <c r="D11" s="89" t="s">
        <v>1576</v>
      </c>
      <c r="E11" s="347">
        <v>2</v>
      </c>
      <c r="F11" s="125"/>
      <c r="G11" s="125"/>
      <c r="H11" s="125"/>
      <c r="I11" s="166"/>
      <c r="J11" s="166"/>
      <c r="K11" s="166"/>
      <c r="L11" s="166"/>
      <c r="M11" s="166"/>
      <c r="N11" s="125"/>
      <c r="O11" s="125"/>
      <c r="P11" s="223"/>
      <c r="Q11" s="125"/>
      <c r="R11" s="125"/>
      <c r="S11" s="125"/>
      <c r="T11" s="125"/>
      <c r="U11" s="125"/>
      <c r="V11" s="224"/>
      <c r="W11" s="166"/>
      <c r="X11" s="125"/>
      <c r="Y11" s="125"/>
      <c r="Z11" s="125"/>
      <c r="AA11" s="125"/>
      <c r="AB11" s="125"/>
      <c r="AC11" s="125"/>
      <c r="AD11" s="166"/>
      <c r="AE11" s="166"/>
      <c r="AF11" s="209"/>
    </row>
    <row r="12" spans="1:32" ht="16" customHeight="1" thickBot="1">
      <c r="A12" s="771"/>
      <c r="B12" s="773"/>
      <c r="C12" s="645"/>
      <c r="D12" s="89" t="s">
        <v>1575</v>
      </c>
      <c r="E12" s="347">
        <v>3</v>
      </c>
      <c r="F12" s="125"/>
      <c r="G12" s="640" t="s">
        <v>1509</v>
      </c>
      <c r="H12" s="640"/>
      <c r="I12" s="640"/>
      <c r="J12" s="640"/>
      <c r="K12" s="640"/>
      <c r="L12" s="640"/>
      <c r="M12" s="640"/>
      <c r="N12" s="125"/>
      <c r="O12" s="125"/>
      <c r="P12" s="664" t="s">
        <v>1925</v>
      </c>
      <c r="Q12" s="640"/>
      <c r="R12" s="640"/>
      <c r="S12" s="640"/>
      <c r="T12" s="640"/>
      <c r="U12" s="640"/>
      <c r="V12" s="665"/>
      <c r="W12" s="125"/>
      <c r="X12" s="125"/>
      <c r="Y12" s="125"/>
      <c r="Z12" s="125"/>
      <c r="AA12" s="125"/>
      <c r="AB12" s="125"/>
      <c r="AC12" s="125"/>
      <c r="AD12" s="125"/>
      <c r="AE12" s="125"/>
      <c r="AF12" s="207"/>
    </row>
    <row r="13" spans="1:32" ht="17" thickBot="1">
      <c r="A13" s="771"/>
      <c r="B13" s="773"/>
      <c r="C13" s="645"/>
      <c r="D13" s="90" t="s">
        <v>1574</v>
      </c>
      <c r="E13" s="348">
        <v>4</v>
      </c>
      <c r="F13" s="125"/>
      <c r="G13" s="657"/>
      <c r="H13" s="658"/>
      <c r="I13" s="651" t="s">
        <v>1508</v>
      </c>
      <c r="J13" s="652"/>
      <c r="K13" s="652"/>
      <c r="L13" s="652"/>
      <c r="M13" s="653"/>
      <c r="N13" s="125"/>
      <c r="O13" s="125"/>
      <c r="P13" s="675" t="s">
        <v>1554</v>
      </c>
      <c r="Q13" s="676"/>
      <c r="R13" s="152" t="s">
        <v>1555</v>
      </c>
      <c r="S13" s="667" t="s">
        <v>1556</v>
      </c>
      <c r="T13" s="667"/>
      <c r="U13" s="667" t="s">
        <v>1914</v>
      </c>
      <c r="V13" s="674"/>
      <c r="W13" s="210"/>
      <c r="X13" s="125"/>
      <c r="Y13" s="125"/>
      <c r="Z13" s="125"/>
      <c r="AA13" s="125"/>
      <c r="AB13" s="125"/>
      <c r="AC13" s="125"/>
      <c r="AD13" s="125"/>
      <c r="AE13" s="125"/>
      <c r="AF13" s="207"/>
    </row>
    <row r="14" spans="1:32">
      <c r="A14" s="771"/>
      <c r="B14" s="773"/>
      <c r="C14" s="645"/>
      <c r="D14" s="641"/>
      <c r="E14" s="641"/>
      <c r="F14" s="125"/>
      <c r="G14" s="659"/>
      <c r="H14" s="660"/>
      <c r="I14" s="192" t="s">
        <v>1543</v>
      </c>
      <c r="J14" s="95" t="s">
        <v>1500</v>
      </c>
      <c r="K14" s="95" t="s">
        <v>1499</v>
      </c>
      <c r="L14" s="95" t="s">
        <v>1498</v>
      </c>
      <c r="M14" s="193" t="s">
        <v>1497</v>
      </c>
      <c r="N14" s="125"/>
      <c r="O14" s="125"/>
      <c r="P14" s="677" t="str">
        <f>CONCATENATE(LEFT('VENDOR QUESTIONNAIRE'!F28,2),"-",LEFT('VENDOR QUESTIONNAIRE'!J28,2))</f>
        <v>-</v>
      </c>
      <c r="Q14" s="678"/>
      <c r="R14" s="187">
        <f>VLOOKUP(P14,'Risk Calc'!J80:K96,2,FALSE)</f>
        <v>0</v>
      </c>
      <c r="S14" s="668">
        <f>_xlfn.AGGREGATE(4,6,R14:R18)</f>
        <v>0</v>
      </c>
      <c r="T14" s="668"/>
      <c r="U14" s="670" t="str">
        <f>IF(AND(S14&gt;0,S14&lt;='Risk Calc'!J22),"Low",IF(AND(S14&gt;='Risk Calc'!J23,S14&lt;='Risk Calc'!J24),"Medium",IF(S14&gt;='Risk Calc'!J25,"High","Unknown")))</f>
        <v>Unknown</v>
      </c>
      <c r="V14" s="671"/>
      <c r="W14" s="210"/>
      <c r="X14" s="125"/>
      <c r="Y14" s="125"/>
      <c r="Z14" s="125"/>
      <c r="AA14" s="125"/>
      <c r="AB14" s="125"/>
      <c r="AC14" s="125"/>
      <c r="AD14" s="125"/>
      <c r="AE14" s="125"/>
      <c r="AF14" s="207"/>
    </row>
    <row r="15" spans="1:32" ht="16" customHeight="1">
      <c r="A15" s="771"/>
      <c r="B15" s="773"/>
      <c r="C15" s="645"/>
      <c r="D15" s="642"/>
      <c r="E15" s="642"/>
      <c r="F15" s="125"/>
      <c r="G15" s="654" t="s">
        <v>1492</v>
      </c>
      <c r="H15" s="189" t="s">
        <v>1543</v>
      </c>
      <c r="I15" s="81">
        <f>SUM(E9)</f>
        <v>0</v>
      </c>
      <c r="J15" s="81">
        <f>SUM(E19)</f>
        <v>1</v>
      </c>
      <c r="K15" s="81">
        <f>SUM(E20)</f>
        <v>2</v>
      </c>
      <c r="L15" s="81">
        <f>SUM(E21)</f>
        <v>3</v>
      </c>
      <c r="M15" s="83">
        <f>SUM(E22)</f>
        <v>4</v>
      </c>
      <c r="N15" s="125"/>
      <c r="O15" s="125"/>
      <c r="P15" s="677" t="str">
        <f>CONCATENATE(LEFT('VENDOR QUESTIONNAIRE'!F29,2),"-",LEFT('VENDOR QUESTIONNAIRE'!J29,2))</f>
        <v>-</v>
      </c>
      <c r="Q15" s="678"/>
      <c r="R15" s="187" t="e">
        <f>VLOOKUP(P15,'Risk Calc'!J81:K97,2,FALSE)</f>
        <v>#N/A</v>
      </c>
      <c r="S15" s="668"/>
      <c r="T15" s="668"/>
      <c r="U15" s="670"/>
      <c r="V15" s="671"/>
      <c r="W15" s="210"/>
      <c r="X15" s="125"/>
      <c r="Y15" s="125"/>
      <c r="Z15" s="125"/>
      <c r="AA15" s="125"/>
      <c r="AB15" s="125"/>
      <c r="AC15" s="125"/>
      <c r="AD15" s="125"/>
      <c r="AE15" s="125"/>
      <c r="AF15" s="207"/>
    </row>
    <row r="16" spans="1:32" ht="17" thickBot="1">
      <c r="A16" s="771"/>
      <c r="B16" s="773"/>
      <c r="C16" s="645"/>
      <c r="D16" s="643"/>
      <c r="E16" s="643"/>
      <c r="F16" s="125"/>
      <c r="G16" s="655"/>
      <c r="H16" s="190" t="s">
        <v>1496</v>
      </c>
      <c r="I16" s="81">
        <f>SUM(E10)</f>
        <v>1</v>
      </c>
      <c r="J16" s="109">
        <f>SUM(J15*I16)</f>
        <v>1</v>
      </c>
      <c r="K16" s="109">
        <f t="shared" ref="K16" si="0">SUM(K15*J16)</f>
        <v>2</v>
      </c>
      <c r="L16" s="109">
        <f>SUM(L15*I16)</f>
        <v>3</v>
      </c>
      <c r="M16" s="110">
        <f>SUM(M15*I16)</f>
        <v>4</v>
      </c>
      <c r="N16" s="125"/>
      <c r="O16" s="125"/>
      <c r="P16" s="677" t="str">
        <f>CONCATENATE(LEFT('VENDOR QUESTIONNAIRE'!F30,2),"-",LEFT('VENDOR QUESTIONNAIRE'!J30,2))</f>
        <v>-</v>
      </c>
      <c r="Q16" s="678"/>
      <c r="R16" s="187" t="e">
        <f>VLOOKUP(P16,'Risk Calc'!J82:K98,2,FALSE)</f>
        <v>#N/A</v>
      </c>
      <c r="S16" s="668"/>
      <c r="T16" s="668"/>
      <c r="U16" s="670"/>
      <c r="V16" s="671"/>
      <c r="W16" s="125"/>
      <c r="X16" s="125"/>
      <c r="Y16" s="125"/>
      <c r="Z16" s="125"/>
      <c r="AA16" s="125"/>
      <c r="AB16" s="125"/>
      <c r="AC16" s="125"/>
      <c r="AD16" s="125"/>
      <c r="AE16" s="125"/>
      <c r="AF16" s="207"/>
    </row>
    <row r="17" spans="1:37">
      <c r="A17" s="771"/>
      <c r="B17" s="773"/>
      <c r="C17" s="645"/>
      <c r="D17" s="88" t="s">
        <v>1510</v>
      </c>
      <c r="E17" s="86" t="s">
        <v>1537</v>
      </c>
      <c r="F17" s="125"/>
      <c r="G17" s="655"/>
      <c r="H17" s="190" t="s">
        <v>1576</v>
      </c>
      <c r="I17" s="81">
        <f>SUM(E11)</f>
        <v>2</v>
      </c>
      <c r="J17" s="109">
        <f>SUM(J15*I17)</f>
        <v>2</v>
      </c>
      <c r="K17" s="109">
        <f>SUM(K15*I17)</f>
        <v>4</v>
      </c>
      <c r="L17" s="109">
        <f>SUM(L15*I17)</f>
        <v>6</v>
      </c>
      <c r="M17" s="110">
        <f>SUM(M15*I17)</f>
        <v>8</v>
      </c>
      <c r="N17" s="125"/>
      <c r="O17" s="125"/>
      <c r="P17" s="677" t="str">
        <f>CONCATENATE(LEFT('VENDOR QUESTIONNAIRE'!F31,2),"-",LEFT('VENDOR QUESTIONNAIRE'!J31,2))</f>
        <v>-</v>
      </c>
      <c r="Q17" s="678"/>
      <c r="R17" s="187" t="e">
        <f>VLOOKUP(P17,'Risk Calc'!J83:K99,2,FALSE)</f>
        <v>#N/A</v>
      </c>
      <c r="S17" s="668"/>
      <c r="T17" s="668"/>
      <c r="U17" s="670"/>
      <c r="V17" s="671"/>
      <c r="W17" s="210"/>
      <c r="X17" s="125"/>
      <c r="Y17" s="125"/>
      <c r="Z17" s="125"/>
      <c r="AA17" s="125"/>
      <c r="AB17" s="125"/>
      <c r="AC17" s="125"/>
      <c r="AD17" s="125"/>
      <c r="AE17" s="125"/>
      <c r="AF17" s="207"/>
    </row>
    <row r="18" spans="1:37" ht="17" thickBot="1">
      <c r="A18" s="771"/>
      <c r="B18" s="773"/>
      <c r="C18" s="645"/>
      <c r="D18" s="89" t="s">
        <v>1501</v>
      </c>
      <c r="E18" s="347">
        <v>0</v>
      </c>
      <c r="F18" s="125"/>
      <c r="G18" s="655"/>
      <c r="H18" s="190" t="s">
        <v>1575</v>
      </c>
      <c r="I18" s="81">
        <f>SUM(E12)</f>
        <v>3</v>
      </c>
      <c r="J18" s="109">
        <f>SUM(J15*I18)</f>
        <v>3</v>
      </c>
      <c r="K18" s="109">
        <f>SUM(K15*I18)</f>
        <v>6</v>
      </c>
      <c r="L18" s="109">
        <f>SUM(L15*I18)</f>
        <v>9</v>
      </c>
      <c r="M18" s="110">
        <f>SUM(M15*I18)</f>
        <v>12</v>
      </c>
      <c r="N18" s="125"/>
      <c r="O18" s="125"/>
      <c r="P18" s="706" t="str">
        <f>CONCATENATE(LEFT('VENDOR QUESTIONNAIRE'!F32,2),"-",LEFT('VENDOR QUESTIONNAIRE'!J32,2))</f>
        <v>-</v>
      </c>
      <c r="Q18" s="707"/>
      <c r="R18" s="226" t="e">
        <f>VLOOKUP(P18,'Risk Calc'!J84:K100,2,FALSE)</f>
        <v>#N/A</v>
      </c>
      <c r="S18" s="669"/>
      <c r="T18" s="669"/>
      <c r="U18" s="672"/>
      <c r="V18" s="673"/>
      <c r="W18" s="210"/>
      <c r="X18" s="125"/>
      <c r="Y18" s="125"/>
      <c r="Z18" s="125"/>
      <c r="AA18" s="125"/>
      <c r="AB18" s="125"/>
      <c r="AC18" s="125"/>
      <c r="AD18" s="125"/>
      <c r="AE18" s="125"/>
      <c r="AF18" s="207"/>
    </row>
    <row r="19" spans="1:37" ht="18" thickTop="1" thickBot="1">
      <c r="A19" s="771"/>
      <c r="B19" s="773"/>
      <c r="C19" s="645"/>
      <c r="D19" s="89" t="s">
        <v>1500</v>
      </c>
      <c r="E19" s="347">
        <v>1</v>
      </c>
      <c r="F19" s="125"/>
      <c r="G19" s="656"/>
      <c r="H19" s="191" t="s">
        <v>1574</v>
      </c>
      <c r="I19" s="82">
        <f>SUM(E13)</f>
        <v>4</v>
      </c>
      <c r="J19" s="111">
        <f>SUM(J15*I19)</f>
        <v>4</v>
      </c>
      <c r="K19" s="111">
        <f>SUM(K15*I19)</f>
        <v>8</v>
      </c>
      <c r="L19" s="111">
        <f>SUM(L15*I19)</f>
        <v>12</v>
      </c>
      <c r="M19" s="112">
        <f>SUM(M15*I19)</f>
        <v>16</v>
      </c>
      <c r="N19" s="125"/>
      <c r="O19" s="125"/>
      <c r="P19" s="125"/>
      <c r="Q19" s="125"/>
      <c r="R19" s="125"/>
      <c r="S19" s="125"/>
      <c r="T19" s="125"/>
      <c r="U19" s="125"/>
      <c r="V19" s="125"/>
      <c r="W19" s="210"/>
      <c r="X19" s="125"/>
      <c r="Y19" s="125"/>
      <c r="Z19" s="125"/>
      <c r="AA19" s="125"/>
      <c r="AB19" s="125"/>
      <c r="AC19" s="125"/>
      <c r="AD19" s="125"/>
      <c r="AE19" s="125"/>
      <c r="AF19" s="207"/>
    </row>
    <row r="20" spans="1:37" ht="17" thickBot="1">
      <c r="A20" s="771"/>
      <c r="B20" s="773"/>
      <c r="C20" s="645"/>
      <c r="D20" s="89" t="s">
        <v>1499</v>
      </c>
      <c r="E20" s="347">
        <v>2</v>
      </c>
      <c r="F20" s="125"/>
      <c r="G20" s="125"/>
      <c r="H20" s="125"/>
      <c r="I20" s="166"/>
      <c r="J20" s="166"/>
      <c r="K20" s="166"/>
      <c r="L20" s="166"/>
      <c r="M20" s="166"/>
      <c r="N20" s="125"/>
      <c r="O20" s="125"/>
      <c r="P20" s="125"/>
      <c r="Q20" s="125"/>
      <c r="R20" s="125"/>
      <c r="S20" s="125"/>
      <c r="T20" s="125"/>
      <c r="U20" s="125"/>
      <c r="V20" s="125"/>
      <c r="W20" s="210"/>
      <c r="X20" s="125"/>
      <c r="Y20" s="125"/>
      <c r="Z20" s="125"/>
      <c r="AA20" s="125"/>
      <c r="AB20" s="125"/>
      <c r="AC20" s="125"/>
      <c r="AD20" s="125"/>
      <c r="AE20" s="125"/>
      <c r="AF20" s="207"/>
    </row>
    <row r="21" spans="1:37">
      <c r="A21" s="771"/>
      <c r="B21" s="773"/>
      <c r="C21" s="645"/>
      <c r="D21" s="89" t="s">
        <v>1498</v>
      </c>
      <c r="E21" s="347">
        <v>3</v>
      </c>
      <c r="F21" s="125"/>
      <c r="G21" s="125"/>
      <c r="H21" s="663" t="s">
        <v>1977</v>
      </c>
      <c r="I21" s="649"/>
      <c r="J21" s="650"/>
      <c r="K21" s="768" t="s">
        <v>1988</v>
      </c>
      <c r="L21" s="769"/>
      <c r="M21" s="769"/>
      <c r="N21" s="125"/>
      <c r="O21" s="125"/>
      <c r="P21" s="125"/>
      <c r="Q21" s="125"/>
      <c r="R21" s="125"/>
      <c r="S21" s="125"/>
      <c r="T21" s="125"/>
      <c r="U21" s="125"/>
      <c r="V21" s="125"/>
      <c r="W21" s="125"/>
      <c r="X21" s="125"/>
      <c r="Y21" s="125"/>
      <c r="Z21" s="125"/>
      <c r="AA21" s="125"/>
      <c r="AB21" s="125"/>
      <c r="AC21" s="125"/>
      <c r="AD21" s="125"/>
      <c r="AE21" s="125"/>
      <c r="AF21" s="207"/>
    </row>
    <row r="22" spans="1:37" ht="17" customHeight="1" thickBot="1">
      <c r="A22" s="771"/>
      <c r="B22" s="773"/>
      <c r="C22" s="646"/>
      <c r="D22" s="90" t="s">
        <v>1497</v>
      </c>
      <c r="E22" s="348">
        <v>4</v>
      </c>
      <c r="F22" s="125"/>
      <c r="G22" s="125"/>
      <c r="H22" s="108" t="s">
        <v>1910</v>
      </c>
      <c r="I22" s="105" t="s">
        <v>1534</v>
      </c>
      <c r="J22" s="349">
        <v>3</v>
      </c>
      <c r="K22" s="768"/>
      <c r="L22" s="769"/>
      <c r="M22" s="769"/>
      <c r="N22" s="211"/>
      <c r="O22" s="125"/>
      <c r="P22" s="125"/>
      <c r="Q22" s="125"/>
      <c r="R22" s="125"/>
      <c r="S22" s="125"/>
      <c r="T22" s="125"/>
      <c r="U22" s="125"/>
      <c r="V22" s="125"/>
      <c r="W22" s="125"/>
      <c r="X22" s="125"/>
      <c r="Y22" s="125"/>
      <c r="Z22" s="125"/>
      <c r="AA22" s="125"/>
      <c r="AB22" s="125"/>
      <c r="AC22" s="125"/>
      <c r="AD22" s="125"/>
      <c r="AE22" s="125"/>
      <c r="AF22" s="207"/>
    </row>
    <row r="23" spans="1:37" ht="16" customHeight="1">
      <c r="A23" s="771"/>
      <c r="B23" s="125"/>
      <c r="C23" s="125"/>
      <c r="D23" s="125"/>
      <c r="E23" s="166"/>
      <c r="F23" s="125"/>
      <c r="G23" s="125"/>
      <c r="H23" s="661" t="s">
        <v>1921</v>
      </c>
      <c r="I23" s="106" t="s">
        <v>1535</v>
      </c>
      <c r="J23" s="350">
        <v>4</v>
      </c>
      <c r="K23" s="768"/>
      <c r="L23" s="769"/>
      <c r="M23" s="769"/>
      <c r="N23" s="125"/>
      <c r="O23" s="125"/>
      <c r="P23" s="125"/>
      <c r="Q23" s="125"/>
      <c r="R23" s="125"/>
      <c r="S23" s="125"/>
      <c r="T23" s="125"/>
      <c r="U23" s="125"/>
      <c r="V23" s="125"/>
      <c r="W23" s="125"/>
      <c r="X23" s="125"/>
      <c r="Y23" s="125"/>
      <c r="Z23" s="125"/>
      <c r="AA23" s="125"/>
      <c r="AB23" s="125"/>
      <c r="AC23" s="125"/>
      <c r="AD23" s="125"/>
      <c r="AE23" s="125"/>
      <c r="AF23" s="207"/>
    </row>
    <row r="24" spans="1:37" ht="16" customHeight="1">
      <c r="A24" s="771"/>
      <c r="B24" s="125"/>
      <c r="C24" s="125"/>
      <c r="D24" s="212" t="s">
        <v>1982</v>
      </c>
      <c r="E24" s="166"/>
      <c r="F24" s="125"/>
      <c r="G24" s="125"/>
      <c r="H24" s="662"/>
      <c r="I24" s="107" t="s">
        <v>1534</v>
      </c>
      <c r="J24" s="351">
        <v>7</v>
      </c>
      <c r="K24" s="768"/>
      <c r="L24" s="769"/>
      <c r="M24" s="769"/>
      <c r="N24" s="125"/>
      <c r="O24" s="125"/>
      <c r="P24" s="125"/>
      <c r="Q24" s="125"/>
      <c r="R24" s="125"/>
      <c r="S24" s="125"/>
      <c r="T24" s="125"/>
      <c r="U24" s="125"/>
      <c r="V24" s="125"/>
      <c r="W24" s="125"/>
      <c r="X24" s="125"/>
      <c r="Y24" s="125"/>
      <c r="Z24" s="125"/>
      <c r="AA24" s="125"/>
      <c r="AB24" s="125"/>
      <c r="AC24" s="125"/>
      <c r="AD24" s="125"/>
      <c r="AE24" s="125"/>
      <c r="AF24" s="207"/>
    </row>
    <row r="25" spans="1:37" ht="16" customHeight="1" thickBot="1">
      <c r="A25" s="771"/>
      <c r="B25" s="125"/>
      <c r="C25" s="125"/>
      <c r="D25" s="212"/>
      <c r="E25" s="166"/>
      <c r="F25" s="125"/>
      <c r="G25" s="125"/>
      <c r="H25" s="103" t="s">
        <v>1911</v>
      </c>
      <c r="I25" s="104" t="s">
        <v>1535</v>
      </c>
      <c r="J25" s="352">
        <v>8</v>
      </c>
      <c r="K25" s="768"/>
      <c r="L25" s="769"/>
      <c r="M25" s="769"/>
      <c r="N25" s="125"/>
      <c r="O25" s="125"/>
      <c r="P25" s="125"/>
      <c r="Q25" s="125"/>
      <c r="R25" s="125"/>
      <c r="S25" s="125"/>
      <c r="T25" s="125"/>
      <c r="U25" s="125"/>
      <c r="V25" s="125"/>
      <c r="W25" s="125"/>
      <c r="X25" s="125"/>
      <c r="Y25" s="125"/>
      <c r="Z25" s="125"/>
      <c r="AA25" s="125"/>
      <c r="AB25" s="125"/>
      <c r="AC25" s="125"/>
      <c r="AD25" s="125"/>
      <c r="AE25" s="125"/>
      <c r="AF25" s="207"/>
    </row>
    <row r="26" spans="1:37" ht="16" customHeight="1" thickBot="1">
      <c r="A26" s="772"/>
      <c r="B26" s="213"/>
      <c r="C26" s="213"/>
      <c r="D26" s="213"/>
      <c r="E26" s="214"/>
      <c r="F26" s="213"/>
      <c r="G26" s="213"/>
      <c r="H26" s="213"/>
      <c r="I26" s="214"/>
      <c r="J26" s="214"/>
      <c r="K26" s="214"/>
      <c r="L26" s="214"/>
      <c r="M26" s="214"/>
      <c r="N26" s="213"/>
      <c r="O26" s="213"/>
      <c r="P26" s="213"/>
      <c r="Q26" s="213"/>
      <c r="R26" s="213"/>
      <c r="S26" s="213"/>
      <c r="T26" s="213"/>
      <c r="U26" s="213"/>
      <c r="V26" s="213"/>
      <c r="W26" s="213"/>
      <c r="X26" s="213"/>
      <c r="Y26" s="213"/>
      <c r="Z26" s="213"/>
      <c r="AA26" s="213"/>
      <c r="AB26" s="213"/>
      <c r="AC26" s="213"/>
      <c r="AD26" s="213"/>
      <c r="AE26" s="213"/>
      <c r="AF26" s="215"/>
    </row>
    <row r="27" spans="1:37" ht="16" customHeight="1" thickBot="1">
      <c r="E27" s="153"/>
      <c r="I27" s="153"/>
      <c r="J27" s="153"/>
      <c r="K27" s="153"/>
      <c r="L27" s="153"/>
      <c r="M27" s="153"/>
    </row>
    <row r="28" spans="1:37" ht="16" customHeight="1">
      <c r="A28" s="770" t="s">
        <v>1984</v>
      </c>
      <c r="B28" s="204"/>
      <c r="C28" s="204"/>
      <c r="D28" s="204"/>
      <c r="E28" s="205"/>
      <c r="F28" s="204"/>
      <c r="G28" s="204"/>
      <c r="H28" s="204"/>
      <c r="I28" s="205"/>
      <c r="J28" s="205"/>
      <c r="K28" s="205"/>
      <c r="L28" s="205"/>
      <c r="M28" s="205"/>
      <c r="N28" s="204"/>
      <c r="O28" s="204"/>
      <c r="P28" s="204"/>
      <c r="Q28" s="204"/>
      <c r="R28" s="204"/>
      <c r="S28" s="204"/>
      <c r="T28" s="204"/>
      <c r="U28" s="204"/>
      <c r="V28" s="204"/>
      <c r="W28" s="204"/>
      <c r="X28" s="204"/>
      <c r="Y28" s="204"/>
      <c r="Z28" s="204"/>
      <c r="AA28" s="204"/>
      <c r="AB28" s="204"/>
      <c r="AC28" s="204"/>
      <c r="AD28" s="204"/>
      <c r="AE28" s="204"/>
      <c r="AF28" s="206"/>
    </row>
    <row r="29" spans="1:37" s="91" customFormat="1" ht="21" customHeight="1">
      <c r="A29" s="771"/>
      <c r="B29" s="638" t="s">
        <v>1990</v>
      </c>
      <c r="C29" s="638"/>
      <c r="D29" s="638"/>
      <c r="E29" s="638"/>
      <c r="F29" s="211"/>
      <c r="G29" s="211"/>
      <c r="H29" s="211"/>
      <c r="I29" s="211"/>
      <c r="J29" s="211"/>
      <c r="K29" s="211"/>
      <c r="L29" s="211"/>
      <c r="M29" s="211"/>
      <c r="N29" s="211"/>
      <c r="O29" s="211"/>
      <c r="P29" s="211"/>
      <c r="Q29" s="211"/>
      <c r="R29" s="211"/>
      <c r="S29" s="211"/>
      <c r="T29" s="211"/>
      <c r="U29" s="211"/>
      <c r="V29" s="211"/>
      <c r="W29" s="125"/>
      <c r="X29" s="125"/>
      <c r="Y29" s="125"/>
      <c r="Z29" s="125"/>
      <c r="AA29" s="125"/>
      <c r="AB29" s="125"/>
      <c r="AC29" s="125"/>
      <c r="AD29" s="211"/>
      <c r="AE29" s="125"/>
      <c r="AF29" s="207"/>
      <c r="AG29"/>
      <c r="AH29"/>
      <c r="AI29"/>
      <c r="AJ29"/>
      <c r="AK29"/>
    </row>
    <row r="30" spans="1:37">
      <c r="A30" s="771"/>
      <c r="B30" s="638"/>
      <c r="C30" s="638"/>
      <c r="D30" s="638"/>
      <c r="E30" s="638"/>
      <c r="F30" s="125"/>
      <c r="G30" s="125"/>
      <c r="H30" s="125"/>
      <c r="I30" s="166"/>
      <c r="J30" s="166"/>
      <c r="K30" s="166"/>
      <c r="L30" s="166"/>
      <c r="M30" s="166"/>
      <c r="N30" s="125"/>
      <c r="O30" s="125"/>
      <c r="P30" s="125"/>
      <c r="Q30" s="125"/>
      <c r="R30" s="125"/>
      <c r="S30" s="125"/>
      <c r="T30" s="125"/>
      <c r="U30" s="125"/>
      <c r="V30" s="125"/>
      <c r="W30" s="125"/>
      <c r="X30" s="125"/>
      <c r="Y30" s="125"/>
      <c r="Z30" s="125"/>
      <c r="AA30" s="125"/>
      <c r="AB30" s="125"/>
      <c r="AC30" s="125"/>
      <c r="AD30" s="125"/>
      <c r="AE30" s="125"/>
      <c r="AF30" s="207"/>
    </row>
    <row r="31" spans="1:37">
      <c r="A31" s="771"/>
      <c r="B31" s="638"/>
      <c r="C31" s="638"/>
      <c r="D31" s="638"/>
      <c r="E31" s="638"/>
      <c r="F31" s="125"/>
      <c r="G31" s="125"/>
      <c r="H31" s="125"/>
      <c r="I31" s="166"/>
      <c r="J31" s="166"/>
      <c r="K31" s="166"/>
      <c r="L31" s="166"/>
      <c r="M31" s="125"/>
      <c r="N31" s="125"/>
      <c r="O31" s="125"/>
      <c r="P31" s="125"/>
      <c r="Q31" s="125"/>
      <c r="R31" s="125"/>
      <c r="S31" s="125"/>
      <c r="T31" s="125"/>
      <c r="U31" s="125"/>
      <c r="V31" s="125"/>
      <c r="W31" s="125"/>
      <c r="X31" s="125"/>
      <c r="Y31" s="125"/>
      <c r="Z31" s="125"/>
      <c r="AA31" s="125"/>
      <c r="AB31" s="125"/>
      <c r="AC31" s="125"/>
      <c r="AD31" s="125"/>
      <c r="AE31" s="125"/>
      <c r="AF31" s="207"/>
    </row>
    <row r="32" spans="1:37" ht="16.5" customHeight="1" thickBot="1">
      <c r="A32" s="771"/>
      <c r="B32" s="222"/>
      <c r="C32" s="125"/>
      <c r="D32" s="125"/>
      <c r="E32" s="166"/>
      <c r="F32" s="125"/>
      <c r="G32" s="638" t="s">
        <v>1986</v>
      </c>
      <c r="H32" s="638"/>
      <c r="I32" s="638"/>
      <c r="J32" s="638"/>
      <c r="K32" s="638"/>
      <c r="L32" s="638"/>
      <c r="M32" s="125"/>
      <c r="N32" s="125"/>
      <c r="O32" s="125"/>
      <c r="P32" s="125"/>
      <c r="Q32" s="125"/>
      <c r="R32" s="638" t="s">
        <v>1994</v>
      </c>
      <c r="S32" s="638"/>
      <c r="T32" s="638"/>
      <c r="U32" s="638"/>
      <c r="V32" s="638"/>
      <c r="W32" s="638"/>
      <c r="X32" s="638"/>
      <c r="Y32" s="638"/>
      <c r="Z32" s="638"/>
      <c r="AA32" s="638"/>
      <c r="AB32" s="125"/>
      <c r="AC32" s="125"/>
      <c r="AD32" s="125"/>
      <c r="AE32" s="125"/>
      <c r="AF32" s="207"/>
    </row>
    <row r="33" spans="1:32" ht="15.75" customHeight="1">
      <c r="A33" s="771"/>
      <c r="B33" s="788" t="s">
        <v>1991</v>
      </c>
      <c r="C33" s="776"/>
      <c r="D33" s="88" t="s">
        <v>1490</v>
      </c>
      <c r="E33" s="86" t="s">
        <v>1537</v>
      </c>
      <c r="F33" s="125"/>
      <c r="G33" s="638"/>
      <c r="H33" s="638"/>
      <c r="I33" s="638"/>
      <c r="J33" s="638"/>
      <c r="K33" s="638"/>
      <c r="L33" s="638"/>
      <c r="M33" s="125"/>
      <c r="N33" s="125"/>
      <c r="O33" s="125"/>
      <c r="P33" s="125"/>
      <c r="Q33" s="125"/>
      <c r="R33" s="638"/>
      <c r="S33" s="638"/>
      <c r="T33" s="638"/>
      <c r="U33" s="638"/>
      <c r="V33" s="638"/>
      <c r="W33" s="638"/>
      <c r="X33" s="638"/>
      <c r="Y33" s="638"/>
      <c r="Z33" s="638"/>
      <c r="AA33" s="638"/>
      <c r="AB33" s="125"/>
      <c r="AC33" s="125"/>
      <c r="AD33" s="125"/>
      <c r="AE33" s="125"/>
      <c r="AF33" s="207"/>
    </row>
    <row r="34" spans="1:32" ht="15.75" customHeight="1">
      <c r="A34" s="771"/>
      <c r="B34" s="788"/>
      <c r="C34" s="777"/>
      <c r="D34" s="89" t="s">
        <v>1966</v>
      </c>
      <c r="E34" s="347">
        <v>1</v>
      </c>
      <c r="F34" s="125"/>
      <c r="G34" s="638"/>
      <c r="H34" s="638"/>
      <c r="I34" s="638"/>
      <c r="J34" s="638"/>
      <c r="K34" s="638"/>
      <c r="L34" s="638"/>
      <c r="M34" s="125"/>
      <c r="N34" s="125"/>
      <c r="O34" s="125"/>
      <c r="P34" s="125"/>
      <c r="Q34" s="125"/>
      <c r="R34" s="638"/>
      <c r="S34" s="638"/>
      <c r="T34" s="638"/>
      <c r="U34" s="638"/>
      <c r="V34" s="638"/>
      <c r="W34" s="638"/>
      <c r="X34" s="638"/>
      <c r="Y34" s="638"/>
      <c r="Z34" s="638"/>
      <c r="AA34" s="638"/>
      <c r="AB34" s="125"/>
      <c r="AC34" s="125"/>
      <c r="AD34" s="125"/>
      <c r="AE34" s="125"/>
      <c r="AF34" s="207"/>
    </row>
    <row r="35" spans="1:32">
      <c r="A35" s="771"/>
      <c r="B35" s="788"/>
      <c r="C35" s="777"/>
      <c r="D35" s="89" t="s">
        <v>1965</v>
      </c>
      <c r="E35" s="347">
        <v>2</v>
      </c>
      <c r="F35" s="125"/>
      <c r="G35" s="125"/>
      <c r="H35" s="125"/>
      <c r="I35" s="166"/>
      <c r="J35" s="166"/>
      <c r="K35" s="166"/>
      <c r="L35" s="166"/>
      <c r="M35" s="166"/>
      <c r="N35" s="125"/>
      <c r="O35" s="125"/>
      <c r="P35" s="125"/>
      <c r="Q35" s="125"/>
      <c r="R35" s="125"/>
      <c r="S35" s="125"/>
      <c r="T35" s="125"/>
      <c r="U35" s="125"/>
      <c r="V35" s="125"/>
      <c r="W35" s="125"/>
      <c r="X35" s="125"/>
      <c r="Y35" s="125"/>
      <c r="Z35" s="125"/>
      <c r="AA35" s="125"/>
      <c r="AB35" s="125"/>
      <c r="AC35" s="125"/>
      <c r="AD35" s="125"/>
      <c r="AE35" s="125"/>
      <c r="AF35" s="207"/>
    </row>
    <row r="36" spans="1:32" ht="17" thickBot="1">
      <c r="A36" s="771"/>
      <c r="B36" s="788"/>
      <c r="C36" s="777"/>
      <c r="D36" s="89" t="s">
        <v>2069</v>
      </c>
      <c r="E36" s="347">
        <v>3</v>
      </c>
      <c r="F36" s="125"/>
      <c r="G36" s="785" t="s">
        <v>1979</v>
      </c>
      <c r="H36" s="785"/>
      <c r="I36" s="785"/>
      <c r="J36" s="785"/>
      <c r="K36" s="785"/>
      <c r="L36" s="785"/>
      <c r="M36" s="166"/>
      <c r="N36" s="125"/>
      <c r="O36" s="666"/>
      <c r="P36" s="666"/>
      <c r="Q36" s="666"/>
      <c r="R36" s="666"/>
      <c r="S36" s="666"/>
      <c r="T36" s="666"/>
      <c r="U36" s="666"/>
      <c r="V36" s="666"/>
      <c r="W36" s="666"/>
      <c r="X36" s="666"/>
      <c r="Y36" s="666"/>
      <c r="Z36" s="666"/>
      <c r="AA36" s="666"/>
      <c r="AB36" s="666"/>
      <c r="AC36" s="666"/>
      <c r="AD36" s="666"/>
      <c r="AE36" s="666"/>
      <c r="AF36" s="207"/>
    </row>
    <row r="37" spans="1:32" ht="15.75" customHeight="1">
      <c r="A37" s="771"/>
      <c r="B37" s="788"/>
      <c r="C37" s="777"/>
      <c r="D37" s="89" t="s">
        <v>1964</v>
      </c>
      <c r="E37" s="347">
        <v>4</v>
      </c>
      <c r="F37" s="125"/>
      <c r="G37" s="781" t="s">
        <v>1490</v>
      </c>
      <c r="H37" s="178"/>
      <c r="I37" s="746" t="s">
        <v>1528</v>
      </c>
      <c r="J37" s="746"/>
      <c r="K37" s="746"/>
      <c r="L37" s="747"/>
      <c r="M37" s="166"/>
      <c r="N37" s="125"/>
      <c r="O37" s="228"/>
      <c r="P37" s="167"/>
      <c r="Q37" s="167"/>
      <c r="R37" s="167"/>
      <c r="S37" s="167"/>
      <c r="T37" s="761" t="s">
        <v>1970</v>
      </c>
      <c r="U37" s="761"/>
      <c r="V37" s="761"/>
      <c r="W37" s="761"/>
      <c r="X37" s="761"/>
      <c r="Y37" s="762" t="s">
        <v>1971</v>
      </c>
      <c r="Z37" s="762"/>
      <c r="AA37" s="762"/>
      <c r="AB37" s="762"/>
      <c r="AC37" s="762"/>
      <c r="AD37" s="762"/>
      <c r="AE37" s="186"/>
      <c r="AF37" s="207"/>
    </row>
    <row r="38" spans="1:32" ht="17" thickBot="1">
      <c r="A38" s="771"/>
      <c r="B38" s="788"/>
      <c r="C38" s="777"/>
      <c r="D38" s="90" t="s">
        <v>1963</v>
      </c>
      <c r="E38" s="348">
        <v>5</v>
      </c>
      <c r="F38" s="125"/>
      <c r="G38" s="782"/>
      <c r="H38" s="179"/>
      <c r="I38" s="245" t="s">
        <v>1543</v>
      </c>
      <c r="J38" s="246" t="s">
        <v>1967</v>
      </c>
      <c r="K38" s="246" t="s">
        <v>1968</v>
      </c>
      <c r="L38" s="247" t="s">
        <v>1969</v>
      </c>
      <c r="M38" s="166"/>
      <c r="N38" s="125"/>
      <c r="O38" s="228"/>
      <c r="P38" s="167"/>
      <c r="Q38" s="167"/>
      <c r="R38" s="167"/>
      <c r="S38" s="167"/>
      <c r="T38" s="765" t="s">
        <v>1539</v>
      </c>
      <c r="U38" s="751" t="s">
        <v>1531</v>
      </c>
      <c r="V38" s="752" t="s">
        <v>1532</v>
      </c>
      <c r="W38" s="779" t="s">
        <v>1540</v>
      </c>
      <c r="X38" s="759" t="s">
        <v>1974</v>
      </c>
      <c r="Y38" s="764" t="s">
        <v>1429</v>
      </c>
      <c r="Z38" s="764" t="s">
        <v>1430</v>
      </c>
      <c r="AA38" s="764" t="s">
        <v>1431</v>
      </c>
      <c r="AB38" s="764" t="s">
        <v>1473</v>
      </c>
      <c r="AC38" s="764" t="s">
        <v>1454</v>
      </c>
      <c r="AD38" s="760" t="s">
        <v>1975</v>
      </c>
      <c r="AE38" s="759" t="s">
        <v>1973</v>
      </c>
      <c r="AF38" s="207"/>
    </row>
    <row r="39" spans="1:32">
      <c r="A39" s="771"/>
      <c r="B39" s="788"/>
      <c r="C39" s="777"/>
      <c r="D39" s="125"/>
      <c r="E39" s="166"/>
      <c r="F39" s="125"/>
      <c r="G39" s="782"/>
      <c r="H39" s="176" t="s">
        <v>1543</v>
      </c>
      <c r="I39" s="177">
        <v>0</v>
      </c>
      <c r="J39" s="177">
        <f>E44</f>
        <v>1</v>
      </c>
      <c r="K39" s="177">
        <f>E45</f>
        <v>2</v>
      </c>
      <c r="L39" s="180">
        <f>E46</f>
        <v>3</v>
      </c>
      <c r="M39" s="166"/>
      <c r="N39" s="125"/>
      <c r="O39" s="228"/>
      <c r="P39" s="167"/>
      <c r="Q39" s="167"/>
      <c r="R39" s="167"/>
      <c r="S39" s="167"/>
      <c r="T39" s="765"/>
      <c r="U39" s="751"/>
      <c r="V39" s="752"/>
      <c r="W39" s="779"/>
      <c r="X39" s="759"/>
      <c r="Y39" s="764"/>
      <c r="Z39" s="764"/>
      <c r="AA39" s="764"/>
      <c r="AB39" s="764"/>
      <c r="AC39" s="764"/>
      <c r="AD39" s="760"/>
      <c r="AE39" s="759"/>
      <c r="AF39" s="207"/>
    </row>
    <row r="40" spans="1:32">
      <c r="A40" s="771"/>
      <c r="B40" s="788"/>
      <c r="C40" s="777"/>
      <c r="D40" s="125"/>
      <c r="E40" s="166"/>
      <c r="F40" s="125"/>
      <c r="G40" s="782"/>
      <c r="H40" s="176" t="s">
        <v>1966</v>
      </c>
      <c r="I40" s="177">
        <f>E34</f>
        <v>1</v>
      </c>
      <c r="J40" s="200">
        <f>J$39*I40</f>
        <v>1</v>
      </c>
      <c r="K40" s="200">
        <f>K$39*I40</f>
        <v>2</v>
      </c>
      <c r="L40" s="201">
        <f>L$39*I40</f>
        <v>3</v>
      </c>
      <c r="M40" s="166"/>
      <c r="N40" s="125"/>
      <c r="O40" s="790" t="s">
        <v>1980</v>
      </c>
      <c r="P40" s="780" t="s">
        <v>1558</v>
      </c>
      <c r="Q40" s="780"/>
      <c r="R40" s="780"/>
      <c r="S40" s="780"/>
      <c r="T40" s="171">
        <f>COUNTIFS('VENDOR QUESTIONNAIRE'!$V$58:$V$181,$P40,'VENDOR QUESTIONNAIRE'!$T$58:$T$181,"Required")</f>
        <v>0</v>
      </c>
      <c r="U40" s="171">
        <f>COUNTIFS('VENDOR QUESTIONNAIRE'!$V$58:$V$181,$P40,'VENDOR QUESTIONNAIRE'!$T$58:$T$181,"Required",'VENDOR QUESTIONNAIRE'!$L$58:$L$181,"Yes")</f>
        <v>0</v>
      </c>
      <c r="V40" s="171">
        <f>COUNTIFS('VENDOR QUESTIONNAIRE'!$V$58:$V$181,$P40,'VENDOR QUESTIONNAIRE'!$T$58:$T$181,"Required",'VENDOR QUESTIONNAIRE'!$L$58:$L$181,"No")</f>
        <v>0</v>
      </c>
      <c r="W40" s="185" t="e">
        <f>(T40-V40)/T40</f>
        <v>#DIV/0!</v>
      </c>
      <c r="X40" s="236" t="e">
        <f>IF(AND(W40&gt;=0,W40&lt;$U$47),$R$47,IF(AND(W40&gt;=$U$48,W40&lt;=$U$49),$R$48,IF(W40&gt;=$U$50,$R$50,"Unknown")))</f>
        <v>#DIV/0!</v>
      </c>
      <c r="Y40" s="171">
        <f>COUNTIFS('VENDOR QUESTIONNAIRE'!$V$58:$V$181,$P40,'VENDOR QUESTIONNAIRE'!$T$58:$T$181,"Recommend",'VENDOR QUESTIONNAIRE'!$L$58:$L$181,"Yes",'VENDOR QUESTIONNAIRE'!$S$58:$S$181,"Identify")</f>
        <v>0</v>
      </c>
      <c r="Z40" s="254">
        <f>COUNTIFS('VENDOR QUESTIONNAIRE'!$V$58:$V$181,$P40,'VENDOR QUESTIONNAIRE'!$T$58:$T$181,"Recommend",'VENDOR QUESTIONNAIRE'!$L$58:$L$181,"Yes",'VENDOR QUESTIONNAIRE'!$S$58:$S$181,"Detect")</f>
        <v>0</v>
      </c>
      <c r="AA40" s="254">
        <f>COUNTIFS('VENDOR QUESTIONNAIRE'!$V$58:$V$181,$P40,'VENDOR QUESTIONNAIRE'!$T$58:$T$181,"Recommend",'VENDOR QUESTIONNAIRE'!$L$58:$L$181,"Yes",'VENDOR QUESTIONNAIRE'!$S$58:$S$181,"Protect")</f>
        <v>0</v>
      </c>
      <c r="AB40" s="254">
        <f>COUNTIFS('VENDOR QUESTIONNAIRE'!$V$58:$V$181,$P40,'VENDOR QUESTIONNAIRE'!$T$58:$T$181,"Recommend",'VENDOR QUESTIONNAIRE'!$L$58:$L$181,"Yes",'VENDOR QUESTIONNAIRE'!$S$58:$S$181,"Respond")</f>
        <v>0</v>
      </c>
      <c r="AC40" s="254">
        <f>COUNTIFS('VENDOR QUESTIONNAIRE'!$V$58:$V$181,$P40,'VENDOR QUESTIONNAIRE'!$T$58:$T$181,"Recommend",'VENDOR QUESTIONNAIRE'!$L$58:$L$181,"Yes",'VENDOR QUESTIONNAIRE'!$S$58:$S$181,"N/A")</f>
        <v>0</v>
      </c>
      <c r="AD40" s="185">
        <f>(Y40*Y45)+(Z40*Z45)+(AA40*AA45)+(AB40*AB45)+(AC40*AC45)</f>
        <v>0</v>
      </c>
      <c r="AE40" s="237" t="e">
        <f>IF(AND(W40+AD40&gt;=0,W40+AD40&lt;$U$47),$R$47,IF(AND(W40+AD40&gt;=$U$48,W40+AD40&lt;=$U$49),$R$48,IF(W40+AD40&gt;=$U$50,$R$50,"Unknown")))</f>
        <v>#DIV/0!</v>
      </c>
      <c r="AF40" s="207"/>
    </row>
    <row r="41" spans="1:32">
      <c r="A41" s="771"/>
      <c r="B41" s="788"/>
      <c r="C41" s="777"/>
      <c r="D41" s="125"/>
      <c r="E41" s="166"/>
      <c r="F41" s="125"/>
      <c r="G41" s="782"/>
      <c r="H41" s="176" t="s">
        <v>1965</v>
      </c>
      <c r="I41" s="177">
        <f>E35</f>
        <v>2</v>
      </c>
      <c r="J41" s="200">
        <f>J$39*I41</f>
        <v>2</v>
      </c>
      <c r="K41" s="200">
        <f>K$39*I41</f>
        <v>4</v>
      </c>
      <c r="L41" s="201">
        <f>L$39*I41</f>
        <v>6</v>
      </c>
      <c r="M41" s="166"/>
      <c r="N41" s="125"/>
      <c r="O41" s="790"/>
      <c r="P41" s="780" t="s">
        <v>1559</v>
      </c>
      <c r="Q41" s="780"/>
      <c r="R41" s="780"/>
      <c r="S41" s="780"/>
      <c r="T41" s="254">
        <f>COUNTIFS('VENDOR QUESTIONNAIRE'!$V$58:$V$181,$P41,'VENDOR QUESTIONNAIRE'!$T$58:$T$181,"Required")</f>
        <v>0</v>
      </c>
      <c r="U41" s="254">
        <f>COUNTIFS('VENDOR QUESTIONNAIRE'!$V$58:$V$181,$P41,'VENDOR QUESTIONNAIRE'!$T$58:$T$181,"Required",'VENDOR QUESTIONNAIRE'!$L$58:$L$181,"Yes")</f>
        <v>0</v>
      </c>
      <c r="V41" s="254">
        <f>COUNTIFS('VENDOR QUESTIONNAIRE'!$V$58:$V$181,$P41,'VENDOR QUESTIONNAIRE'!$T$58:$T$181,"Required",'VENDOR QUESTIONNAIRE'!$L$58:$L$181,"No")</f>
        <v>0</v>
      </c>
      <c r="W41" s="185" t="e">
        <f t="shared" ref="W41:W44" si="1">(T41-V41)/T41</f>
        <v>#DIV/0!</v>
      </c>
      <c r="X41" s="236" t="e">
        <f t="shared" ref="X41:X44" si="2">IF(AND(W41&gt;=0,W41&lt;$U$47),$R$47,IF(AND(W41&gt;=$U$48,W41&lt;=$U$49),$R$48,IF(W41&gt;=$U$50,$R$50,"Unknown")))</f>
        <v>#DIV/0!</v>
      </c>
      <c r="Y41" s="254">
        <f>COUNTIFS('VENDOR QUESTIONNAIRE'!$V$58:$V$181,$P41,'VENDOR QUESTIONNAIRE'!$T$58:$T$181,"Recommend",'VENDOR QUESTIONNAIRE'!$L$58:$L$181,"Yes",'VENDOR QUESTIONNAIRE'!$S$58:$S$181,"Identify")</f>
        <v>0</v>
      </c>
      <c r="Z41" s="254">
        <f>COUNTIFS('VENDOR QUESTIONNAIRE'!$V$58:$V$181,$P41,'VENDOR QUESTIONNAIRE'!$T$58:$T$181,"Recommend",'VENDOR QUESTIONNAIRE'!$L$58:$L$181,"Yes",'VENDOR QUESTIONNAIRE'!$S$58:$S$181,"Detect")</f>
        <v>0</v>
      </c>
      <c r="AA41" s="254">
        <f>COUNTIFS('VENDOR QUESTIONNAIRE'!$V$58:$V$181,$P41,'VENDOR QUESTIONNAIRE'!$T$58:$T$181,"Recommend",'VENDOR QUESTIONNAIRE'!$L$58:$L$181,"Yes",'VENDOR QUESTIONNAIRE'!$S$58:$S$181,"Protect")</f>
        <v>0</v>
      </c>
      <c r="AB41" s="254">
        <f>COUNTIFS('VENDOR QUESTIONNAIRE'!$V$58:$V$181,$P41,'VENDOR QUESTIONNAIRE'!$T$58:$T$181,"Recommend",'VENDOR QUESTIONNAIRE'!$L$58:$L$181,"Yes",'VENDOR QUESTIONNAIRE'!$S$58:$S$181,"Respond")</f>
        <v>0</v>
      </c>
      <c r="AC41" s="254">
        <f>COUNTIFS('VENDOR QUESTIONNAIRE'!$V$58:$V$181,$P41,'VENDOR QUESTIONNAIRE'!$T$58:$T$181,"Recommend",'VENDOR QUESTIONNAIRE'!$L$58:$L$181,"Yes",'VENDOR QUESTIONNAIRE'!$S$58:$S$181,AC39)</f>
        <v>0</v>
      </c>
      <c r="AD41" s="185">
        <f>(Y41*Y45)+(Z41*Z45)+(AA41*AA45)+(AB41*AB45)+(AC41*AC45)</f>
        <v>0</v>
      </c>
      <c r="AE41" s="237" t="e">
        <f t="shared" ref="AE41:AE44" si="3">IF(AND(W41+AD41&gt;=0,W41+AD41&lt;$U$47),$R$47,IF(AND(W41+AD41&gt;=$U$48,W41+AD41&lt;=$U$49),$R$48,IF(W41+AD41&gt;=$U$50,$R$50,"Unknown")))</f>
        <v>#DIV/0!</v>
      </c>
      <c r="AF41" s="207"/>
    </row>
    <row r="42" spans="1:32" ht="17" thickBot="1">
      <c r="A42" s="771"/>
      <c r="B42" s="788"/>
      <c r="C42" s="777"/>
      <c r="D42" s="125"/>
      <c r="E42" s="166"/>
      <c r="F42" s="125"/>
      <c r="G42" s="782"/>
      <c r="H42" s="176" t="s">
        <v>2069</v>
      </c>
      <c r="I42" s="177">
        <f>E36</f>
        <v>3</v>
      </c>
      <c r="J42" s="200">
        <f>J$39*I42</f>
        <v>3</v>
      </c>
      <c r="K42" s="200">
        <f>K$39*I42</f>
        <v>6</v>
      </c>
      <c r="L42" s="201">
        <f>L$39*I42</f>
        <v>9</v>
      </c>
      <c r="M42" s="166"/>
      <c r="N42" s="125"/>
      <c r="O42" s="790"/>
      <c r="P42" s="780" t="s">
        <v>1961</v>
      </c>
      <c r="Q42" s="780"/>
      <c r="R42" s="780"/>
      <c r="S42" s="780"/>
      <c r="T42" s="254">
        <f>COUNTIFS('VENDOR QUESTIONNAIRE'!$V$58:$V$181,$P42,'VENDOR QUESTIONNAIRE'!$T$58:$T$181,"Required")</f>
        <v>0</v>
      </c>
      <c r="U42" s="254">
        <f>COUNTIFS('VENDOR QUESTIONNAIRE'!$V$58:$V$181,$P42,'VENDOR QUESTIONNAIRE'!$T$58:$T$181,"Required",'VENDOR QUESTIONNAIRE'!$L$58:$L$181,"Yes")</f>
        <v>0</v>
      </c>
      <c r="V42" s="254">
        <f>COUNTIFS('VENDOR QUESTIONNAIRE'!$V$58:$V$181,$P42,'VENDOR QUESTIONNAIRE'!$T$58:$T$181,"Required",'VENDOR QUESTIONNAIRE'!$L$58:$L$181,"No")</f>
        <v>0</v>
      </c>
      <c r="W42" s="185" t="e">
        <f t="shared" si="1"/>
        <v>#DIV/0!</v>
      </c>
      <c r="X42" s="236" t="e">
        <f t="shared" si="2"/>
        <v>#DIV/0!</v>
      </c>
      <c r="Y42" s="254">
        <f>COUNTIFS('VENDOR QUESTIONNAIRE'!$V$58:$V$181,$P42,'VENDOR QUESTIONNAIRE'!$T$58:$T$181,"Recommend",'VENDOR QUESTIONNAIRE'!$L$58:$L$181,"Yes",'VENDOR QUESTIONNAIRE'!$S$58:$S$181,"Identify")</f>
        <v>0</v>
      </c>
      <c r="Z42" s="254">
        <f>COUNTIFS('VENDOR QUESTIONNAIRE'!$V$58:$V$181,$P42,'VENDOR QUESTIONNAIRE'!$T$58:$T$181,"Recommend",'VENDOR QUESTIONNAIRE'!$L$58:$L$181,"Yes",'VENDOR QUESTIONNAIRE'!$S$58:$S$181,"Detect")</f>
        <v>0</v>
      </c>
      <c r="AA42" s="254">
        <f>COUNTIFS('VENDOR QUESTIONNAIRE'!$V$58:$V$181,$P42,'VENDOR QUESTIONNAIRE'!$T$58:$T$181,"Recommend",'VENDOR QUESTIONNAIRE'!$L$58:$L$181,"Yes",'VENDOR QUESTIONNAIRE'!$S$58:$S$181,"Protect")</f>
        <v>0</v>
      </c>
      <c r="AB42" s="254">
        <f>COUNTIFS('VENDOR QUESTIONNAIRE'!$V$58:$V$181,$P42,'VENDOR QUESTIONNAIRE'!$T$58:$T$181,"Recommend",'VENDOR QUESTIONNAIRE'!$L$58:$L$181,"Yes",'VENDOR QUESTIONNAIRE'!$S$58:$S$181,"Respond")</f>
        <v>0</v>
      </c>
      <c r="AC42" s="254">
        <f>COUNTIFS('VENDOR QUESTIONNAIRE'!$V$58:$V$181,$P42,'VENDOR QUESTIONNAIRE'!$T$58:$T$181,"Recommend",'VENDOR QUESTIONNAIRE'!$L$58:$L$181,"Yes",'VENDOR QUESTIONNAIRE'!$S$58:$S$181,AC40)</f>
        <v>0</v>
      </c>
      <c r="AD42" s="185">
        <f>(Y42*Y45)+(Z42*Z45)+(AA42*AA45)+(AB42*AB45)+(AC42*AC45)</f>
        <v>0</v>
      </c>
      <c r="AE42" s="237" t="e">
        <f t="shared" si="3"/>
        <v>#DIV/0!</v>
      </c>
      <c r="AF42" s="207"/>
    </row>
    <row r="43" spans="1:32">
      <c r="A43" s="771"/>
      <c r="B43" s="788"/>
      <c r="C43" s="777"/>
      <c r="D43" s="88" t="s">
        <v>1528</v>
      </c>
      <c r="E43" s="86" t="s">
        <v>1537</v>
      </c>
      <c r="F43" s="125"/>
      <c r="G43" s="782"/>
      <c r="H43" s="176" t="s">
        <v>1964</v>
      </c>
      <c r="I43" s="177">
        <f>E37</f>
        <v>4</v>
      </c>
      <c r="J43" s="200">
        <f>J$39*I43</f>
        <v>4</v>
      </c>
      <c r="K43" s="200">
        <f>K$39*I43</f>
        <v>8</v>
      </c>
      <c r="L43" s="201">
        <f>L$39*I43</f>
        <v>12</v>
      </c>
      <c r="M43" s="166"/>
      <c r="N43" s="125"/>
      <c r="O43" s="790"/>
      <c r="P43" s="780" t="s">
        <v>1960</v>
      </c>
      <c r="Q43" s="780"/>
      <c r="R43" s="780"/>
      <c r="S43" s="780"/>
      <c r="T43" s="254">
        <f>COUNTIFS('VENDOR QUESTIONNAIRE'!$V$58:$V$181,$P43,'VENDOR QUESTIONNAIRE'!$T$58:$T$181,"Required")</f>
        <v>0</v>
      </c>
      <c r="U43" s="254">
        <f>COUNTIFS('VENDOR QUESTIONNAIRE'!$V$58:$V$181,$P43,'VENDOR QUESTIONNAIRE'!$T$58:$T$181,"Required",'VENDOR QUESTIONNAIRE'!$L$58:$L$181,"Yes")</f>
        <v>0</v>
      </c>
      <c r="V43" s="254">
        <f>COUNTIFS('VENDOR QUESTIONNAIRE'!$V$58:$V$181,$P43,'VENDOR QUESTIONNAIRE'!$T$58:$T$181,"Required",'VENDOR QUESTIONNAIRE'!$L$58:$L$181,"No")</f>
        <v>0</v>
      </c>
      <c r="W43" s="185" t="e">
        <f t="shared" si="1"/>
        <v>#DIV/0!</v>
      </c>
      <c r="X43" s="236" t="e">
        <f t="shared" si="2"/>
        <v>#DIV/0!</v>
      </c>
      <c r="Y43" s="254">
        <f>COUNTIFS('VENDOR QUESTIONNAIRE'!$V$58:$V$181,$P43,'VENDOR QUESTIONNAIRE'!$T$58:$T$181,"Recommend",'VENDOR QUESTIONNAIRE'!$L$58:$L$181,"Yes",'VENDOR QUESTIONNAIRE'!$S$58:$S$181,"Identify")</f>
        <v>0</v>
      </c>
      <c r="Z43" s="254">
        <f>COUNTIFS('VENDOR QUESTIONNAIRE'!$V$58:$V$181,$P43,'VENDOR QUESTIONNAIRE'!$T$58:$T$181,"Recommend",'VENDOR QUESTIONNAIRE'!$L$58:$L$181,"Yes",'VENDOR QUESTIONNAIRE'!$S$58:$S$181,"Detect")</f>
        <v>0</v>
      </c>
      <c r="AA43" s="254">
        <f>COUNTIFS('VENDOR QUESTIONNAIRE'!$V$58:$V$181,$P43,'VENDOR QUESTIONNAIRE'!$T$58:$T$181,"Recommend",'VENDOR QUESTIONNAIRE'!$L$58:$L$181,"Yes",'VENDOR QUESTIONNAIRE'!$S$58:$S$181,"Protect")</f>
        <v>0</v>
      </c>
      <c r="AB43" s="254">
        <f>COUNTIFS('VENDOR QUESTIONNAIRE'!$V$58:$V$181,$P43,'VENDOR QUESTIONNAIRE'!$T$58:$T$181,"Recommend",'VENDOR QUESTIONNAIRE'!$L$58:$L$181,"Yes",'VENDOR QUESTIONNAIRE'!$S$58:$S$181,"Respond")</f>
        <v>0</v>
      </c>
      <c r="AC43" s="254">
        <f>COUNTIFS('VENDOR QUESTIONNAIRE'!$V$58:$V$181,$P43,'VENDOR QUESTIONNAIRE'!$T$58:$T$181,"Recommend",'VENDOR QUESTIONNAIRE'!$L$58:$L$181,"Yes",'VENDOR QUESTIONNAIRE'!$S$58:$S$181,AC41)</f>
        <v>0</v>
      </c>
      <c r="AD43" s="185">
        <f>(Y43*Y45)+(Z43*Z45)+(AA43*AA45)+(AB43*AB45)+(AC43*AC45)</f>
        <v>0</v>
      </c>
      <c r="AE43" s="237" t="e">
        <f t="shared" si="3"/>
        <v>#DIV/0!</v>
      </c>
      <c r="AF43" s="207"/>
    </row>
    <row r="44" spans="1:32" ht="17" thickBot="1">
      <c r="A44" s="771"/>
      <c r="B44" s="788"/>
      <c r="C44" s="777"/>
      <c r="D44" s="89" t="s">
        <v>1967</v>
      </c>
      <c r="E44" s="347">
        <v>1</v>
      </c>
      <c r="F44" s="125"/>
      <c r="G44" s="783"/>
      <c r="H44" s="181" t="s">
        <v>1963</v>
      </c>
      <c r="I44" s="182">
        <f>E38</f>
        <v>5</v>
      </c>
      <c r="J44" s="202">
        <f>J$39*I44</f>
        <v>5</v>
      </c>
      <c r="K44" s="202">
        <f>K$39*I44</f>
        <v>10</v>
      </c>
      <c r="L44" s="203">
        <f>L$39*I44</f>
        <v>15</v>
      </c>
      <c r="M44" s="166"/>
      <c r="N44" s="125"/>
      <c r="O44" s="790"/>
      <c r="P44" s="780" t="s">
        <v>1962</v>
      </c>
      <c r="Q44" s="780"/>
      <c r="R44" s="780"/>
      <c r="S44" s="780"/>
      <c r="T44" s="254">
        <f>COUNTIFS('VENDOR QUESTIONNAIRE'!$V$58:$V$181,$P44,'VENDOR QUESTIONNAIRE'!$T$58:$T$181,"Required")</f>
        <v>0</v>
      </c>
      <c r="U44" s="254">
        <f>COUNTIFS('VENDOR QUESTIONNAIRE'!$V$58:$V$181,$P44,'VENDOR QUESTIONNAIRE'!$T$58:$T$181,"Required",'VENDOR QUESTIONNAIRE'!$L$58:$L$181,"Yes")</f>
        <v>0</v>
      </c>
      <c r="V44" s="254">
        <f>COUNTIFS('VENDOR QUESTIONNAIRE'!$V$58:$V$181,$P44,'VENDOR QUESTIONNAIRE'!$T$58:$T$181,"Required",'VENDOR QUESTIONNAIRE'!$L$58:$L$181,"No")</f>
        <v>0</v>
      </c>
      <c r="W44" s="185" t="e">
        <f t="shared" si="1"/>
        <v>#DIV/0!</v>
      </c>
      <c r="X44" s="236" t="e">
        <f t="shared" si="2"/>
        <v>#DIV/0!</v>
      </c>
      <c r="Y44" s="254">
        <f>COUNTIFS('VENDOR QUESTIONNAIRE'!$V$58:$V$181,$P44,'VENDOR QUESTIONNAIRE'!$T$58:$T$181,"Recommend",'VENDOR QUESTIONNAIRE'!$L$58:$L$181,"Yes",'VENDOR QUESTIONNAIRE'!$S$58:$S$181,"Identify")</f>
        <v>0</v>
      </c>
      <c r="Z44" s="254">
        <f>COUNTIFS('VENDOR QUESTIONNAIRE'!$V$58:$V$181,$P44,'VENDOR QUESTIONNAIRE'!$T$58:$T$181,"Recommend",'VENDOR QUESTIONNAIRE'!$L$58:$L$181,"Yes",'VENDOR QUESTIONNAIRE'!$S$58:$S$181,"Detect")</f>
        <v>0</v>
      </c>
      <c r="AA44" s="254">
        <f>COUNTIFS('VENDOR QUESTIONNAIRE'!$V$58:$V$181,$P44,'VENDOR QUESTIONNAIRE'!$T$58:$T$181,"Recommend",'VENDOR QUESTIONNAIRE'!$L$58:$L$181,"Yes",'VENDOR QUESTIONNAIRE'!$S$58:$S$181,"Protect")</f>
        <v>0</v>
      </c>
      <c r="AB44" s="254">
        <f>COUNTIFS('VENDOR QUESTIONNAIRE'!$V$58:$V$181,$P44,'VENDOR QUESTIONNAIRE'!$T$58:$T$181,"Recommend",'VENDOR QUESTIONNAIRE'!$L$58:$L$181,"Yes",'VENDOR QUESTIONNAIRE'!$S$58:$S$181,"Respond")</f>
        <v>0</v>
      </c>
      <c r="AC44" s="254">
        <f>COUNTIFS('VENDOR QUESTIONNAIRE'!$V$58:$V$181,$P44,'VENDOR QUESTIONNAIRE'!$T$58:$T$181,"Recommend",'VENDOR QUESTIONNAIRE'!$L$58:$L$181,"Yes",'VENDOR QUESTIONNAIRE'!$S$58:$S$181,AC42)</f>
        <v>0</v>
      </c>
      <c r="AD44" s="185">
        <f>(Y44*Y45)+(Z44*Z45)+(AA44*AA45)+(AB44*AB45)+(AC44*AC45)</f>
        <v>0</v>
      </c>
      <c r="AE44" s="237" t="e">
        <f t="shared" si="3"/>
        <v>#DIV/0!</v>
      </c>
      <c r="AF44" s="207"/>
    </row>
    <row r="45" spans="1:32">
      <c r="A45" s="771"/>
      <c r="B45" s="788"/>
      <c r="C45" s="777"/>
      <c r="D45" s="89" t="s">
        <v>1968</v>
      </c>
      <c r="E45" s="347">
        <v>2</v>
      </c>
      <c r="F45" s="125"/>
      <c r="G45" s="125"/>
      <c r="H45" s="166"/>
      <c r="I45" s="166"/>
      <c r="J45" s="166"/>
      <c r="K45" s="166"/>
      <c r="L45" s="166"/>
      <c r="M45" s="166"/>
      <c r="N45" s="125"/>
      <c r="O45" s="125"/>
      <c r="P45" s="125"/>
      <c r="Q45" s="125"/>
      <c r="R45" s="125"/>
      <c r="S45" s="125"/>
      <c r="T45" s="125"/>
      <c r="U45" s="125"/>
      <c r="V45" s="125"/>
      <c r="W45" s="125"/>
      <c r="X45" s="221" t="s">
        <v>1976</v>
      </c>
      <c r="Y45" s="353">
        <v>5.0000000000000001E-3</v>
      </c>
      <c r="Z45" s="353">
        <v>1.4999999999999999E-2</v>
      </c>
      <c r="AA45" s="353">
        <v>1.4999999999999999E-2</v>
      </c>
      <c r="AB45" s="353">
        <v>5.0000000000000001E-3</v>
      </c>
      <c r="AC45" s="353">
        <v>5.0000000000000001E-3</v>
      </c>
      <c r="AD45" s="125"/>
      <c r="AE45" s="125"/>
      <c r="AF45" s="207"/>
    </row>
    <row r="46" spans="1:32" ht="15.75" customHeight="1" thickBot="1">
      <c r="A46" s="771"/>
      <c r="B46" s="788"/>
      <c r="C46" s="778"/>
      <c r="D46" s="89" t="s">
        <v>1969</v>
      </c>
      <c r="E46" s="347">
        <v>3</v>
      </c>
      <c r="F46" s="125"/>
      <c r="G46" s="125"/>
      <c r="H46" s="784" t="s">
        <v>1978</v>
      </c>
      <c r="I46" s="784"/>
      <c r="J46" s="784"/>
      <c r="K46" s="768" t="s">
        <v>1987</v>
      </c>
      <c r="L46" s="769"/>
      <c r="M46" s="769"/>
      <c r="N46" s="125"/>
      <c r="O46" s="125"/>
      <c r="P46" s="125"/>
      <c r="Q46" s="125"/>
      <c r="R46" s="763" t="s">
        <v>1972</v>
      </c>
      <c r="S46" s="763"/>
      <c r="T46" s="763"/>
      <c r="U46" s="763"/>
      <c r="V46" s="125"/>
      <c r="W46" s="125"/>
      <c r="X46" s="125"/>
      <c r="Y46" s="125"/>
      <c r="Z46" s="125"/>
      <c r="AA46" s="125"/>
      <c r="AB46" s="125"/>
      <c r="AC46" s="125"/>
      <c r="AD46" s="125"/>
      <c r="AE46" s="125"/>
      <c r="AF46" s="207"/>
    </row>
    <row r="47" spans="1:32">
      <c r="A47" s="771"/>
      <c r="B47" s="125"/>
      <c r="C47" s="125"/>
      <c r="D47" s="125"/>
      <c r="E47" s="166"/>
      <c r="F47" s="125"/>
      <c r="G47" s="125"/>
      <c r="H47" s="183" t="s">
        <v>1567</v>
      </c>
      <c r="I47" s="177" t="s">
        <v>1534</v>
      </c>
      <c r="J47" s="353">
        <v>2</v>
      </c>
      <c r="K47" s="768"/>
      <c r="L47" s="769"/>
      <c r="M47" s="769"/>
      <c r="N47" s="125"/>
      <c r="O47" s="125"/>
      <c r="P47" s="125"/>
      <c r="Q47" s="125"/>
      <c r="R47" s="750" t="s">
        <v>1569</v>
      </c>
      <c r="S47" s="750"/>
      <c r="T47" s="177" t="s">
        <v>1534</v>
      </c>
      <c r="U47" s="354">
        <v>0.69</v>
      </c>
      <c r="V47" s="786" t="s">
        <v>1989</v>
      </c>
      <c r="W47" s="787"/>
      <c r="X47" s="787"/>
      <c r="Y47" s="125"/>
      <c r="Z47" s="125"/>
      <c r="AA47" s="125"/>
      <c r="AB47" s="125"/>
      <c r="AC47" s="125"/>
      <c r="AD47" s="125"/>
      <c r="AE47" s="125"/>
      <c r="AF47" s="207"/>
    </row>
    <row r="48" spans="1:32">
      <c r="A48" s="771"/>
      <c r="B48" s="125"/>
      <c r="C48" s="125"/>
      <c r="D48" s="212" t="s">
        <v>1982</v>
      </c>
      <c r="E48" s="166"/>
      <c r="F48" s="125"/>
      <c r="G48" s="125"/>
      <c r="H48" s="748" t="s">
        <v>1570</v>
      </c>
      <c r="I48" s="177" t="s">
        <v>1535</v>
      </c>
      <c r="J48" s="353">
        <v>3</v>
      </c>
      <c r="K48" s="768"/>
      <c r="L48" s="769"/>
      <c r="M48" s="769"/>
      <c r="N48" s="125"/>
      <c r="O48" s="125"/>
      <c r="P48" s="125"/>
      <c r="Q48" s="125"/>
      <c r="R48" s="748" t="s">
        <v>1572</v>
      </c>
      <c r="S48" s="748"/>
      <c r="T48" s="177" t="s">
        <v>1535</v>
      </c>
      <c r="U48" s="354">
        <v>0.7</v>
      </c>
      <c r="V48" s="786"/>
      <c r="W48" s="787"/>
      <c r="X48" s="787"/>
      <c r="Y48" s="125"/>
      <c r="Z48" s="125"/>
      <c r="AA48" s="125"/>
      <c r="AB48" s="125"/>
      <c r="AC48" s="125"/>
      <c r="AD48" s="125"/>
      <c r="AE48" s="125"/>
      <c r="AF48" s="207"/>
    </row>
    <row r="49" spans="1:32">
      <c r="A49" s="771"/>
      <c r="B49" s="125"/>
      <c r="C49" s="125"/>
      <c r="D49" s="125"/>
      <c r="E49" s="166"/>
      <c r="F49" s="125"/>
      <c r="G49" s="125"/>
      <c r="H49" s="748"/>
      <c r="I49" s="177" t="s">
        <v>1534</v>
      </c>
      <c r="J49" s="353">
        <v>6</v>
      </c>
      <c r="K49" s="768"/>
      <c r="L49" s="769"/>
      <c r="M49" s="769"/>
      <c r="N49" s="125"/>
      <c r="O49" s="125"/>
      <c r="P49" s="125"/>
      <c r="Q49" s="125"/>
      <c r="R49" s="748"/>
      <c r="S49" s="748"/>
      <c r="T49" s="177" t="s">
        <v>1534</v>
      </c>
      <c r="U49" s="354">
        <v>0.89</v>
      </c>
      <c r="V49" s="786"/>
      <c r="W49" s="787"/>
      <c r="X49" s="787"/>
      <c r="Y49" s="125"/>
      <c r="Z49" s="125"/>
      <c r="AA49" s="125"/>
      <c r="AB49" s="125"/>
      <c r="AC49" s="125"/>
      <c r="AD49" s="125"/>
      <c r="AE49" s="125"/>
      <c r="AF49" s="207"/>
    </row>
    <row r="50" spans="1:32">
      <c r="A50" s="771"/>
      <c r="B50" s="125"/>
      <c r="C50" s="125"/>
      <c r="D50" s="125"/>
      <c r="E50" s="166"/>
      <c r="F50" s="125"/>
      <c r="G50" s="125"/>
      <c r="H50" s="184" t="s">
        <v>1571</v>
      </c>
      <c r="I50" s="177" t="s">
        <v>1535</v>
      </c>
      <c r="J50" s="353">
        <v>7</v>
      </c>
      <c r="K50" s="768"/>
      <c r="L50" s="769"/>
      <c r="M50" s="769"/>
      <c r="N50" s="125"/>
      <c r="O50" s="125"/>
      <c r="P50" s="125"/>
      <c r="Q50" s="125"/>
      <c r="R50" s="749" t="s">
        <v>1568</v>
      </c>
      <c r="S50" s="749"/>
      <c r="T50" s="177" t="s">
        <v>1535</v>
      </c>
      <c r="U50" s="354">
        <v>0.9</v>
      </c>
      <c r="V50" s="786"/>
      <c r="W50" s="787"/>
      <c r="X50" s="787"/>
      <c r="Y50" s="125"/>
      <c r="Z50" s="125"/>
      <c r="AA50" s="125"/>
      <c r="AB50" s="125"/>
      <c r="AC50" s="125"/>
      <c r="AD50" s="125"/>
      <c r="AE50" s="125"/>
      <c r="AF50" s="207"/>
    </row>
    <row r="51" spans="1:32" ht="17" thickBot="1">
      <c r="A51" s="771"/>
      <c r="B51" s="125"/>
      <c r="C51" s="125"/>
      <c r="D51" s="125"/>
      <c r="E51" s="166"/>
      <c r="F51" s="125"/>
      <c r="G51" s="125"/>
      <c r="H51" s="125"/>
      <c r="I51" s="166"/>
      <c r="J51" s="166"/>
      <c r="K51" s="166"/>
      <c r="L51" s="166"/>
      <c r="M51" s="638" t="s">
        <v>1993</v>
      </c>
      <c r="N51" s="638"/>
      <c r="O51" s="638"/>
      <c r="P51" s="638"/>
      <c r="Q51" s="125"/>
      <c r="R51" s="125"/>
      <c r="S51" s="125"/>
      <c r="T51" s="125"/>
      <c r="U51" s="125"/>
      <c r="V51" s="125"/>
      <c r="W51" s="125"/>
      <c r="X51" s="125"/>
      <c r="Y51" s="125"/>
      <c r="Z51" s="125"/>
      <c r="AA51" s="125"/>
      <c r="AB51" s="125"/>
      <c r="AC51" s="125"/>
      <c r="AD51" s="125"/>
      <c r="AE51" s="125"/>
      <c r="AF51" s="207"/>
    </row>
    <row r="52" spans="1:32" ht="15.75" customHeight="1" thickTop="1" thickBot="1">
      <c r="A52" s="771"/>
      <c r="B52" s="125"/>
      <c r="C52" s="125"/>
      <c r="D52" s="125"/>
      <c r="E52" s="166"/>
      <c r="F52" s="125"/>
      <c r="G52" s="125"/>
      <c r="H52" s="125"/>
      <c r="I52" s="166"/>
      <c r="J52" s="166"/>
      <c r="K52" s="166"/>
      <c r="L52" s="166"/>
      <c r="M52" s="638"/>
      <c r="N52" s="638"/>
      <c r="O52" s="638"/>
      <c r="P52" s="638"/>
      <c r="Q52" s="125"/>
      <c r="R52" s="638" t="s">
        <v>1999</v>
      </c>
      <c r="S52" s="638"/>
      <c r="T52" s="638"/>
      <c r="U52" s="638"/>
      <c r="V52" s="638"/>
      <c r="W52" s="638"/>
      <c r="Y52" s="736" t="s">
        <v>1995</v>
      </c>
      <c r="Z52" s="737"/>
      <c r="AA52" s="737"/>
      <c r="AB52" s="737"/>
      <c r="AC52" s="737"/>
      <c r="AD52" s="737"/>
      <c r="AE52" s="738"/>
      <c r="AF52" s="207"/>
    </row>
    <row r="53" spans="1:32" ht="15.75" customHeight="1" thickTop="1">
      <c r="A53" s="771"/>
      <c r="B53" s="125"/>
      <c r="C53" s="125"/>
      <c r="D53" s="125"/>
      <c r="E53" s="166"/>
      <c r="F53" s="753" t="s">
        <v>1995</v>
      </c>
      <c r="G53" s="754"/>
      <c r="H53" s="754"/>
      <c r="I53" s="754"/>
      <c r="J53" s="755"/>
      <c r="K53" s="166"/>
      <c r="L53" s="166"/>
      <c r="M53" s="638"/>
      <c r="N53" s="638"/>
      <c r="O53" s="638"/>
      <c r="P53" s="638"/>
      <c r="Q53" s="125"/>
      <c r="R53" s="638"/>
      <c r="S53" s="638"/>
      <c r="T53" s="638"/>
      <c r="U53" s="638"/>
      <c r="V53" s="638"/>
      <c r="W53" s="638"/>
      <c r="Y53" s="739"/>
      <c r="Z53" s="740"/>
      <c r="AA53" s="740"/>
      <c r="AB53" s="740"/>
      <c r="AC53" s="740"/>
      <c r="AD53" s="740"/>
      <c r="AE53" s="741"/>
      <c r="AF53" s="207"/>
    </row>
    <row r="54" spans="1:32" ht="16.5" customHeight="1" thickBot="1">
      <c r="A54" s="771"/>
      <c r="B54" s="125"/>
      <c r="C54" s="125"/>
      <c r="D54" s="125"/>
      <c r="E54" s="166"/>
      <c r="F54" s="756"/>
      <c r="G54" s="757"/>
      <c r="H54" s="757"/>
      <c r="I54" s="757"/>
      <c r="J54" s="758"/>
      <c r="K54"/>
      <c r="L54"/>
      <c r="M54" s="166"/>
      <c r="N54" s="125"/>
      <c r="O54" s="125"/>
      <c r="P54" s="125"/>
      <c r="Q54" s="125"/>
      <c r="R54" s="638"/>
      <c r="S54" s="638"/>
      <c r="T54" s="638"/>
      <c r="U54" s="638"/>
      <c r="V54" s="638"/>
      <c r="W54" s="638"/>
      <c r="Y54" s="739"/>
      <c r="Z54" s="740"/>
      <c r="AA54" s="740"/>
      <c r="AB54" s="740"/>
      <c r="AC54" s="740"/>
      <c r="AD54" s="740"/>
      <c r="AE54" s="741"/>
      <c r="AF54" s="207"/>
    </row>
    <row r="55" spans="1:32">
      <c r="A55" s="771"/>
      <c r="B55" s="125"/>
      <c r="C55" s="125"/>
      <c r="D55" s="125"/>
      <c r="E55" s="166"/>
      <c r="F55" s="223"/>
      <c r="G55" s="125"/>
      <c r="H55" s="125"/>
      <c r="I55" s="166"/>
      <c r="J55" s="239"/>
      <c r="K55"/>
      <c r="L55" s="773" t="s">
        <v>1998</v>
      </c>
      <c r="M55" s="776"/>
      <c r="N55" s="774" t="s">
        <v>1503</v>
      </c>
      <c r="O55" s="774"/>
      <c r="P55" s="170" t="s">
        <v>1537</v>
      </c>
      <c r="R55" s="125"/>
      <c r="S55" s="125"/>
      <c r="T55" s="166"/>
      <c r="U55" s="166"/>
      <c r="V55" s="166"/>
      <c r="W55" s="166"/>
      <c r="Y55" s="223"/>
      <c r="Z55" s="125"/>
      <c r="AA55" s="125"/>
      <c r="AB55" s="125"/>
      <c r="AC55" s="125"/>
      <c r="AD55" s="125"/>
      <c r="AE55" s="224"/>
      <c r="AF55" s="207"/>
    </row>
    <row r="56" spans="1:32" ht="17" thickBot="1">
      <c r="A56" s="771"/>
      <c r="B56" s="125"/>
      <c r="C56" s="125"/>
      <c r="D56" s="125"/>
      <c r="E56" s="238"/>
      <c r="F56" s="244" t="s">
        <v>2004</v>
      </c>
      <c r="G56" s="766" t="s">
        <v>2005</v>
      </c>
      <c r="H56" s="766"/>
      <c r="I56" s="766" t="s">
        <v>2006</v>
      </c>
      <c r="J56" s="767"/>
      <c r="K56"/>
      <c r="L56" s="773"/>
      <c r="M56" s="777"/>
      <c r="N56" s="775" t="s">
        <v>1568</v>
      </c>
      <c r="O56" s="775"/>
      <c r="P56" s="353">
        <v>1</v>
      </c>
      <c r="R56" s="639" t="s">
        <v>1530</v>
      </c>
      <c r="S56" s="639"/>
      <c r="T56" s="639"/>
      <c r="U56" s="639"/>
      <c r="V56" s="639"/>
      <c r="W56" s="639"/>
      <c r="Y56" s="664" t="s">
        <v>1922</v>
      </c>
      <c r="Z56" s="640"/>
      <c r="AA56" s="640"/>
      <c r="AB56" s="640"/>
      <c r="AC56" s="640"/>
      <c r="AD56" s="640"/>
      <c r="AE56" s="665"/>
      <c r="AF56" s="207"/>
    </row>
    <row r="57" spans="1:32">
      <c r="A57" s="771"/>
      <c r="B57" s="125"/>
      <c r="C57" s="125"/>
      <c r="D57" s="125"/>
      <c r="E57" s="238"/>
      <c r="F57" s="327" t="e">
        <f>VLOOKUP('VENDOR QUESTIONNAIRE'!E22,'Risk Calc'!D34:E38,2,FALSE)*VLOOKUP(U14,D44:E46,2,FALSE)</f>
        <v>#N/A</v>
      </c>
      <c r="G57" s="708" t="str">
        <f>CONCATENATE('VENDOR QUESTIONNAIRE'!E22,"-",U14)</f>
        <v>-Unknown</v>
      </c>
      <c r="H57" s="708"/>
      <c r="I57" s="709" t="e">
        <f>IF(AND(F57&gt;0,F57&lt;=J47),H47,IF(AND(F57&gt;=J48,F57&lt;=J49),H48,IF(F57&gt;=J50,H50,"Unknown")))</f>
        <v>#N/A</v>
      </c>
      <c r="J57" s="710"/>
      <c r="K57"/>
      <c r="L57" s="773"/>
      <c r="M57" s="777"/>
      <c r="N57" s="775" t="s">
        <v>1572</v>
      </c>
      <c r="O57" s="775"/>
      <c r="P57" s="353">
        <v>2</v>
      </c>
      <c r="R57" s="87"/>
      <c r="S57" s="649" t="s">
        <v>1502</v>
      </c>
      <c r="T57" s="649"/>
      <c r="U57" s="649"/>
      <c r="V57" s="649"/>
      <c r="W57" s="650"/>
      <c r="Y57" s="675" t="s">
        <v>1563</v>
      </c>
      <c r="Z57" s="676"/>
      <c r="AA57" s="152" t="s">
        <v>1564</v>
      </c>
      <c r="AB57" s="667" t="s">
        <v>1913</v>
      </c>
      <c r="AC57" s="667"/>
      <c r="AD57" s="667" t="s">
        <v>1511</v>
      </c>
      <c r="AE57" s="674"/>
      <c r="AF57" s="207"/>
    </row>
    <row r="58" spans="1:32" ht="17" thickBot="1">
      <c r="A58" s="771"/>
      <c r="B58" s="125"/>
      <c r="C58" s="125"/>
      <c r="D58" s="125"/>
      <c r="E58" s="166"/>
      <c r="F58" s="240"/>
      <c r="G58" s="241"/>
      <c r="H58" s="241"/>
      <c r="I58" s="242"/>
      <c r="J58" s="243"/>
      <c r="K58"/>
      <c r="L58" s="773"/>
      <c r="M58" s="777"/>
      <c r="N58" s="775" t="s">
        <v>1569</v>
      </c>
      <c r="O58" s="775"/>
      <c r="P58" s="353">
        <v>3</v>
      </c>
      <c r="R58" s="647" t="s">
        <v>1503</v>
      </c>
      <c r="S58" s="92"/>
      <c r="T58" s="84" t="s">
        <v>1543</v>
      </c>
      <c r="U58" s="84" t="s">
        <v>1567</v>
      </c>
      <c r="V58" s="84" t="s">
        <v>1570</v>
      </c>
      <c r="W58" s="85" t="s">
        <v>1571</v>
      </c>
      <c r="Y58" s="742" t="e">
        <f>CONCATENATE('VENDOR QUESTIONNAIRE'!$N189,"-",'VENDOR QUESTIONNAIRE'!$J189)</f>
        <v>#DIV/0!</v>
      </c>
      <c r="Z58" s="743"/>
      <c r="AA58" s="188" t="e">
        <f>HLOOKUP(Y58,'Risk Calc'!$K$79:$T$80,2,FALSE)</f>
        <v>#DIV/0!</v>
      </c>
      <c r="AB58" s="719">
        <f>_xlfn.AGGREGATE(4,6,AA58:AA62)</f>
        <v>0</v>
      </c>
      <c r="AC58" s="720"/>
      <c r="AD58" s="730" t="str">
        <f>IF(AND(AB58&gt;0,AB58&lt;='Risk Calc'!V65),"Low",IF(AND(AB58&gt;='Risk Calc'!V66,AB58&lt;='Risk Calc'!V67), "Medium",IF(AB58&gt;='Risk Calc'!V68,"High","Unknown")))</f>
        <v>Unknown</v>
      </c>
      <c r="AE58" s="731"/>
      <c r="AF58" s="207"/>
    </row>
    <row r="59" spans="1:32" ht="17" thickTop="1">
      <c r="A59" s="771"/>
      <c r="B59" s="125"/>
      <c r="C59" s="125"/>
      <c r="D59" s="125"/>
      <c r="E59" s="166"/>
      <c r="F59" s="125"/>
      <c r="L59" s="773"/>
      <c r="M59" s="777"/>
      <c r="O59" s="46"/>
      <c r="P59" s="46"/>
      <c r="R59" s="647"/>
      <c r="S59" s="84" t="s">
        <v>1543</v>
      </c>
      <c r="T59" s="81">
        <v>0</v>
      </c>
      <c r="U59" s="194">
        <f>P63</f>
        <v>1</v>
      </c>
      <c r="V59" s="194">
        <f>P64</f>
        <v>2</v>
      </c>
      <c r="W59" s="195">
        <f>P65</f>
        <v>3</v>
      </c>
      <c r="Y59" s="742" t="e">
        <f>CONCATENATE('VENDOR QUESTIONNAIRE'!$N191,"-",'VENDOR QUESTIONNAIRE'!$J191)</f>
        <v>#DIV/0!</v>
      </c>
      <c r="Z59" s="743"/>
      <c r="AA59" s="188" t="e">
        <f>HLOOKUP(Y59,'Risk Calc'!$K$79:$T$80,2,FALSE)</f>
        <v>#DIV/0!</v>
      </c>
      <c r="AB59" s="721"/>
      <c r="AC59" s="722"/>
      <c r="AD59" s="732"/>
      <c r="AE59" s="733"/>
      <c r="AF59" s="207"/>
    </row>
    <row r="60" spans="1:32">
      <c r="A60" s="771"/>
      <c r="B60" s="125"/>
      <c r="C60" s="125"/>
      <c r="E60" s="166"/>
      <c r="F60" s="125"/>
      <c r="L60" s="773"/>
      <c r="M60" s="777"/>
      <c r="O60" s="46"/>
      <c r="P60" s="46"/>
      <c r="R60" s="647"/>
      <c r="S60" s="84" t="s">
        <v>1568</v>
      </c>
      <c r="T60" s="81">
        <f>P56</f>
        <v>1</v>
      </c>
      <c r="U60" s="196">
        <f>SUM(U59*T60)</f>
        <v>1</v>
      </c>
      <c r="V60" s="196">
        <f>SUM(V59*T60)</f>
        <v>2</v>
      </c>
      <c r="W60" s="197">
        <f>SUM(W59*T60)</f>
        <v>3</v>
      </c>
      <c r="Y60" s="742" t="e">
        <f>CONCATENATE('VENDOR QUESTIONNAIRE'!$N193,"-",'VENDOR QUESTIONNAIRE'!$J193)</f>
        <v>#DIV/0!</v>
      </c>
      <c r="Z60" s="743"/>
      <c r="AA60" s="188" t="e">
        <f>HLOOKUP(Y60,'Risk Calc'!$K$79:$T$80,2,FALSE)</f>
        <v>#DIV/0!</v>
      </c>
      <c r="AB60" s="721"/>
      <c r="AC60" s="722"/>
      <c r="AD60" s="732"/>
      <c r="AE60" s="733"/>
      <c r="AF60" s="207"/>
    </row>
    <row r="61" spans="1:32">
      <c r="A61" s="771"/>
      <c r="B61" s="125"/>
      <c r="C61" s="125"/>
      <c r="D61" s="125"/>
      <c r="E61" s="166"/>
      <c r="F61" s="125"/>
      <c r="L61" s="773"/>
      <c r="M61" s="777"/>
      <c r="O61" s="46"/>
      <c r="P61" s="46"/>
      <c r="R61" s="647"/>
      <c r="S61" s="84" t="s">
        <v>1572</v>
      </c>
      <c r="T61" s="81">
        <f>P57</f>
        <v>2</v>
      </c>
      <c r="U61" s="196">
        <f>SUM(U59*T61)</f>
        <v>2</v>
      </c>
      <c r="V61" s="196">
        <f>SUM(V59*T61)</f>
        <v>4</v>
      </c>
      <c r="W61" s="197">
        <f>SUM(W59*T61)</f>
        <v>6</v>
      </c>
      <c r="Y61" s="742" t="e">
        <f>CONCATENATE('VENDOR QUESTIONNAIRE'!$N195,"-",'VENDOR QUESTIONNAIRE'!$J195)</f>
        <v>#DIV/0!</v>
      </c>
      <c r="Z61" s="743"/>
      <c r="AA61" s="188" t="e">
        <f>HLOOKUP(Y61,'Risk Calc'!$K$79:$T$80,2,FALSE)</f>
        <v>#DIV/0!</v>
      </c>
      <c r="AB61" s="721"/>
      <c r="AC61" s="722"/>
      <c r="AD61" s="732"/>
      <c r="AE61" s="733"/>
      <c r="AF61" s="207"/>
    </row>
    <row r="62" spans="1:32" ht="17" thickBot="1">
      <c r="A62" s="771"/>
      <c r="B62" s="125"/>
      <c r="C62" s="125"/>
      <c r="D62" s="125"/>
      <c r="E62" s="166"/>
      <c r="F62" s="125"/>
      <c r="L62" s="773"/>
      <c r="M62" s="777"/>
      <c r="N62" s="774" t="s">
        <v>1502</v>
      </c>
      <c r="O62" s="774"/>
      <c r="P62" s="170" t="s">
        <v>1537</v>
      </c>
      <c r="R62" s="648"/>
      <c r="S62" s="96" t="s">
        <v>1569</v>
      </c>
      <c r="T62" s="82">
        <f>P58</f>
        <v>3</v>
      </c>
      <c r="U62" s="198">
        <f>SUM(U59*T62)</f>
        <v>3</v>
      </c>
      <c r="V62" s="198">
        <f>SUM(V59*T62)</f>
        <v>6</v>
      </c>
      <c r="W62" s="199">
        <f>SUM(W59*T62)</f>
        <v>9</v>
      </c>
      <c r="Y62" s="744" t="e">
        <f>CONCATENATE('VENDOR QUESTIONNAIRE'!$N197,"-",'VENDOR QUESTIONNAIRE'!$J197)</f>
        <v>#DIV/0!</v>
      </c>
      <c r="Z62" s="745"/>
      <c r="AA62" s="225" t="e">
        <f>HLOOKUP(Y62,'Risk Calc'!$K$79:$T$80,2,FALSE)</f>
        <v>#DIV/0!</v>
      </c>
      <c r="AB62" s="723"/>
      <c r="AC62" s="724"/>
      <c r="AD62" s="734"/>
      <c r="AE62" s="735"/>
      <c r="AF62" s="207"/>
    </row>
    <row r="63" spans="1:32" ht="17" thickBot="1">
      <c r="A63" s="771"/>
      <c r="B63" s="125"/>
      <c r="C63" s="125"/>
      <c r="D63" s="125"/>
      <c r="E63" s="166"/>
      <c r="F63" s="125"/>
      <c r="L63" s="773"/>
      <c r="M63" s="777"/>
      <c r="N63" s="775" t="s">
        <v>1567</v>
      </c>
      <c r="O63" s="775"/>
      <c r="P63" s="353">
        <v>1</v>
      </c>
      <c r="R63" s="216"/>
      <c r="S63" s="216"/>
      <c r="T63" s="125"/>
      <c r="U63" s="125"/>
      <c r="V63" s="125"/>
      <c r="W63" s="125"/>
      <c r="X63" s="125"/>
      <c r="AF63" s="207"/>
    </row>
    <row r="64" spans="1:32">
      <c r="A64" s="771"/>
      <c r="B64" s="125"/>
      <c r="C64" s="125"/>
      <c r="D64" s="125"/>
      <c r="E64" s="166"/>
      <c r="F64" s="125"/>
      <c r="L64" s="773"/>
      <c r="M64" s="777"/>
      <c r="N64" s="775" t="s">
        <v>1570</v>
      </c>
      <c r="O64" s="775"/>
      <c r="P64" s="353">
        <v>2</v>
      </c>
      <c r="R64" s="125"/>
      <c r="S64" s="663" t="s">
        <v>2002</v>
      </c>
      <c r="T64" s="649"/>
      <c r="U64" s="649"/>
      <c r="V64" s="650"/>
      <c r="W64" s="125"/>
      <c r="X64" s="125"/>
      <c r="AF64" s="207"/>
    </row>
    <row r="65" spans="1:32" ht="22" thickBot="1">
      <c r="A65" s="771"/>
      <c r="B65" s="125"/>
      <c r="C65" s="125"/>
      <c r="D65" s="125"/>
      <c r="E65" s="166"/>
      <c r="F65" s="125"/>
      <c r="L65" s="773"/>
      <c r="M65" s="778"/>
      <c r="N65" s="775" t="s">
        <v>1571</v>
      </c>
      <c r="O65" s="775"/>
      <c r="P65" s="353">
        <v>3</v>
      </c>
      <c r="R65" s="211"/>
      <c r="S65" s="791" t="s">
        <v>1546</v>
      </c>
      <c r="T65" s="792"/>
      <c r="U65" s="105" t="s">
        <v>1534</v>
      </c>
      <c r="V65" s="349">
        <v>2</v>
      </c>
      <c r="W65" s="125"/>
      <c r="X65" s="125"/>
      <c r="AF65" s="207"/>
    </row>
    <row r="66" spans="1:32">
      <c r="A66" s="771"/>
      <c r="B66" s="125"/>
      <c r="C66" s="125"/>
      <c r="D66" s="125"/>
      <c r="E66" s="166"/>
      <c r="F66" s="125"/>
      <c r="O66" s="46"/>
      <c r="P66" s="46"/>
      <c r="R66" s="125"/>
      <c r="S66" s="687" t="s">
        <v>1545</v>
      </c>
      <c r="T66" s="688"/>
      <c r="U66" s="147" t="s">
        <v>1535</v>
      </c>
      <c r="V66" s="355">
        <v>3</v>
      </c>
      <c r="W66" s="125"/>
      <c r="X66" s="125"/>
      <c r="AF66" s="207"/>
    </row>
    <row r="67" spans="1:32">
      <c r="A67" s="771"/>
      <c r="B67" s="125"/>
      <c r="C67" s="125"/>
      <c r="D67" s="125"/>
      <c r="E67" s="166"/>
      <c r="F67" s="125"/>
      <c r="O67" s="46"/>
      <c r="P67" s="46"/>
      <c r="R67" s="125"/>
      <c r="S67" s="689"/>
      <c r="T67" s="690"/>
      <c r="U67" s="107" t="s">
        <v>1534</v>
      </c>
      <c r="V67" s="351">
        <v>5</v>
      </c>
      <c r="W67" s="125"/>
      <c r="X67" s="125"/>
      <c r="AF67" s="207"/>
    </row>
    <row r="68" spans="1:32" ht="17" thickBot="1">
      <c r="A68" s="771"/>
      <c r="B68" s="125"/>
      <c r="C68" s="125"/>
      <c r="D68" s="125"/>
      <c r="E68" s="166"/>
      <c r="F68" s="125"/>
      <c r="O68" s="46"/>
      <c r="P68" s="46"/>
      <c r="R68" s="125"/>
      <c r="S68" s="691" t="s">
        <v>1544</v>
      </c>
      <c r="T68" s="692"/>
      <c r="U68" s="104" t="s">
        <v>1535</v>
      </c>
      <c r="V68" s="352">
        <v>6</v>
      </c>
      <c r="W68" s="125"/>
      <c r="X68" s="125"/>
      <c r="Y68" s="125"/>
      <c r="Z68" s="125"/>
      <c r="AA68" s="125"/>
      <c r="AB68" s="125"/>
      <c r="AC68" s="125"/>
      <c r="AD68" s="125"/>
      <c r="AE68" s="125"/>
      <c r="AF68" s="207"/>
    </row>
    <row r="69" spans="1:32" ht="17" thickBot="1">
      <c r="A69" s="772"/>
      <c r="B69" s="213"/>
      <c r="C69" s="213"/>
      <c r="D69" s="213"/>
      <c r="E69" s="214"/>
      <c r="F69" s="213"/>
      <c r="G69" s="213"/>
      <c r="H69" s="213"/>
      <c r="I69" s="214"/>
      <c r="J69" s="214"/>
      <c r="K69" s="214"/>
      <c r="L69" s="214"/>
      <c r="M69" s="214"/>
      <c r="N69" s="213"/>
      <c r="O69" s="213"/>
      <c r="P69" s="213"/>
      <c r="Q69" s="213"/>
      <c r="R69" s="213"/>
      <c r="S69" s="213"/>
      <c r="T69" s="213"/>
      <c r="U69" s="213"/>
      <c r="V69" s="213"/>
      <c r="W69" s="213"/>
      <c r="X69" s="213"/>
      <c r="Y69" s="213"/>
      <c r="Z69" s="213"/>
      <c r="AA69" s="213"/>
      <c r="AB69" s="213"/>
      <c r="AC69" s="213"/>
      <c r="AD69" s="213"/>
      <c r="AE69" s="213"/>
      <c r="AF69" s="215"/>
    </row>
    <row r="70" spans="1:32" ht="17" thickBot="1"/>
    <row r="71" spans="1:32">
      <c r="A71" s="770" t="s">
        <v>2000</v>
      </c>
      <c r="B71" s="204"/>
      <c r="C71" s="204"/>
      <c r="D71" s="204"/>
      <c r="E71" s="205"/>
      <c r="F71" s="204"/>
      <c r="G71" s="204"/>
      <c r="H71" s="204"/>
      <c r="I71" s="205"/>
      <c r="J71" s="205"/>
      <c r="K71" s="205"/>
      <c r="L71" s="205"/>
      <c r="M71" s="205"/>
      <c r="N71" s="204"/>
      <c r="O71" s="204"/>
      <c r="P71" s="204"/>
      <c r="Q71" s="204"/>
      <c r="R71" s="204"/>
      <c r="S71" s="204"/>
      <c r="T71" s="204"/>
      <c r="U71" s="204"/>
      <c r="V71" s="204"/>
      <c r="W71" s="204"/>
      <c r="X71" s="204"/>
      <c r="Y71" s="204"/>
      <c r="Z71" s="204"/>
      <c r="AA71" s="204"/>
      <c r="AB71" s="204"/>
      <c r="AC71" s="204"/>
      <c r="AD71" s="204"/>
      <c r="AE71" s="204"/>
      <c r="AF71" s="206"/>
    </row>
    <row r="72" spans="1:32" ht="17" thickBot="1">
      <c r="A72" s="771"/>
      <c r="B72" s="125"/>
      <c r="C72" s="125"/>
      <c r="D72" s="125"/>
      <c r="E72" s="166"/>
      <c r="F72" s="125"/>
      <c r="G72" s="125"/>
      <c r="H72" s="125"/>
      <c r="I72" s="166"/>
      <c r="J72" s="166"/>
      <c r="K72" s="166"/>
      <c r="L72" s="166"/>
      <c r="M72" s="166"/>
      <c r="N72" s="125"/>
      <c r="O72" s="125"/>
      <c r="P72" s="125"/>
      <c r="Q72" s="125"/>
      <c r="R72" s="125"/>
      <c r="S72" s="125"/>
      <c r="T72" s="125"/>
      <c r="U72" s="125"/>
      <c r="V72" s="125"/>
      <c r="W72" s="125"/>
      <c r="X72" s="125"/>
      <c r="Y72" s="125"/>
      <c r="Z72" s="125"/>
      <c r="AA72" s="125"/>
      <c r="AB72" s="125"/>
      <c r="AC72" s="125"/>
      <c r="AD72" s="125"/>
      <c r="AE72" s="125"/>
      <c r="AF72" s="207"/>
    </row>
    <row r="73" spans="1:32" ht="22" thickTop="1">
      <c r="A73" s="771"/>
      <c r="B73" s="125"/>
      <c r="C73" s="211"/>
      <c r="D73" s="211"/>
      <c r="E73" s="217"/>
      <c r="F73" s="211"/>
      <c r="G73" s="125"/>
      <c r="H73" s="125"/>
      <c r="I73" s="166"/>
      <c r="J73" s="166"/>
      <c r="K73" s="166"/>
      <c r="L73" s="638" t="s">
        <v>2001</v>
      </c>
      <c r="M73" s="638"/>
      <c r="N73" s="638"/>
      <c r="O73" s="638"/>
      <c r="P73" s="638"/>
      <c r="Q73" s="638"/>
      <c r="R73" s="638"/>
      <c r="S73" s="638"/>
      <c r="T73" s="211"/>
      <c r="U73" s="211"/>
      <c r="V73" s="211"/>
      <c r="W73" s="125"/>
      <c r="X73" s="736" t="s">
        <v>1995</v>
      </c>
      <c r="Y73" s="737"/>
      <c r="Z73" s="737"/>
      <c r="AA73" s="737"/>
      <c r="AB73" s="737"/>
      <c r="AC73" s="738"/>
      <c r="AD73" s="125"/>
      <c r="AE73" s="125"/>
      <c r="AF73" s="207"/>
    </row>
    <row r="74" spans="1:32" ht="15.75" customHeight="1">
      <c r="A74" s="771"/>
      <c r="B74" s="125"/>
      <c r="C74" s="125"/>
      <c r="D74" s="125"/>
      <c r="E74" s="166"/>
      <c r="F74" s="125"/>
      <c r="G74" s="125"/>
      <c r="H74" s="125"/>
      <c r="I74" s="166"/>
      <c r="J74" s="166"/>
      <c r="K74" s="166"/>
      <c r="L74" s="638"/>
      <c r="M74" s="638"/>
      <c r="N74" s="638"/>
      <c r="O74" s="638"/>
      <c r="P74" s="638"/>
      <c r="Q74" s="638"/>
      <c r="R74" s="638"/>
      <c r="S74" s="638"/>
      <c r="T74" s="125"/>
      <c r="U74" s="125"/>
      <c r="V74" s="125"/>
      <c r="W74" s="125"/>
      <c r="X74" s="739"/>
      <c r="Y74" s="740"/>
      <c r="Z74" s="740"/>
      <c r="AA74" s="740"/>
      <c r="AB74" s="740"/>
      <c r="AC74" s="741"/>
      <c r="AD74" s="125"/>
      <c r="AE74" s="125"/>
      <c r="AF74" s="207"/>
    </row>
    <row r="75" spans="1:32" ht="15.75" customHeight="1">
      <c r="A75" s="771"/>
      <c r="B75" s="125"/>
      <c r="C75" s="125"/>
      <c r="D75" s="125"/>
      <c r="E75" s="166"/>
      <c r="F75" s="125"/>
      <c r="G75" s="125"/>
      <c r="H75" s="125"/>
      <c r="I75" s="166"/>
      <c r="J75" s="166"/>
      <c r="K75" s="166"/>
      <c r="L75" s="638"/>
      <c r="M75" s="638"/>
      <c r="N75" s="638"/>
      <c r="O75" s="638"/>
      <c r="P75" s="638"/>
      <c r="Q75" s="638"/>
      <c r="R75" s="638"/>
      <c r="S75" s="638"/>
      <c r="T75" s="125"/>
      <c r="U75" s="125"/>
      <c r="V75" s="125"/>
      <c r="W75" s="125"/>
      <c r="X75" s="739"/>
      <c r="Y75" s="740"/>
      <c r="Z75" s="740"/>
      <c r="AA75" s="740"/>
      <c r="AB75" s="740"/>
      <c r="AC75" s="741"/>
      <c r="AD75" s="125"/>
      <c r="AE75" s="125"/>
      <c r="AF75" s="207"/>
    </row>
    <row r="76" spans="1:32">
      <c r="A76" s="771"/>
      <c r="B76" s="125"/>
      <c r="C76" s="125"/>
      <c r="D76" s="125"/>
      <c r="E76" s="166"/>
      <c r="F76" s="125"/>
      <c r="G76" s="125"/>
      <c r="H76" s="125"/>
      <c r="I76" s="125"/>
      <c r="J76" s="125"/>
      <c r="K76" s="125"/>
      <c r="L76" s="125"/>
      <c r="M76" s="166"/>
      <c r="N76" s="125"/>
      <c r="O76" s="125"/>
      <c r="P76" s="125"/>
      <c r="Q76" s="125"/>
      <c r="R76" s="125"/>
      <c r="S76" s="125"/>
      <c r="T76" s="125"/>
      <c r="U76" s="125"/>
      <c r="V76" s="125"/>
      <c r="W76" s="125"/>
      <c r="X76" s="223"/>
      <c r="Y76" s="125"/>
      <c r="Z76" s="125"/>
      <c r="AA76" s="125"/>
      <c r="AB76" s="125"/>
      <c r="AC76" s="224"/>
      <c r="AD76" s="125"/>
      <c r="AE76" s="125"/>
      <c r="AF76" s="207"/>
    </row>
    <row r="77" spans="1:32" ht="17" thickBot="1">
      <c r="A77" s="771"/>
      <c r="B77" s="125"/>
      <c r="C77" s="125"/>
      <c r="D77" s="125"/>
      <c r="E77" s="166"/>
      <c r="F77" s="125"/>
      <c r="G77" s="125"/>
      <c r="H77" s="125"/>
      <c r="I77" s="639" t="s">
        <v>1529</v>
      </c>
      <c r="J77" s="639"/>
      <c r="K77" s="639"/>
      <c r="L77" s="639"/>
      <c r="M77" s="639"/>
      <c r="N77" s="639"/>
      <c r="O77" s="639"/>
      <c r="P77" s="639"/>
      <c r="Q77" s="639"/>
      <c r="R77" s="639"/>
      <c r="S77" s="639"/>
      <c r="T77" s="639"/>
      <c r="U77" s="227"/>
      <c r="V77" s="125"/>
      <c r="W77" s="125"/>
      <c r="X77" s="664" t="s">
        <v>1924</v>
      </c>
      <c r="Y77" s="640"/>
      <c r="Z77" s="640"/>
      <c r="AA77" s="640"/>
      <c r="AB77" s="640"/>
      <c r="AC77" s="665"/>
      <c r="AD77" s="125"/>
      <c r="AE77" s="125"/>
      <c r="AF77" s="207"/>
    </row>
    <row r="78" spans="1:32" ht="19">
      <c r="A78" s="771"/>
      <c r="B78" s="125"/>
      <c r="C78" s="125"/>
      <c r="D78" s="125"/>
      <c r="E78" s="166"/>
      <c r="F78" s="125"/>
      <c r="G78" s="125"/>
      <c r="H78" s="125"/>
      <c r="I78" s="98"/>
      <c r="J78" s="99"/>
      <c r="K78" s="99"/>
      <c r="L78" s="789" t="s">
        <v>1511</v>
      </c>
      <c r="M78" s="789"/>
      <c r="N78" s="789"/>
      <c r="O78" s="789"/>
      <c r="P78" s="789"/>
      <c r="Q78" s="789"/>
      <c r="R78" s="789"/>
      <c r="S78" s="789"/>
      <c r="T78" s="789"/>
      <c r="U78" s="125"/>
      <c r="V78" s="125"/>
      <c r="W78" s="125"/>
      <c r="X78" s="229"/>
      <c r="Y78" s="218" t="s">
        <v>1926</v>
      </c>
      <c r="Z78" s="711" t="s">
        <v>1927</v>
      </c>
      <c r="AA78" s="711"/>
      <c r="AB78" s="711" t="s">
        <v>1923</v>
      </c>
      <c r="AC78" s="712"/>
      <c r="AD78" s="125"/>
      <c r="AE78" s="125"/>
      <c r="AF78" s="207"/>
    </row>
    <row r="79" spans="1:32" ht="34">
      <c r="A79" s="771"/>
      <c r="B79" s="125"/>
      <c r="C79" s="133"/>
      <c r="D79" s="133"/>
      <c r="E79" s="219"/>
      <c r="F79" s="133"/>
      <c r="G79" s="133"/>
      <c r="H79" s="133"/>
      <c r="I79" s="113"/>
      <c r="J79" s="114"/>
      <c r="K79" s="162" t="s">
        <v>1543</v>
      </c>
      <c r="L79" s="162" t="s">
        <v>1946</v>
      </c>
      <c r="M79" s="162" t="s">
        <v>1947</v>
      </c>
      <c r="N79" s="162" t="s">
        <v>1948</v>
      </c>
      <c r="O79" s="162" t="s">
        <v>1949</v>
      </c>
      <c r="P79" s="162" t="s">
        <v>1950</v>
      </c>
      <c r="Q79" s="162" t="s">
        <v>1951</v>
      </c>
      <c r="R79" s="162" t="s">
        <v>1952</v>
      </c>
      <c r="S79" s="162" t="s">
        <v>1953</v>
      </c>
      <c r="T79" s="163" t="s">
        <v>1954</v>
      </c>
      <c r="V79" s="211"/>
      <c r="W79" s="125"/>
      <c r="X79" s="231" t="s">
        <v>1528</v>
      </c>
      <c r="Y79" s="154">
        <f>S14</f>
        <v>0</v>
      </c>
      <c r="Z79" s="719">
        <f>SUM(Y79*Y80)</f>
        <v>0</v>
      </c>
      <c r="AA79" s="720"/>
      <c r="AB79" s="431" t="str">
        <f>IF(AND(Z79&gt;0,Z79&lt;='Risk Calc'!F87),"Acceptable",IF(AND(Z79&gt;='Risk Calc'!F89,Z79&lt;='Risk Calc'!F91),"Tolerable",IF(Z79&gt;='Risk Calc'!F93,"Unacceptable","Unknown")))</f>
        <v>Unknown</v>
      </c>
      <c r="AC79" s="725"/>
      <c r="AD79" s="125"/>
      <c r="AE79" s="125"/>
      <c r="AF79" s="207"/>
    </row>
    <row r="80" spans="1:32">
      <c r="A80" s="771"/>
      <c r="B80" s="125"/>
      <c r="C80" s="125"/>
      <c r="D80" s="125"/>
      <c r="E80" s="166"/>
      <c r="F80" s="125"/>
      <c r="G80" s="125"/>
      <c r="H80" s="125"/>
      <c r="I80" s="100"/>
      <c r="J80" s="95" t="s">
        <v>1543</v>
      </c>
      <c r="K80" s="81">
        <v>0</v>
      </c>
      <c r="L80" s="81">
        <f>SUM(U60)</f>
        <v>1</v>
      </c>
      <c r="M80" s="81">
        <f>SUM(V60)</f>
        <v>2</v>
      </c>
      <c r="N80" s="81">
        <f>SUM(U61)</f>
        <v>2</v>
      </c>
      <c r="O80" s="81">
        <f>SUM(W60)</f>
        <v>3</v>
      </c>
      <c r="P80" s="81">
        <f>SUM(U62)</f>
        <v>3</v>
      </c>
      <c r="Q80" s="81">
        <f>SUM(V61)</f>
        <v>4</v>
      </c>
      <c r="R80" s="81">
        <f>SUM(W61)</f>
        <v>6</v>
      </c>
      <c r="S80" s="81">
        <f>SUM(V62)</f>
        <v>6</v>
      </c>
      <c r="T80" s="83">
        <f>SUM(W62)</f>
        <v>9</v>
      </c>
      <c r="V80" s="125"/>
      <c r="W80" s="125"/>
      <c r="X80" s="230" t="s">
        <v>1511</v>
      </c>
      <c r="Y80" s="154">
        <f>AB58</f>
        <v>0</v>
      </c>
      <c r="Z80" s="721"/>
      <c r="AA80" s="722"/>
      <c r="AB80" s="726"/>
      <c r="AC80" s="727"/>
      <c r="AD80" s="125"/>
      <c r="AE80" s="125"/>
      <c r="AF80" s="207"/>
    </row>
    <row r="81" spans="1:32">
      <c r="A81" s="771"/>
      <c r="B81" s="125"/>
      <c r="C81" s="125"/>
      <c r="D81" s="638" t="s">
        <v>1996</v>
      </c>
      <c r="E81" s="638"/>
      <c r="F81" s="638"/>
      <c r="G81" s="638"/>
      <c r="H81" s="125"/>
      <c r="I81" s="685" t="s">
        <v>1528</v>
      </c>
      <c r="J81" s="95" t="s">
        <v>1512</v>
      </c>
      <c r="K81" s="81">
        <f>SUM(J16)</f>
        <v>1</v>
      </c>
      <c r="L81" s="154">
        <f t="shared" ref="L81:T90" si="4">SUM(L$80*$K81)</f>
        <v>1</v>
      </c>
      <c r="M81" s="154">
        <f t="shared" si="4"/>
        <v>2</v>
      </c>
      <c r="N81" s="154">
        <f t="shared" si="4"/>
        <v>2</v>
      </c>
      <c r="O81" s="154">
        <f t="shared" si="4"/>
        <v>3</v>
      </c>
      <c r="P81" s="154">
        <f t="shared" si="4"/>
        <v>3</v>
      </c>
      <c r="Q81" s="154">
        <f t="shared" si="4"/>
        <v>4</v>
      </c>
      <c r="R81" s="154">
        <f t="shared" si="4"/>
        <v>6</v>
      </c>
      <c r="S81" s="154">
        <f t="shared" si="4"/>
        <v>6</v>
      </c>
      <c r="T81" s="78">
        <f t="shared" si="4"/>
        <v>9</v>
      </c>
      <c r="V81" s="125"/>
      <c r="W81" s="125"/>
      <c r="X81" s="713"/>
      <c r="Y81" s="714"/>
      <c r="Z81" s="721"/>
      <c r="AA81" s="722"/>
      <c r="AB81" s="726"/>
      <c r="AC81" s="727"/>
      <c r="AD81" s="125"/>
      <c r="AE81" s="125"/>
      <c r="AF81" s="207"/>
    </row>
    <row r="82" spans="1:32">
      <c r="A82" s="771"/>
      <c r="B82" s="125"/>
      <c r="C82" s="125"/>
      <c r="D82" s="638"/>
      <c r="E82" s="638"/>
      <c r="F82" s="638"/>
      <c r="G82" s="638"/>
      <c r="H82" s="125"/>
      <c r="I82" s="685"/>
      <c r="J82" s="95" t="s">
        <v>1513</v>
      </c>
      <c r="K82" s="81">
        <f>SUM(K16)</f>
        <v>2</v>
      </c>
      <c r="L82" s="154">
        <f t="shared" si="4"/>
        <v>2</v>
      </c>
      <c r="M82" s="154">
        <f t="shared" si="4"/>
        <v>4</v>
      </c>
      <c r="N82" s="154">
        <f t="shared" si="4"/>
        <v>4</v>
      </c>
      <c r="O82" s="154">
        <f t="shared" si="4"/>
        <v>6</v>
      </c>
      <c r="P82" s="154">
        <f t="shared" si="4"/>
        <v>6</v>
      </c>
      <c r="Q82" s="154">
        <f t="shared" si="4"/>
        <v>8</v>
      </c>
      <c r="R82" s="154">
        <f t="shared" si="4"/>
        <v>12</v>
      </c>
      <c r="S82" s="154">
        <f t="shared" si="4"/>
        <v>12</v>
      </c>
      <c r="T82" s="78">
        <f t="shared" si="4"/>
        <v>18</v>
      </c>
      <c r="V82" s="125"/>
      <c r="W82" s="125"/>
      <c r="X82" s="715"/>
      <c r="Y82" s="716"/>
      <c r="Z82" s="721"/>
      <c r="AA82" s="722"/>
      <c r="AB82" s="726"/>
      <c r="AC82" s="727"/>
      <c r="AD82" s="125"/>
      <c r="AE82" s="125"/>
      <c r="AF82" s="207"/>
    </row>
    <row r="83" spans="1:32" ht="17" thickBot="1">
      <c r="A83" s="771"/>
      <c r="B83" s="125"/>
      <c r="C83" s="125"/>
      <c r="D83" s="638"/>
      <c r="E83" s="638"/>
      <c r="F83" s="638"/>
      <c r="G83" s="638"/>
      <c r="H83" s="125"/>
      <c r="I83" s="685"/>
      <c r="J83" s="95" t="s">
        <v>1516</v>
      </c>
      <c r="K83" s="81">
        <f>SUM(J17)</f>
        <v>2</v>
      </c>
      <c r="L83" s="154">
        <f t="shared" si="4"/>
        <v>2</v>
      </c>
      <c r="M83" s="154">
        <f t="shared" si="4"/>
        <v>4</v>
      </c>
      <c r="N83" s="154">
        <f t="shared" si="4"/>
        <v>4</v>
      </c>
      <c r="O83" s="154">
        <f t="shared" si="4"/>
        <v>6</v>
      </c>
      <c r="P83" s="154">
        <f t="shared" si="4"/>
        <v>6</v>
      </c>
      <c r="Q83" s="154">
        <f t="shared" si="4"/>
        <v>8</v>
      </c>
      <c r="R83" s="154">
        <f t="shared" si="4"/>
        <v>12</v>
      </c>
      <c r="S83" s="154">
        <f t="shared" si="4"/>
        <v>12</v>
      </c>
      <c r="T83" s="78">
        <f t="shared" si="4"/>
        <v>18</v>
      </c>
      <c r="V83" s="125"/>
      <c r="W83" s="125"/>
      <c r="X83" s="717"/>
      <c r="Y83" s="718"/>
      <c r="Z83" s="723"/>
      <c r="AA83" s="724"/>
      <c r="AB83" s="728"/>
      <c r="AC83" s="729"/>
      <c r="AD83" s="125"/>
      <c r="AE83" s="125"/>
      <c r="AF83" s="207"/>
    </row>
    <row r="84" spans="1:32" ht="18" thickTop="1" thickBot="1">
      <c r="A84" s="771"/>
      <c r="B84" s="125"/>
      <c r="C84" s="125"/>
      <c r="D84" s="125"/>
      <c r="E84" s="166"/>
      <c r="F84" s="125"/>
      <c r="G84" s="125"/>
      <c r="H84" s="125"/>
      <c r="I84" s="685"/>
      <c r="J84" s="95" t="s">
        <v>1514</v>
      </c>
      <c r="K84" s="81">
        <f>SUM(L16)</f>
        <v>3</v>
      </c>
      <c r="L84" s="154">
        <f t="shared" si="4"/>
        <v>3</v>
      </c>
      <c r="M84" s="154">
        <f t="shared" si="4"/>
        <v>6</v>
      </c>
      <c r="N84" s="154">
        <f t="shared" si="4"/>
        <v>6</v>
      </c>
      <c r="O84" s="154">
        <f t="shared" si="4"/>
        <v>9</v>
      </c>
      <c r="P84" s="154">
        <f t="shared" si="4"/>
        <v>9</v>
      </c>
      <c r="Q84" s="154">
        <f t="shared" si="4"/>
        <v>12</v>
      </c>
      <c r="R84" s="154">
        <f t="shared" si="4"/>
        <v>18</v>
      </c>
      <c r="S84" s="154">
        <f t="shared" si="4"/>
        <v>18</v>
      </c>
      <c r="T84" s="78">
        <f t="shared" si="4"/>
        <v>27</v>
      </c>
      <c r="V84" s="125"/>
      <c r="W84" s="125"/>
      <c r="X84" s="125"/>
      <c r="Y84" s="125"/>
      <c r="Z84" s="125"/>
      <c r="AA84" s="125"/>
      <c r="AB84" s="125"/>
      <c r="AC84" s="125"/>
      <c r="AD84" s="125"/>
      <c r="AE84" s="125"/>
      <c r="AF84" s="207"/>
    </row>
    <row r="85" spans="1:32">
      <c r="A85" s="771"/>
      <c r="B85" s="125"/>
      <c r="C85" s="125"/>
      <c r="D85" s="793" t="s">
        <v>1536</v>
      </c>
      <c r="E85" s="794"/>
      <c r="F85" s="794"/>
      <c r="G85" s="795"/>
      <c r="H85" s="125"/>
      <c r="I85" s="685"/>
      <c r="J85" s="95" t="s">
        <v>1520</v>
      </c>
      <c r="K85" s="81">
        <f>SUM(J18)</f>
        <v>3</v>
      </c>
      <c r="L85" s="154">
        <f t="shared" si="4"/>
        <v>3</v>
      </c>
      <c r="M85" s="154">
        <f t="shared" si="4"/>
        <v>6</v>
      </c>
      <c r="N85" s="154">
        <f t="shared" si="4"/>
        <v>6</v>
      </c>
      <c r="O85" s="154">
        <f t="shared" si="4"/>
        <v>9</v>
      </c>
      <c r="P85" s="154">
        <f t="shared" si="4"/>
        <v>9</v>
      </c>
      <c r="Q85" s="154">
        <f t="shared" si="4"/>
        <v>12</v>
      </c>
      <c r="R85" s="154">
        <f t="shared" si="4"/>
        <v>18</v>
      </c>
      <c r="S85" s="154">
        <f t="shared" si="4"/>
        <v>18</v>
      </c>
      <c r="T85" s="78">
        <f t="shared" si="4"/>
        <v>27</v>
      </c>
      <c r="V85" s="125"/>
      <c r="W85" s="125"/>
      <c r="X85" s="125"/>
      <c r="Y85" s="125"/>
      <c r="Z85" s="125"/>
      <c r="AA85" s="125"/>
      <c r="AB85" s="125"/>
      <c r="AC85" s="125"/>
      <c r="AD85" s="125"/>
      <c r="AE85" s="125"/>
      <c r="AF85" s="207"/>
    </row>
    <row r="86" spans="1:32">
      <c r="A86" s="771"/>
      <c r="B86" s="125"/>
      <c r="C86" s="125"/>
      <c r="D86" s="796"/>
      <c r="E86" s="797"/>
      <c r="F86" s="797"/>
      <c r="G86" s="798"/>
      <c r="H86" s="125"/>
      <c r="I86" s="685"/>
      <c r="J86" s="95" t="s">
        <v>1515</v>
      </c>
      <c r="K86" s="81">
        <f>SUM(M16)</f>
        <v>4</v>
      </c>
      <c r="L86" s="154">
        <f t="shared" si="4"/>
        <v>4</v>
      </c>
      <c r="M86" s="154">
        <f t="shared" si="4"/>
        <v>8</v>
      </c>
      <c r="N86" s="154">
        <f t="shared" si="4"/>
        <v>8</v>
      </c>
      <c r="O86" s="154">
        <f t="shared" si="4"/>
        <v>12</v>
      </c>
      <c r="P86" s="154">
        <f t="shared" si="4"/>
        <v>12</v>
      </c>
      <c r="Q86" s="154">
        <f t="shared" si="4"/>
        <v>16</v>
      </c>
      <c r="R86" s="154">
        <f t="shared" si="4"/>
        <v>24</v>
      </c>
      <c r="S86" s="154">
        <f t="shared" si="4"/>
        <v>24</v>
      </c>
      <c r="T86" s="78">
        <f t="shared" si="4"/>
        <v>36</v>
      </c>
      <c r="V86" s="125"/>
      <c r="W86" s="125"/>
      <c r="X86" s="125"/>
      <c r="Y86" s="125"/>
      <c r="Z86" s="125"/>
      <c r="AA86" s="125"/>
      <c r="AB86" s="125"/>
      <c r="AC86" s="125"/>
      <c r="AD86" s="125"/>
      <c r="AE86" s="125"/>
      <c r="AF86" s="207"/>
    </row>
    <row r="87" spans="1:32">
      <c r="A87" s="771"/>
      <c r="B87" s="125"/>
      <c r="C87" s="125"/>
      <c r="D87" s="679" t="s">
        <v>1547</v>
      </c>
      <c r="E87" s="693" t="s">
        <v>1534</v>
      </c>
      <c r="F87" s="681">
        <v>11</v>
      </c>
      <c r="G87" s="682"/>
      <c r="H87" s="125"/>
      <c r="I87" s="685"/>
      <c r="J87" s="95" t="s">
        <v>1517</v>
      </c>
      <c r="K87" s="81">
        <f>SUM(K17)</f>
        <v>4</v>
      </c>
      <c r="L87" s="154">
        <f t="shared" si="4"/>
        <v>4</v>
      </c>
      <c r="M87" s="154">
        <f t="shared" si="4"/>
        <v>8</v>
      </c>
      <c r="N87" s="154">
        <f t="shared" si="4"/>
        <v>8</v>
      </c>
      <c r="O87" s="154">
        <f t="shared" si="4"/>
        <v>12</v>
      </c>
      <c r="P87" s="154">
        <f t="shared" si="4"/>
        <v>12</v>
      </c>
      <c r="Q87" s="154">
        <f t="shared" si="4"/>
        <v>16</v>
      </c>
      <c r="R87" s="154">
        <f t="shared" si="4"/>
        <v>24</v>
      </c>
      <c r="S87" s="154">
        <f t="shared" si="4"/>
        <v>24</v>
      </c>
      <c r="T87" s="78">
        <f t="shared" si="4"/>
        <v>36</v>
      </c>
      <c r="V87" s="125"/>
      <c r="W87" s="125"/>
      <c r="X87" s="125"/>
      <c r="Y87" s="125"/>
      <c r="Z87" s="125"/>
      <c r="AA87" s="125"/>
      <c r="AB87" s="125"/>
      <c r="AC87" s="125"/>
      <c r="AD87" s="125"/>
      <c r="AE87" s="125"/>
      <c r="AF87" s="207"/>
    </row>
    <row r="88" spans="1:32">
      <c r="A88" s="771"/>
      <c r="B88" s="125"/>
      <c r="C88" s="125"/>
      <c r="D88" s="680"/>
      <c r="E88" s="695"/>
      <c r="F88" s="683"/>
      <c r="G88" s="684"/>
      <c r="H88" s="125"/>
      <c r="I88" s="685"/>
      <c r="J88" s="95" t="s">
        <v>1523</v>
      </c>
      <c r="K88" s="81">
        <f>SUM(J19)</f>
        <v>4</v>
      </c>
      <c r="L88" s="154">
        <f t="shared" si="4"/>
        <v>4</v>
      </c>
      <c r="M88" s="154">
        <f t="shared" si="4"/>
        <v>8</v>
      </c>
      <c r="N88" s="154">
        <f t="shared" si="4"/>
        <v>8</v>
      </c>
      <c r="O88" s="154">
        <f t="shared" si="4"/>
        <v>12</v>
      </c>
      <c r="P88" s="154">
        <f t="shared" si="4"/>
        <v>12</v>
      </c>
      <c r="Q88" s="154">
        <f t="shared" si="4"/>
        <v>16</v>
      </c>
      <c r="R88" s="154">
        <f t="shared" si="4"/>
        <v>24</v>
      </c>
      <c r="S88" s="154">
        <f t="shared" si="4"/>
        <v>24</v>
      </c>
      <c r="T88" s="78">
        <f t="shared" si="4"/>
        <v>36</v>
      </c>
      <c r="V88" s="125"/>
      <c r="W88" s="125"/>
      <c r="X88" s="125"/>
      <c r="Y88" s="125"/>
      <c r="Z88" s="125"/>
      <c r="AA88" s="125"/>
      <c r="AB88" s="125"/>
      <c r="AC88" s="125"/>
      <c r="AD88" s="125"/>
      <c r="AE88" s="125"/>
      <c r="AF88" s="207"/>
    </row>
    <row r="89" spans="1:32">
      <c r="A89" s="771"/>
      <c r="B89" s="125"/>
      <c r="C89" s="125"/>
      <c r="D89" s="698" t="s">
        <v>1548</v>
      </c>
      <c r="E89" s="693" t="s">
        <v>1535</v>
      </c>
      <c r="F89" s="681">
        <v>12</v>
      </c>
      <c r="G89" s="682"/>
      <c r="H89" s="125"/>
      <c r="I89" s="685"/>
      <c r="J89" s="95" t="s">
        <v>1518</v>
      </c>
      <c r="K89" s="81">
        <f>SUM(L17)</f>
        <v>6</v>
      </c>
      <c r="L89" s="154">
        <f t="shared" si="4"/>
        <v>6</v>
      </c>
      <c r="M89" s="154">
        <f t="shared" si="4"/>
        <v>12</v>
      </c>
      <c r="N89" s="154">
        <f t="shared" si="4"/>
        <v>12</v>
      </c>
      <c r="O89" s="154">
        <f t="shared" si="4"/>
        <v>18</v>
      </c>
      <c r="P89" s="154">
        <f t="shared" si="4"/>
        <v>18</v>
      </c>
      <c r="Q89" s="154">
        <f t="shared" si="4"/>
        <v>24</v>
      </c>
      <c r="R89" s="154">
        <f t="shared" si="4"/>
        <v>36</v>
      </c>
      <c r="S89" s="154">
        <f t="shared" si="4"/>
        <v>36</v>
      </c>
      <c r="T89" s="78">
        <f t="shared" si="4"/>
        <v>54</v>
      </c>
      <c r="V89" s="125"/>
      <c r="W89" s="125"/>
      <c r="X89" s="125"/>
      <c r="Y89" s="125"/>
      <c r="Z89" s="125"/>
      <c r="AA89" s="125"/>
      <c r="AB89" s="125"/>
      <c r="AC89" s="125"/>
      <c r="AD89" s="125"/>
      <c r="AE89" s="125"/>
      <c r="AF89" s="207"/>
    </row>
    <row r="90" spans="1:32">
      <c r="A90" s="771"/>
      <c r="B90" s="125"/>
      <c r="C90" s="125"/>
      <c r="D90" s="699"/>
      <c r="E90" s="694"/>
      <c r="F90" s="696"/>
      <c r="G90" s="697"/>
      <c r="H90" s="125"/>
      <c r="I90" s="685"/>
      <c r="J90" s="95" t="s">
        <v>1521</v>
      </c>
      <c r="K90" s="81">
        <f>SUM(K18)</f>
        <v>6</v>
      </c>
      <c r="L90" s="154">
        <f t="shared" si="4"/>
        <v>6</v>
      </c>
      <c r="M90" s="154">
        <f t="shared" si="4"/>
        <v>12</v>
      </c>
      <c r="N90" s="154">
        <f t="shared" si="4"/>
        <v>12</v>
      </c>
      <c r="O90" s="154">
        <f t="shared" si="4"/>
        <v>18</v>
      </c>
      <c r="P90" s="154">
        <f t="shared" si="4"/>
        <v>18</v>
      </c>
      <c r="Q90" s="154">
        <f t="shared" si="4"/>
        <v>24</v>
      </c>
      <c r="R90" s="154">
        <f t="shared" si="4"/>
        <v>36</v>
      </c>
      <c r="S90" s="154">
        <f t="shared" si="4"/>
        <v>36</v>
      </c>
      <c r="T90" s="78">
        <f t="shared" si="4"/>
        <v>54</v>
      </c>
      <c r="V90" s="125"/>
      <c r="W90" s="125"/>
      <c r="X90" s="125"/>
      <c r="Y90" s="125"/>
      <c r="Z90" s="125"/>
      <c r="AA90" s="125"/>
      <c r="AB90" s="125"/>
      <c r="AC90" s="125"/>
      <c r="AD90" s="125"/>
      <c r="AE90" s="125"/>
      <c r="AF90" s="207"/>
    </row>
    <row r="91" spans="1:32">
      <c r="A91" s="771"/>
      <c r="B91" s="125"/>
      <c r="C91" s="125"/>
      <c r="D91" s="699"/>
      <c r="E91" s="694" t="s">
        <v>1534</v>
      </c>
      <c r="F91" s="696">
        <v>31</v>
      </c>
      <c r="G91" s="697"/>
      <c r="H91" s="125"/>
      <c r="I91" s="685"/>
      <c r="J91" s="95" t="s">
        <v>1519</v>
      </c>
      <c r="K91" s="81">
        <f>SUM(M17)</f>
        <v>8</v>
      </c>
      <c r="L91" s="154">
        <f t="shared" ref="L91:T96" si="5">SUM(L$80*$K91)</f>
        <v>8</v>
      </c>
      <c r="M91" s="154">
        <f t="shared" si="5"/>
        <v>16</v>
      </c>
      <c r="N91" s="154">
        <f t="shared" si="5"/>
        <v>16</v>
      </c>
      <c r="O91" s="154">
        <f t="shared" si="5"/>
        <v>24</v>
      </c>
      <c r="P91" s="154">
        <f t="shared" si="5"/>
        <v>24</v>
      </c>
      <c r="Q91" s="154">
        <f t="shared" si="5"/>
        <v>32</v>
      </c>
      <c r="R91" s="154">
        <f t="shared" si="5"/>
        <v>48</v>
      </c>
      <c r="S91" s="154">
        <f t="shared" si="5"/>
        <v>48</v>
      </c>
      <c r="T91" s="78">
        <f t="shared" si="5"/>
        <v>72</v>
      </c>
      <c r="V91" s="125"/>
      <c r="W91" s="125"/>
      <c r="X91" s="125"/>
      <c r="Y91" s="125"/>
      <c r="Z91" s="125"/>
      <c r="AA91" s="125"/>
      <c r="AB91" s="125"/>
      <c r="AC91" s="125"/>
      <c r="AD91" s="125"/>
      <c r="AE91" s="125"/>
      <c r="AF91" s="207"/>
    </row>
    <row r="92" spans="1:32">
      <c r="A92" s="771"/>
      <c r="B92" s="125"/>
      <c r="C92" s="125"/>
      <c r="D92" s="700"/>
      <c r="E92" s="695"/>
      <c r="F92" s="683"/>
      <c r="G92" s="684"/>
      <c r="H92" s="125"/>
      <c r="I92" s="685"/>
      <c r="J92" s="95" t="s">
        <v>1524</v>
      </c>
      <c r="K92" s="81">
        <f>SUM(K19)</f>
        <v>8</v>
      </c>
      <c r="L92" s="154">
        <f t="shared" si="5"/>
        <v>8</v>
      </c>
      <c r="M92" s="154">
        <f t="shared" si="5"/>
        <v>16</v>
      </c>
      <c r="N92" s="154">
        <f t="shared" si="5"/>
        <v>16</v>
      </c>
      <c r="O92" s="154">
        <f t="shared" si="5"/>
        <v>24</v>
      </c>
      <c r="P92" s="154">
        <f t="shared" si="5"/>
        <v>24</v>
      </c>
      <c r="Q92" s="154">
        <f t="shared" si="5"/>
        <v>32</v>
      </c>
      <c r="R92" s="154">
        <f t="shared" si="5"/>
        <v>48</v>
      </c>
      <c r="S92" s="154">
        <f t="shared" si="5"/>
        <v>48</v>
      </c>
      <c r="T92" s="78">
        <f t="shared" si="5"/>
        <v>72</v>
      </c>
      <c r="V92" s="125"/>
      <c r="W92" s="125"/>
      <c r="X92" s="125"/>
      <c r="Y92" s="125"/>
      <c r="Z92" s="125"/>
      <c r="AA92" s="125"/>
      <c r="AB92" s="125"/>
      <c r="AC92" s="125"/>
      <c r="AD92" s="125"/>
      <c r="AE92" s="125"/>
      <c r="AF92" s="207"/>
    </row>
    <row r="93" spans="1:32">
      <c r="A93" s="771"/>
      <c r="B93" s="125"/>
      <c r="C93" s="125"/>
      <c r="D93" s="701" t="s">
        <v>1549</v>
      </c>
      <c r="E93" s="693" t="s">
        <v>1535</v>
      </c>
      <c r="F93" s="681">
        <v>32</v>
      </c>
      <c r="G93" s="682"/>
      <c r="H93" s="125"/>
      <c r="I93" s="685"/>
      <c r="J93" s="95" t="s">
        <v>1522</v>
      </c>
      <c r="K93" s="81">
        <f>SUM(L18)</f>
        <v>9</v>
      </c>
      <c r="L93" s="154">
        <f t="shared" si="5"/>
        <v>9</v>
      </c>
      <c r="M93" s="154">
        <f t="shared" si="5"/>
        <v>18</v>
      </c>
      <c r="N93" s="154">
        <f t="shared" si="5"/>
        <v>18</v>
      </c>
      <c r="O93" s="154">
        <f t="shared" si="5"/>
        <v>27</v>
      </c>
      <c r="P93" s="154">
        <f t="shared" si="5"/>
        <v>27</v>
      </c>
      <c r="Q93" s="154">
        <f t="shared" si="5"/>
        <v>36</v>
      </c>
      <c r="R93" s="154">
        <f t="shared" si="5"/>
        <v>54</v>
      </c>
      <c r="S93" s="154">
        <f t="shared" si="5"/>
        <v>54</v>
      </c>
      <c r="T93" s="78">
        <f t="shared" si="5"/>
        <v>81</v>
      </c>
      <c r="V93" s="125"/>
      <c r="W93" s="125"/>
      <c r="X93" s="125"/>
      <c r="Y93" s="125"/>
      <c r="Z93" s="125"/>
      <c r="AA93" s="125"/>
      <c r="AB93" s="125"/>
      <c r="AC93" s="125"/>
      <c r="AD93" s="125"/>
      <c r="AE93" s="125"/>
      <c r="AF93" s="207"/>
    </row>
    <row r="94" spans="1:32" ht="17" thickBot="1">
      <c r="A94" s="771"/>
      <c r="B94" s="125"/>
      <c r="C94" s="125"/>
      <c r="D94" s="702"/>
      <c r="E94" s="703"/>
      <c r="F94" s="704"/>
      <c r="G94" s="705"/>
      <c r="H94" s="125"/>
      <c r="I94" s="685"/>
      <c r="J94" s="95" t="s">
        <v>1525</v>
      </c>
      <c r="K94" s="81">
        <f>SUM(L19)</f>
        <v>12</v>
      </c>
      <c r="L94" s="154">
        <f t="shared" si="5"/>
        <v>12</v>
      </c>
      <c r="M94" s="154">
        <f t="shared" si="5"/>
        <v>24</v>
      </c>
      <c r="N94" s="154">
        <f t="shared" si="5"/>
        <v>24</v>
      </c>
      <c r="O94" s="154">
        <f t="shared" si="5"/>
        <v>36</v>
      </c>
      <c r="P94" s="154">
        <f t="shared" si="5"/>
        <v>36</v>
      </c>
      <c r="Q94" s="154">
        <f t="shared" si="5"/>
        <v>48</v>
      </c>
      <c r="R94" s="154">
        <f t="shared" si="5"/>
        <v>72</v>
      </c>
      <c r="S94" s="154">
        <f t="shared" si="5"/>
        <v>72</v>
      </c>
      <c r="T94" s="78">
        <f t="shared" si="5"/>
        <v>108</v>
      </c>
      <c r="V94" s="125"/>
      <c r="W94" s="125"/>
      <c r="X94" s="125"/>
      <c r="Y94" s="125"/>
      <c r="Z94" s="125"/>
      <c r="AA94" s="125"/>
      <c r="AB94" s="125"/>
      <c r="AC94" s="125"/>
      <c r="AD94" s="125"/>
      <c r="AE94" s="125"/>
      <c r="AF94" s="207"/>
    </row>
    <row r="95" spans="1:32">
      <c r="A95" s="771"/>
      <c r="B95" s="125"/>
      <c r="C95" s="125"/>
      <c r="D95" s="125"/>
      <c r="E95" s="166"/>
      <c r="F95" s="125"/>
      <c r="G95" s="125"/>
      <c r="H95" s="125"/>
      <c r="I95" s="685"/>
      <c r="J95" s="95" t="s">
        <v>1526</v>
      </c>
      <c r="K95" s="81">
        <f>SUM(M18)</f>
        <v>12</v>
      </c>
      <c r="L95" s="154">
        <f t="shared" si="5"/>
        <v>12</v>
      </c>
      <c r="M95" s="154">
        <f t="shared" si="5"/>
        <v>24</v>
      </c>
      <c r="N95" s="154">
        <f t="shared" si="5"/>
        <v>24</v>
      </c>
      <c r="O95" s="154">
        <f t="shared" si="5"/>
        <v>36</v>
      </c>
      <c r="P95" s="154">
        <f t="shared" si="5"/>
        <v>36</v>
      </c>
      <c r="Q95" s="154">
        <f t="shared" si="5"/>
        <v>48</v>
      </c>
      <c r="R95" s="154">
        <f t="shared" si="5"/>
        <v>72</v>
      </c>
      <c r="S95" s="154">
        <f t="shared" si="5"/>
        <v>72</v>
      </c>
      <c r="T95" s="78">
        <f t="shared" si="5"/>
        <v>108</v>
      </c>
      <c r="V95" s="125"/>
      <c r="W95" s="125"/>
      <c r="X95" s="125"/>
      <c r="Y95" s="125"/>
      <c r="Z95" s="125"/>
      <c r="AA95" s="125"/>
      <c r="AB95" s="125"/>
      <c r="AC95" s="125"/>
      <c r="AD95" s="125"/>
      <c r="AE95" s="125"/>
      <c r="AF95" s="207"/>
    </row>
    <row r="96" spans="1:32" ht="17" thickBot="1">
      <c r="A96" s="771"/>
      <c r="B96" s="125"/>
      <c r="C96" s="125"/>
      <c r="D96" s="212" t="s">
        <v>1997</v>
      </c>
      <c r="E96" s="166"/>
      <c r="F96" s="125"/>
      <c r="G96" s="125"/>
      <c r="H96" s="125"/>
      <c r="I96" s="686"/>
      <c r="J96" s="97" t="s">
        <v>1527</v>
      </c>
      <c r="K96" s="82">
        <f>SUM(M19)</f>
        <v>16</v>
      </c>
      <c r="L96" s="155">
        <f t="shared" si="5"/>
        <v>16</v>
      </c>
      <c r="M96" s="155">
        <f t="shared" si="5"/>
        <v>32</v>
      </c>
      <c r="N96" s="155">
        <f t="shared" si="5"/>
        <v>32</v>
      </c>
      <c r="O96" s="155">
        <f t="shared" si="5"/>
        <v>48</v>
      </c>
      <c r="P96" s="155">
        <f t="shared" si="5"/>
        <v>48</v>
      </c>
      <c r="Q96" s="155">
        <f t="shared" si="5"/>
        <v>64</v>
      </c>
      <c r="R96" s="155">
        <f t="shared" si="5"/>
        <v>96</v>
      </c>
      <c r="S96" s="155">
        <f t="shared" si="5"/>
        <v>96</v>
      </c>
      <c r="T96" s="79">
        <f t="shared" si="5"/>
        <v>144</v>
      </c>
      <c r="V96" s="125"/>
      <c r="W96" s="125"/>
      <c r="X96" s="125"/>
      <c r="Y96" s="125"/>
      <c r="Z96" s="125"/>
      <c r="AA96" s="125"/>
      <c r="AB96" s="125"/>
      <c r="AC96" s="125"/>
      <c r="AD96" s="125"/>
      <c r="AE96" s="125"/>
      <c r="AF96" s="207"/>
    </row>
    <row r="97" spans="1:32">
      <c r="A97" s="771"/>
      <c r="B97" s="125"/>
      <c r="C97" s="125"/>
      <c r="D97" s="220" t="s">
        <v>1550</v>
      </c>
      <c r="E97" s="166"/>
      <c r="F97" s="125"/>
      <c r="G97" s="125"/>
      <c r="H97" s="125"/>
      <c r="I97" s="166"/>
      <c r="J97" s="166"/>
      <c r="K97" s="166"/>
      <c r="L97" s="166"/>
      <c r="M97" s="166"/>
      <c r="N97" s="133"/>
      <c r="O97" s="133"/>
      <c r="P97" s="133"/>
      <c r="Q97" s="133"/>
      <c r="R97" s="133"/>
      <c r="S97" s="133"/>
      <c r="T97" s="133"/>
      <c r="U97" s="133"/>
      <c r="V97" s="125"/>
      <c r="W97" s="125"/>
      <c r="X97" s="125"/>
      <c r="Y97" s="125"/>
      <c r="Z97" s="125"/>
      <c r="AA97" s="125"/>
      <c r="AB97" s="125"/>
      <c r="AC97" s="125"/>
      <c r="AD97" s="125"/>
      <c r="AE97" s="125"/>
      <c r="AF97" s="207"/>
    </row>
    <row r="98" spans="1:32">
      <c r="A98" s="771"/>
      <c r="B98" s="125"/>
      <c r="C98" s="125"/>
      <c r="D98" s="125" t="s">
        <v>1551</v>
      </c>
      <c r="E98" s="166"/>
      <c r="F98" s="125"/>
      <c r="G98" s="125"/>
      <c r="H98" s="125"/>
      <c r="I98" s="166"/>
      <c r="J98" s="166"/>
      <c r="K98" s="166"/>
      <c r="L98" s="166"/>
      <c r="M98" s="166"/>
      <c r="N98" s="125"/>
      <c r="O98" s="125"/>
      <c r="P98" s="125"/>
      <c r="Q98" s="125"/>
      <c r="R98" s="125"/>
      <c r="S98" s="125"/>
      <c r="T98" s="125"/>
      <c r="U98" s="125"/>
      <c r="V98" s="125"/>
      <c r="W98" s="125"/>
      <c r="X98" s="125"/>
      <c r="Y98" s="125"/>
      <c r="Z98" s="125"/>
      <c r="AA98" s="125"/>
      <c r="AB98" s="125"/>
      <c r="AC98" s="125"/>
      <c r="AD98" s="125"/>
      <c r="AE98" s="125"/>
      <c r="AF98" s="207"/>
    </row>
    <row r="99" spans="1:32">
      <c r="A99" s="771"/>
      <c r="B99" s="125"/>
      <c r="C99" s="125"/>
      <c r="D99" s="125" t="s">
        <v>1552</v>
      </c>
      <c r="E99" s="166"/>
      <c r="F99" s="125"/>
      <c r="G99" s="125"/>
      <c r="H99" s="125"/>
      <c r="I99" s="166"/>
      <c r="J99" s="166"/>
      <c r="K99" s="166"/>
      <c r="L99" s="166"/>
      <c r="M99" s="166"/>
      <c r="N99" s="125"/>
      <c r="O99" s="125"/>
      <c r="P99" s="125"/>
      <c r="Q99" s="125"/>
      <c r="R99" s="125"/>
      <c r="S99" s="125"/>
      <c r="T99" s="125"/>
      <c r="U99" s="125"/>
      <c r="V99" s="125"/>
      <c r="W99" s="125"/>
      <c r="X99" s="125"/>
      <c r="Y99" s="125"/>
      <c r="Z99" s="125"/>
      <c r="AA99" s="125"/>
      <c r="AB99" s="125"/>
      <c r="AC99" s="125"/>
      <c r="AD99" s="125"/>
      <c r="AE99" s="125"/>
      <c r="AF99" s="207"/>
    </row>
    <row r="100" spans="1:32">
      <c r="A100" s="771"/>
      <c r="B100" s="125"/>
      <c r="C100" s="125"/>
      <c r="D100" s="125" t="s">
        <v>1553</v>
      </c>
      <c r="E100" s="166"/>
      <c r="F100" s="125"/>
      <c r="G100" s="125"/>
      <c r="H100" s="125"/>
      <c r="I100" s="166"/>
      <c r="J100" s="166"/>
      <c r="K100" s="166"/>
      <c r="L100" s="166"/>
      <c r="M100" s="166"/>
      <c r="N100" s="125"/>
      <c r="O100" s="125"/>
      <c r="P100" s="125"/>
      <c r="Q100" s="125"/>
      <c r="R100" s="125"/>
      <c r="S100" s="125"/>
      <c r="T100" s="125"/>
      <c r="U100" s="125"/>
      <c r="V100" s="125"/>
      <c r="W100" s="125"/>
      <c r="X100" s="125"/>
      <c r="Y100" s="125"/>
      <c r="Z100" s="125"/>
      <c r="AA100" s="125"/>
      <c r="AB100" s="125"/>
      <c r="AC100" s="125"/>
      <c r="AD100" s="125"/>
      <c r="AE100" s="125"/>
      <c r="AF100" s="207"/>
    </row>
    <row r="101" spans="1:32" ht="17" thickBot="1">
      <c r="A101" s="772"/>
      <c r="B101" s="213"/>
      <c r="C101" s="213"/>
      <c r="D101" s="213"/>
      <c r="E101" s="214"/>
      <c r="F101" s="213"/>
      <c r="G101" s="213"/>
      <c r="H101" s="213"/>
      <c r="I101" s="214"/>
      <c r="J101" s="214"/>
      <c r="K101" s="214"/>
      <c r="L101" s="214"/>
      <c r="M101" s="214"/>
      <c r="N101" s="213"/>
      <c r="O101" s="213"/>
      <c r="P101" s="213"/>
      <c r="Q101" s="213"/>
      <c r="R101" s="213"/>
      <c r="S101" s="213"/>
      <c r="T101" s="213"/>
      <c r="U101" s="213"/>
      <c r="V101" s="213"/>
      <c r="W101" s="213"/>
      <c r="X101" s="213"/>
      <c r="Y101" s="213"/>
      <c r="Z101" s="213"/>
      <c r="AA101" s="213"/>
      <c r="AB101" s="213"/>
      <c r="AC101" s="213"/>
      <c r="AD101" s="213"/>
      <c r="AE101" s="213"/>
      <c r="AF101" s="21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351" priority="615" operator="greaterThanOrEqual">
      <formula>$F$93</formula>
    </cfRule>
    <cfRule type="cellIs" dxfId="350" priority="616" operator="between">
      <formula>$F$89</formula>
      <formula>$F$91</formula>
    </cfRule>
    <cfRule type="cellIs" dxfId="349" priority="617" operator="lessThanOrEqual">
      <formula>$F$87</formula>
    </cfRule>
  </conditionalFormatting>
  <conditionalFormatting sqref="J16:M19">
    <cfRule type="cellIs" dxfId="348" priority="12" operator="between">
      <formula>$J$23</formula>
      <formula>$J$24</formula>
    </cfRule>
    <cfRule type="cellIs" dxfId="347" priority="13" operator="lessThanOrEqual">
      <formula>$J$22</formula>
    </cfRule>
    <cfRule type="cellIs" dxfId="346" priority="14" operator="greaterThanOrEqual">
      <formula>$J$25</formula>
    </cfRule>
  </conditionalFormatting>
  <conditionalFormatting sqref="U60:W62">
    <cfRule type="cellIs" dxfId="345" priority="9" operator="between">
      <formula>$V$66</formula>
      <formula>$V$67</formula>
    </cfRule>
    <cfRule type="cellIs" dxfId="344" priority="10" operator="lessThanOrEqual">
      <formula>$V$65</formula>
    </cfRule>
    <cfRule type="cellIs" dxfId="343" priority="11" operator="greaterThanOrEqual">
      <formula>$V$68</formula>
    </cfRule>
  </conditionalFormatting>
  <conditionalFormatting sqref="J40:L44">
    <cfRule type="cellIs" dxfId="342" priority="3" operator="greaterThanOrEqual">
      <formula>$J$50</formula>
    </cfRule>
    <cfRule type="cellIs" dxfId="341" priority="4" operator="between">
      <formula>$J$48</formula>
      <formula>$J$49</formula>
    </cfRule>
    <cfRule type="cellIs" dxfId="340" priority="5" operator="lessThanOrEqual">
      <formula>$J$47</formula>
    </cfRule>
    <cfRule type="cellIs" dxfId="339" priority="6" operator="between">
      <formula>$E$15</formula>
      <formula>$E$16</formula>
    </cfRule>
    <cfRule type="cellIs" dxfId="338" priority="7" operator="greaterThanOrEqual">
      <formula>$E$17</formula>
    </cfRule>
    <cfRule type="cellIs" dxfId="337" priority="8" operator="lessThanOrEqual">
      <formula>$E$14</formula>
    </cfRule>
  </conditionalFormatting>
  <conditionalFormatting sqref="W40:X44 AE40:AE44">
    <cfRule type="containsErrors" dxfId="336" priority="2">
      <formula>ISERROR(W40)</formula>
    </cfRule>
  </conditionalFormatting>
  <conditionalFormatting sqref="Y58:AA62">
    <cfRule type="containsErrors" dxfId="335"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heetViews>
  <sheetFormatPr baseColWidth="10" defaultColWidth="11" defaultRowHeight="16"/>
  <sheetData>
    <row r="1" spans="1:11">
      <c r="A1" s="158" t="s">
        <v>1931</v>
      </c>
      <c r="B1" s="159" t="s">
        <v>1932</v>
      </c>
      <c r="C1" s="160" t="s">
        <v>1938</v>
      </c>
      <c r="D1" s="161" t="s">
        <v>1941</v>
      </c>
      <c r="E1" s="329"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t="e">
        <f t="array" ref="D2">SMALL(IF(COUNTIFS(I$2,'VENDOR QUESTIONNAIRE'!$T$58:$T$181,I$3,'VENDOR QUESTIONNAIRE'!$L$58:$L$181),MATCH(ROW('VENDOR QUESTIONNAIRE'!C58:C181),ROW('VENDOR QUESTIONNAIRE'!C58:C181)),""),ROWS('VENDOR QUESTIONNAIRE'!$L$58:L58))</f>
        <v>#NUM!</v>
      </c>
      <c r="E2" s="330" t="e">
        <f t="array" ref="E2">INDEX('VENDOR QUESTIONNAIRE'!$C$58:$C$181,SMALL(IF(COUNTIFS(I$2,'VENDOR QUESTIONNAIRE'!$T$58:$T$181,I$3,'VENDOR QUESTIONNAIRE'!$L$58:$L$181),MATCH(ROW('VENDOR QUESTIONNAIRE'!C58:C181),ROW('VENDOR QUESTIONNAIRE'!C58:C181)),""),ROWS('VENDOR QUESTIONNAIRE'!$L$58:L58)))</f>
        <v>#NUM!</v>
      </c>
      <c r="H2" s="156" t="s">
        <v>1929</v>
      </c>
      <c r="I2" s="94" t="s">
        <v>585</v>
      </c>
      <c r="J2" t="s">
        <v>2072</v>
      </c>
    </row>
    <row r="3" spans="1:11">
      <c r="A3">
        <v>0</v>
      </c>
      <c r="B3">
        <v>2</v>
      </c>
      <c r="C3" s="157" t="str">
        <v/>
      </c>
      <c r="D3" s="157" t="e">
        <f t="array" ref="D3">SMALL(IF(COUNTIFS(I$2,'VENDOR QUESTIONNAIRE'!$T$58:$T$181,I$3,'VENDOR QUESTIONNAIRE'!$L$58:$L$181),MATCH(ROW('VENDOR QUESTIONNAIRE'!C59:C182),ROW('VENDOR QUESTIONNAIRE'!C59:C182)),""),ROWS('VENDOR QUESTIONNAIRE'!$L$58:L59))</f>
        <v>#NUM!</v>
      </c>
      <c r="E3" s="330" t="e">
        <f t="array" ref="E3">INDEX('VENDOR QUESTIONNAIRE'!$C$58:$C$181,SMALL(IF(COUNTIFS(I$2,'VENDOR QUESTIONNAIRE'!$T$58:$T$181,I$3,'VENDOR QUESTIONNAIRE'!$L$58:$L$181),MATCH(ROW('VENDOR QUESTIONNAIRE'!C59:C182),ROW('VENDOR QUESTIONNAIRE'!C59:C182)),""),ROWS('VENDOR QUESTIONNAIRE'!$L$58:L59)))</f>
        <v>#NUM!</v>
      </c>
      <c r="H3" s="156" t="s">
        <v>1930</v>
      </c>
      <c r="I3" s="94" t="s">
        <v>2065</v>
      </c>
      <c r="K3" t="s">
        <v>2073</v>
      </c>
    </row>
    <row r="4" spans="1:11">
      <c r="A4">
        <v>0</v>
      </c>
      <c r="B4">
        <v>3</v>
      </c>
      <c r="C4" s="157" t="str">
        <v/>
      </c>
      <c r="D4" s="157" t="e">
        <f t="array" ref="D4">SMALL(IF(COUNTIFS(I$2,'VENDOR QUESTIONNAIRE'!$T$58:$T$181,I$3,'VENDOR QUESTIONNAIRE'!$L$58:$L$181),MATCH(ROW('VENDOR QUESTIONNAIRE'!C60:C183),ROW('VENDOR QUESTIONNAIRE'!C60:C183)),""),ROWS('VENDOR QUESTIONNAIRE'!$L$58:L60))</f>
        <v>#NUM!</v>
      </c>
      <c r="E4" s="330"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57" t="str">
        <v/>
      </c>
      <c r="D5" s="157" t="e">
        <f t="array" ref="D5">SMALL(IF(COUNTIFS(I$2,'VENDOR QUESTIONNAIRE'!$T$58:$T$181,I$3,'VENDOR QUESTIONNAIRE'!$L$58:$L$181),MATCH(ROW('VENDOR QUESTIONNAIRE'!C61:C184),ROW('VENDOR QUESTIONNAIRE'!C61:C184)),""),ROWS('VENDOR QUESTIONNAIRE'!$L$58:L61))</f>
        <v>#NUM!</v>
      </c>
      <c r="E5" s="330"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57" t="str">
        <v/>
      </c>
      <c r="D6" s="157" t="e">
        <f t="array" ref="D6">SMALL(IF(COUNTIFS(I$2,'VENDOR QUESTIONNAIRE'!$T$58:$T$181,I$3,'VENDOR QUESTIONNAIRE'!$L$58:$L$181),MATCH(ROW('VENDOR QUESTIONNAIRE'!C62:C185),ROW('VENDOR QUESTIONNAIRE'!C62:C185)),""),ROWS('VENDOR QUESTIONNAIRE'!$L$58:L62))</f>
        <v>#NUM!</v>
      </c>
      <c r="E6" s="330" t="e">
        <f t="array" ref="E6">INDEX('VENDOR QUESTIONNAIRE'!$C$58:$C$181,SMALL(IF(COUNTIFS(I$2,'VENDOR QUESTIONNAIRE'!$T$58:$T$181,I$3,'VENDOR QUESTIONNAIRE'!$L$58:$L$181),MATCH(ROW('VENDOR QUESTIONNAIRE'!C62:C185),ROW('VENDOR QUESTIONNAIRE'!C62:C185)),""),ROWS('VENDOR QUESTIONNAIRE'!$L$58:L62)))</f>
        <v>#NUM!</v>
      </c>
      <c r="H6" s="80" t="s">
        <v>1933</v>
      </c>
    </row>
    <row r="7" spans="1:11">
      <c r="A7">
        <v>0</v>
      </c>
      <c r="B7">
        <v>6</v>
      </c>
      <c r="C7" s="157" t="str">
        <v/>
      </c>
      <c r="D7" s="157" t="e">
        <f t="array" ref="D7">SMALL(IF(COUNTIFS(I$2,'VENDOR QUESTIONNAIRE'!$T$58:$T$181,I$3,'VENDOR QUESTIONNAIRE'!$L$58:$L$181),MATCH(ROW('VENDOR QUESTIONNAIRE'!C63:C186),ROW('VENDOR QUESTIONNAIRE'!C63:C186)),""),ROWS('VENDOR QUESTIONNAIRE'!$L$58:L63))</f>
        <v>#NUM!</v>
      </c>
      <c r="E7" s="330" t="e">
        <f t="array" ref="E7">INDEX('VENDOR QUESTIONNAIRE'!$C$58:$C$181,SMALL(IF(COUNTIFS(I$2,'VENDOR QUESTIONNAIRE'!$T$58:$T$181,I$3,'VENDOR QUESTIONNAIRE'!$L$58:$L$181),MATCH(ROW('VENDOR QUESTIONNAIRE'!C63:C186),ROW('VENDOR QUESTIONNAIRE'!C63:C186)),""),ROWS('VENDOR QUESTIONNAIRE'!$L$58:L63)))</f>
        <v>#NUM!</v>
      </c>
      <c r="H7" t="s">
        <v>1934</v>
      </c>
      <c r="I7" t="s">
        <v>2071</v>
      </c>
    </row>
    <row r="8" spans="1:11">
      <c r="A8">
        <v>0</v>
      </c>
      <c r="B8">
        <v>7</v>
      </c>
      <c r="C8" s="157" t="str">
        <v/>
      </c>
      <c r="D8" s="157" t="e">
        <f t="array" ref="D8">SMALL(IF(COUNTIFS(I$2,'VENDOR QUESTIONNAIRE'!$T$58:$T$181,I$3,'VENDOR QUESTIONNAIRE'!$L$58:$L$181),MATCH(ROW('VENDOR QUESTIONNAIRE'!C64:C187),ROW('VENDOR QUESTIONNAIRE'!C64:C187)),""),ROWS('VENDOR QUESTIONNAIRE'!$L$58:L64))</f>
        <v>#NUM!</v>
      </c>
      <c r="E8" s="330" t="e">
        <f t="array" ref="E8">INDEX('VENDOR QUESTIONNAIRE'!$C$58:$C$181,SMALL(IF(COUNTIFS(I$2,'VENDOR QUESTIONNAIRE'!$T$58:$T$181,I$3,'VENDOR QUESTIONNAIRE'!$L$58:$L$181),MATCH(ROW('VENDOR QUESTIONNAIRE'!C64:C187),ROW('VENDOR QUESTIONNAIRE'!C64:C187)),""),ROWS('VENDOR QUESTIONNAIRE'!$L$58:L64)))</f>
        <v>#NUM!</v>
      </c>
      <c r="H8" t="s">
        <v>1935</v>
      </c>
      <c r="I8" t="s">
        <v>1943</v>
      </c>
    </row>
    <row r="9" spans="1:11">
      <c r="A9">
        <v>0</v>
      </c>
      <c r="B9">
        <v>8</v>
      </c>
      <c r="C9" s="157" t="str">
        <v/>
      </c>
      <c r="D9" s="157" t="e">
        <f t="array" ref="D9">SMALL(IF(COUNTIFS(I$2,'VENDOR QUESTIONNAIRE'!$T$58:$T$181,I$3,'VENDOR QUESTIONNAIRE'!$L$58:$L$181),MATCH(ROW('VENDOR QUESTIONNAIRE'!C65:C188),ROW('VENDOR QUESTIONNAIRE'!C65:C188)),""),ROWS('VENDOR QUESTIONNAIRE'!$L$58:L65))</f>
        <v>#NUM!</v>
      </c>
      <c r="E9" s="330" t="e">
        <f t="array" ref="E9">INDEX('VENDOR QUESTIONNAIRE'!$C$58:$C$181,SMALL(IF(COUNTIFS(I$2,'VENDOR QUESTIONNAIRE'!$T$58:$T$181,I$3,'VENDOR QUESTIONNAIRE'!$L$58:$L$181),MATCH(ROW('VENDOR QUESTIONNAIRE'!C65:C188),ROW('VENDOR QUESTIONNAIRE'!C65:C188)),""),ROWS('VENDOR QUESTIONNAIRE'!$L$58:L65)))</f>
        <v>#NUM!</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57" t="str">
        <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57" t="str">
        <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57" t="str">
        <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t="e">
        <v>#N/A</v>
      </c>
      <c r="B126" t="e">
        <v>#N/A</v>
      </c>
      <c r="C126" s="157" t="e">
        <v>#N/A</v>
      </c>
    </row>
    <row r="127" spans="1:3">
      <c r="A127" t="e">
        <v>#N/A</v>
      </c>
      <c r="B127" t="e">
        <v>#N/A</v>
      </c>
      <c r="C127" s="157" t="e">
        <v>#N/A</v>
      </c>
    </row>
    <row r="128" spans="1:3">
      <c r="A128" t="e">
        <v>#N/A</v>
      </c>
      <c r="B128" t="e">
        <v>#N/A</v>
      </c>
      <c r="C128" s="157" t="e">
        <v>#N/A</v>
      </c>
    </row>
    <row r="129" spans="1:3">
      <c r="A129" t="e">
        <v>#N/A</v>
      </c>
      <c r="B129" t="e">
        <v>#N/A</v>
      </c>
      <c r="C129" s="157" t="e">
        <v>#N/A</v>
      </c>
    </row>
    <row r="130" spans="1:3">
      <c r="A130" t="e">
        <v>#N/A</v>
      </c>
      <c r="B130" t="e">
        <v>#N/A</v>
      </c>
      <c r="C130" s="157" t="e">
        <v>#N/A</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heetViews>
  <sheetFormatPr baseColWidth="10" defaultColWidth="11" defaultRowHeight="16"/>
  <sheetData>
    <row r="1" spans="1:11">
      <c r="A1" s="367" t="s">
        <v>1931</v>
      </c>
      <c r="B1" s="368" t="s">
        <v>1932</v>
      </c>
      <c r="C1" s="369" t="s">
        <v>1938</v>
      </c>
      <c r="D1" s="370" t="s">
        <v>1941</v>
      </c>
      <c r="E1" s="371"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t="e">
        <f t="array" ref="D2">SMALL(IF(COUNTIFS(I$2,'VENDOR QUESTIONNAIRE'!$T$58:$T$181,I$3,'VENDOR QUESTIONNAIRE'!$L$58:$L$181),MATCH(ROW('VENDOR QUESTIONNAIRE'!C58:C181),ROW('VENDOR QUESTIONNAIRE'!C58:C181)),""),ROWS('VENDOR QUESTIONNAIRE'!$L$58:L58))</f>
        <v>#NUM!</v>
      </c>
      <c r="E2" s="330" t="e">
        <f t="array" ref="E2">INDEX('VENDOR QUESTIONNAIRE'!$C$58:$C$181,SMALL(IF(COUNTIFS(I$2,'VENDOR QUESTIONNAIRE'!$T$58:$T$181,I$3,'VENDOR QUESTIONNAIRE'!$L$58:$L$181),MATCH(ROW('VENDOR QUESTIONNAIRE'!C58:C181),ROW('VENDOR QUESTIONNAIRE'!C58:C181)),""),ROWS('VENDOR QUESTIONNAIRE'!$L$58:L58)))</f>
        <v>#NUM!</v>
      </c>
      <c r="H2" s="156" t="s">
        <v>1929</v>
      </c>
      <c r="I2" s="94" t="s">
        <v>585</v>
      </c>
      <c r="J2" t="s">
        <v>2072</v>
      </c>
    </row>
    <row r="3" spans="1:11">
      <c r="A3">
        <v>0</v>
      </c>
      <c r="B3">
        <v>2</v>
      </c>
      <c r="C3" s="157" t="str">
        <v/>
      </c>
      <c r="D3" s="157" t="e">
        <f t="array" ref="D3">SMALL(IF(COUNTIFS(I$2,'VENDOR QUESTIONNAIRE'!$T$58:$T$181,I$3,'VENDOR QUESTIONNAIRE'!$L$58:$L$181),MATCH(ROW('VENDOR QUESTIONNAIRE'!C59:C182),ROW('VENDOR QUESTIONNAIRE'!C59:C182)),""),ROWS('VENDOR QUESTIONNAIRE'!$L$58:L59))</f>
        <v>#NUM!</v>
      </c>
      <c r="E3" s="330" t="e">
        <f t="array" ref="E3">INDEX('VENDOR QUESTIONNAIRE'!$C$58:$C$181,SMALL(IF(COUNTIFS(I$2,'VENDOR QUESTIONNAIRE'!$T$58:$T$181,I$3,'VENDOR QUESTIONNAIRE'!$L$58:$L$181),MATCH(ROW('VENDOR QUESTIONNAIRE'!C59:C182),ROW('VENDOR QUESTIONNAIRE'!C59:C182)),""),ROWS('VENDOR QUESTIONNAIRE'!$L$58:L59)))</f>
        <v>#NUM!</v>
      </c>
      <c r="H3" s="156" t="s">
        <v>1930</v>
      </c>
      <c r="I3" s="94" t="s">
        <v>1532</v>
      </c>
      <c r="J3" t="s">
        <v>2073</v>
      </c>
      <c r="K3" t="s">
        <v>2073</v>
      </c>
    </row>
    <row r="4" spans="1:11">
      <c r="A4">
        <v>0</v>
      </c>
      <c r="B4">
        <v>3</v>
      </c>
      <c r="C4" s="157" t="str">
        <v/>
      </c>
      <c r="D4" s="157" t="e">
        <f t="array" ref="D4">SMALL(IF(COUNTIFS(I$2,'VENDOR QUESTIONNAIRE'!$T$58:$T$181,I$3,'VENDOR QUESTIONNAIRE'!$L$58:$L$181),MATCH(ROW('VENDOR QUESTIONNAIRE'!C60:C183),ROW('VENDOR QUESTIONNAIRE'!C60:C183)),""),ROWS('VENDOR QUESTIONNAIRE'!$L$58:L60))</f>
        <v>#NUM!</v>
      </c>
      <c r="E4" s="330"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57" t="str">
        <v/>
      </c>
      <c r="D5" s="157" t="e">
        <f t="array" ref="D5">SMALL(IF(COUNTIFS(I$2,'VENDOR QUESTIONNAIRE'!$T$58:$T$181,I$3,'VENDOR QUESTIONNAIRE'!$L$58:$L$181),MATCH(ROW('VENDOR QUESTIONNAIRE'!C61:C184),ROW('VENDOR QUESTIONNAIRE'!C61:C184)),""),ROWS('VENDOR QUESTIONNAIRE'!$L$58:L61))</f>
        <v>#NUM!</v>
      </c>
      <c r="E5" s="330"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57" t="str">
        <v/>
      </c>
      <c r="D6" s="157" t="e">
        <f t="array" ref="D6">SMALL(IF(COUNTIFS(I$2,'VENDOR QUESTIONNAIRE'!$T$58:$T$181,I$3,'VENDOR QUESTIONNAIRE'!$L$58:$L$181),MATCH(ROW('VENDOR QUESTIONNAIRE'!C62:C185),ROW('VENDOR QUESTIONNAIRE'!C62:C185)),""),ROWS('VENDOR QUESTIONNAIRE'!$L$58:L62))</f>
        <v>#NUM!</v>
      </c>
      <c r="E6" s="330" t="e">
        <f t="array" ref="E6">INDEX('VENDOR QUESTIONNAIRE'!$C$58:$C$181,SMALL(IF(COUNTIFS(I$2,'VENDOR QUESTIONNAIRE'!$T$58:$T$181,I$3,'VENDOR QUESTIONNAIRE'!$L$58:$L$181),MATCH(ROW('VENDOR QUESTIONNAIRE'!C62:C185),ROW('VENDOR QUESTIONNAIRE'!C62:C185)),""),ROWS('VENDOR QUESTIONNAIRE'!$L$58:L62)))</f>
        <v>#NUM!</v>
      </c>
      <c r="H6" s="80" t="s">
        <v>1933</v>
      </c>
    </row>
    <row r="7" spans="1:11">
      <c r="A7">
        <v>0</v>
      </c>
      <c r="B7">
        <v>6</v>
      </c>
      <c r="C7" s="157" t="str">
        <v/>
      </c>
      <c r="D7" s="157" t="e">
        <f t="array" ref="D7">SMALL(IF(COUNTIFS(I$2,'VENDOR QUESTIONNAIRE'!$T$58:$T$181,I$3,'VENDOR QUESTIONNAIRE'!$L$58:$L$181),MATCH(ROW('VENDOR QUESTIONNAIRE'!C63:C186),ROW('VENDOR QUESTIONNAIRE'!C63:C186)),""),ROWS('VENDOR QUESTIONNAIRE'!$L$58:L63))</f>
        <v>#NUM!</v>
      </c>
      <c r="E7" s="330" t="e">
        <f t="array" ref="E7">INDEX('VENDOR QUESTIONNAIRE'!$C$58:$C$181,SMALL(IF(COUNTIFS(I$2,'VENDOR QUESTIONNAIRE'!$T$58:$T$181,I$3,'VENDOR QUESTIONNAIRE'!$L$58:$L$181),MATCH(ROW('VENDOR QUESTIONNAIRE'!C63:C186),ROW('VENDOR QUESTIONNAIRE'!C63:C186)),""),ROWS('VENDOR QUESTIONNAIRE'!$L$58:L63)))</f>
        <v>#NUM!</v>
      </c>
      <c r="H7" t="s">
        <v>1934</v>
      </c>
      <c r="I7" t="s">
        <v>2071</v>
      </c>
    </row>
    <row r="8" spans="1:11">
      <c r="A8">
        <v>0</v>
      </c>
      <c r="B8">
        <v>7</v>
      </c>
      <c r="C8" s="157" t="str">
        <v/>
      </c>
      <c r="D8" s="157" t="e">
        <f t="array" ref="D8">SMALL(IF(COUNTIFS(I$2,'VENDOR QUESTIONNAIRE'!$T$58:$T$181,I$3,'VENDOR QUESTIONNAIRE'!$L$58:$L$181),MATCH(ROW('VENDOR QUESTIONNAIRE'!C64:C187),ROW('VENDOR QUESTIONNAIRE'!C64:C187)),""),ROWS('VENDOR QUESTIONNAIRE'!$L$58:L64))</f>
        <v>#NUM!</v>
      </c>
      <c r="E8" s="330" t="e">
        <f t="array" ref="E8">INDEX('VENDOR QUESTIONNAIRE'!$C$58:$C$181,SMALL(IF(COUNTIFS(I$2,'VENDOR QUESTIONNAIRE'!$T$58:$T$181,I$3,'VENDOR QUESTIONNAIRE'!$L$58:$L$181),MATCH(ROW('VENDOR QUESTIONNAIRE'!C64:C187),ROW('VENDOR QUESTIONNAIRE'!C64:C187)),""),ROWS('VENDOR QUESTIONNAIRE'!$L$58:L64)))</f>
        <v>#NUM!</v>
      </c>
      <c r="H8" t="s">
        <v>1935</v>
      </c>
      <c r="I8" t="s">
        <v>1943</v>
      </c>
    </row>
    <row r="9" spans="1:11">
      <c r="A9">
        <v>0</v>
      </c>
      <c r="B9">
        <v>8</v>
      </c>
      <c r="C9" s="157" t="str">
        <v/>
      </c>
      <c r="D9" s="157" t="e">
        <f t="array" ref="D9">SMALL(IF(COUNTIFS(I$2,'VENDOR QUESTIONNAIRE'!$T$58:$T$181,I$3,'VENDOR QUESTIONNAIRE'!$L$58:$L$181),MATCH(ROW('VENDOR QUESTIONNAIRE'!C65:C188),ROW('VENDOR QUESTIONNAIRE'!C65:C188)),""),ROWS('VENDOR QUESTIONNAIRE'!$L$58:L65))</f>
        <v>#NUM!</v>
      </c>
      <c r="E9" s="330" t="e">
        <f t="array" ref="E9">INDEX('VENDOR QUESTIONNAIRE'!$C$58:$C$181,SMALL(IF(COUNTIFS(I$2,'VENDOR QUESTIONNAIRE'!$T$58:$T$181,I$3,'VENDOR QUESTIONNAIRE'!$L$58:$L$181),MATCH(ROW('VENDOR QUESTIONNAIRE'!C65:C188),ROW('VENDOR QUESTIONNAIRE'!C65:C188)),""),ROWS('VENDOR QUESTIONNAIRE'!$L$58:L65)))</f>
        <v>#NUM!</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57" t="str">
        <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57" t="str">
        <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57" t="str">
        <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t="e">
        <v>#N/A</v>
      </c>
      <c r="B126" t="e">
        <v>#N/A</v>
      </c>
      <c r="C126" s="157" t="e">
        <v>#N/A</v>
      </c>
    </row>
    <row r="127" spans="1:3">
      <c r="A127" t="e">
        <v>#N/A</v>
      </c>
      <c r="B127" t="e">
        <v>#N/A</v>
      </c>
      <c r="C127" s="157" t="e">
        <v>#N/A</v>
      </c>
    </row>
    <row r="128" spans="1:3">
      <c r="A128" t="e">
        <v>#N/A</v>
      </c>
      <c r="B128" t="e">
        <v>#N/A</v>
      </c>
      <c r="C128" s="157" t="e">
        <v>#N/A</v>
      </c>
    </row>
    <row r="129" spans="1:3">
      <c r="A129" t="e">
        <v>#N/A</v>
      </c>
      <c r="B129" t="e">
        <v>#N/A</v>
      </c>
      <c r="C129" s="157" t="e">
        <v>#N/A</v>
      </c>
    </row>
    <row r="130" spans="1:3">
      <c r="A130" t="e">
        <v>#N/A</v>
      </c>
      <c r="B130" t="e">
        <v>#N/A</v>
      </c>
      <c r="C130" s="15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265-6AFD-0044-A1C2-92772BCB9F5E}">
  <sheetPr>
    <tabColor theme="4" tint="0.59999389629810485"/>
    <pageSetUpPr fitToPage="1"/>
  </sheetPr>
  <dimension ref="A1:K142"/>
  <sheetViews>
    <sheetView zoomScale="80" zoomScaleNormal="80" workbookViewId="0">
      <selection activeCell="C35" sqref="C35"/>
    </sheetView>
  </sheetViews>
  <sheetFormatPr baseColWidth="10" defaultColWidth="10" defaultRowHeight="16"/>
  <cols>
    <col min="1" max="1" width="32.5" style="2" customWidth="1"/>
    <col min="3" max="3" width="10" style="130"/>
    <col min="4" max="4" width="84.6640625" style="93" customWidth="1"/>
    <col min="5" max="7" width="14.1640625" customWidth="1"/>
    <col min="8" max="8" width="42.6640625" customWidth="1"/>
    <col min="9" max="9" width="42.6640625" style="93" customWidth="1"/>
  </cols>
  <sheetData>
    <row r="1" spans="1:11" s="93" customFormat="1" ht="34">
      <c r="A1" s="144" t="s">
        <v>1533</v>
      </c>
      <c r="B1" s="101" t="s">
        <v>1861</v>
      </c>
      <c r="C1" s="136" t="s">
        <v>1862</v>
      </c>
      <c r="D1" s="101" t="s">
        <v>211</v>
      </c>
      <c r="E1" s="101" t="s">
        <v>1885</v>
      </c>
      <c r="F1" s="101" t="s">
        <v>209</v>
      </c>
      <c r="G1" s="101" t="s">
        <v>1565</v>
      </c>
      <c r="H1" s="140" t="s">
        <v>1863</v>
      </c>
      <c r="I1" s="137" t="s">
        <v>1860</v>
      </c>
      <c r="J1" s="133"/>
      <c r="K1" s="133"/>
    </row>
    <row r="2" spans="1:11" ht="34" hidden="1">
      <c r="A2" s="134" t="s">
        <v>1580</v>
      </c>
      <c r="B2" s="115" t="s">
        <v>1581</v>
      </c>
      <c r="C2" s="129">
        <v>1.1000000000000001</v>
      </c>
      <c r="D2" s="123" t="s">
        <v>1582</v>
      </c>
      <c r="E2" s="116"/>
      <c r="F2" s="135" t="s">
        <v>1864</v>
      </c>
      <c r="G2" s="142" t="s">
        <v>1583</v>
      </c>
      <c r="H2" s="138"/>
      <c r="I2" s="139"/>
    </row>
    <row r="3" spans="1:11" ht="34" hidden="1">
      <c r="A3" s="134" t="s">
        <v>1580</v>
      </c>
      <c r="B3" s="115" t="s">
        <v>1584</v>
      </c>
      <c r="C3" s="129">
        <v>1.2</v>
      </c>
      <c r="D3" s="123" t="s">
        <v>1585</v>
      </c>
      <c r="E3" s="116"/>
      <c r="F3" s="135" t="s">
        <v>1864</v>
      </c>
      <c r="G3" s="142" t="s">
        <v>1583</v>
      </c>
      <c r="H3" s="138"/>
      <c r="I3" s="139"/>
    </row>
    <row r="4" spans="1:11" ht="34" hidden="1">
      <c r="A4" s="134" t="s">
        <v>1580</v>
      </c>
      <c r="B4" s="115" t="s">
        <v>1586</v>
      </c>
      <c r="C4" s="129">
        <v>1.3</v>
      </c>
      <c r="D4" s="123" t="s">
        <v>1587</v>
      </c>
      <c r="E4" s="116"/>
      <c r="F4" s="135" t="s">
        <v>1864</v>
      </c>
      <c r="G4" s="142" t="s">
        <v>1583</v>
      </c>
      <c r="H4" s="138"/>
      <c r="I4" s="139"/>
    </row>
    <row r="5" spans="1:11" ht="34" hidden="1">
      <c r="A5" s="134" t="s">
        <v>1580</v>
      </c>
      <c r="B5" s="115" t="s">
        <v>1588</v>
      </c>
      <c r="C5" s="129">
        <v>1.4</v>
      </c>
      <c r="D5" s="123" t="s">
        <v>1589</v>
      </c>
      <c r="E5" s="116"/>
      <c r="F5" s="135" t="s">
        <v>1864</v>
      </c>
      <c r="G5" s="142" t="s">
        <v>1583</v>
      </c>
      <c r="H5" s="138"/>
      <c r="I5" s="139"/>
    </row>
    <row r="6" spans="1:11" ht="34" hidden="1">
      <c r="A6" s="134" t="s">
        <v>1580</v>
      </c>
      <c r="B6" s="115" t="s">
        <v>1590</v>
      </c>
      <c r="C6" s="129">
        <v>1.5</v>
      </c>
      <c r="D6" s="123" t="s">
        <v>1591</v>
      </c>
      <c r="E6" s="116"/>
      <c r="F6" s="135" t="s">
        <v>1864</v>
      </c>
      <c r="G6" s="142" t="s">
        <v>1583</v>
      </c>
      <c r="H6" s="138"/>
      <c r="I6" s="139"/>
    </row>
    <row r="7" spans="1:11" ht="34" hidden="1">
      <c r="A7" s="134" t="s">
        <v>1580</v>
      </c>
      <c r="B7" s="115" t="s">
        <v>1592</v>
      </c>
      <c r="C7" s="129">
        <v>1.6</v>
      </c>
      <c r="D7" s="123" t="s">
        <v>1593</v>
      </c>
      <c r="E7" s="116"/>
      <c r="F7" s="135" t="s">
        <v>1864</v>
      </c>
      <c r="G7" s="142" t="s">
        <v>1583</v>
      </c>
      <c r="H7" s="138"/>
      <c r="I7" s="139"/>
    </row>
    <row r="8" spans="1:11" ht="51" hidden="1">
      <c r="A8" s="134" t="s">
        <v>1580</v>
      </c>
      <c r="B8" s="115" t="s">
        <v>1594</v>
      </c>
      <c r="C8" s="129">
        <v>1.7</v>
      </c>
      <c r="D8" s="123" t="s">
        <v>1595</v>
      </c>
      <c r="E8" s="116"/>
      <c r="F8" s="135" t="s">
        <v>1864</v>
      </c>
      <c r="G8" s="142" t="s">
        <v>1583</v>
      </c>
      <c r="H8" s="138"/>
      <c r="I8" s="139"/>
    </row>
    <row r="9" spans="1:11" ht="34" hidden="1">
      <c r="A9" s="134" t="s">
        <v>1580</v>
      </c>
      <c r="B9" s="115" t="s">
        <v>1596</v>
      </c>
      <c r="C9" s="129">
        <v>1.8</v>
      </c>
      <c r="D9" s="123" t="s">
        <v>1597</v>
      </c>
      <c r="E9" s="116"/>
      <c r="F9" s="135" t="s">
        <v>1864</v>
      </c>
      <c r="G9" s="142" t="s">
        <v>1583</v>
      </c>
      <c r="H9" s="138"/>
      <c r="I9" s="139"/>
    </row>
    <row r="10" spans="1:11" ht="34" hidden="1">
      <c r="A10" s="134" t="s">
        <v>1580</v>
      </c>
      <c r="B10" s="115" t="s">
        <v>1598</v>
      </c>
      <c r="C10" s="129">
        <v>1.9</v>
      </c>
      <c r="D10" s="123" t="s">
        <v>1599</v>
      </c>
      <c r="E10" s="116"/>
      <c r="F10" s="135" t="s">
        <v>1864</v>
      </c>
      <c r="G10" s="142" t="s">
        <v>1583</v>
      </c>
      <c r="H10" s="138"/>
      <c r="I10" s="139"/>
    </row>
    <row r="11" spans="1:11" ht="34" hidden="1">
      <c r="A11" s="134" t="s">
        <v>1580</v>
      </c>
      <c r="B11" s="115" t="s">
        <v>1600</v>
      </c>
      <c r="C11" s="126">
        <v>1.1000000000000001</v>
      </c>
      <c r="D11" s="123" t="s">
        <v>1601</v>
      </c>
      <c r="E11" s="116"/>
      <c r="F11" s="135" t="s">
        <v>1864</v>
      </c>
      <c r="G11" s="142" t="s">
        <v>1583</v>
      </c>
      <c r="H11" s="138"/>
      <c r="I11" s="139"/>
    </row>
    <row r="12" spans="1:11" ht="51" hidden="1">
      <c r="A12" s="134" t="s">
        <v>1580</v>
      </c>
      <c r="B12" s="115" t="s">
        <v>1602</v>
      </c>
      <c r="C12" s="126">
        <v>1.1100000000000001</v>
      </c>
      <c r="D12" s="123" t="s">
        <v>1603</v>
      </c>
      <c r="E12" s="116"/>
      <c r="F12" s="135" t="s">
        <v>1864</v>
      </c>
      <c r="G12" s="142" t="s">
        <v>1583</v>
      </c>
      <c r="H12" s="138"/>
      <c r="I12" s="139"/>
    </row>
    <row r="13" spans="1:11" ht="34" hidden="1">
      <c r="A13" s="134" t="s">
        <v>1580</v>
      </c>
      <c r="B13" s="115" t="s">
        <v>1604</v>
      </c>
      <c r="C13" s="126">
        <v>1.1200000000000001</v>
      </c>
      <c r="D13" s="123" t="s">
        <v>1605</v>
      </c>
      <c r="E13" s="116"/>
      <c r="F13" s="135" t="s">
        <v>1864</v>
      </c>
      <c r="G13" s="142" t="s">
        <v>1583</v>
      </c>
      <c r="H13" s="138"/>
      <c r="I13" s="139"/>
    </row>
    <row r="14" spans="1:11" ht="34" hidden="1">
      <c r="A14" s="134" t="s">
        <v>1580</v>
      </c>
      <c r="B14" s="115" t="s">
        <v>1606</v>
      </c>
      <c r="C14" s="126">
        <v>1.1299999999999999</v>
      </c>
      <c r="D14" s="123" t="s">
        <v>1607</v>
      </c>
      <c r="E14" s="116"/>
      <c r="F14" s="135" t="s">
        <v>1864</v>
      </c>
      <c r="G14" s="142" t="s">
        <v>1583</v>
      </c>
      <c r="H14" s="138"/>
      <c r="I14" s="139"/>
    </row>
    <row r="15" spans="1:11" ht="34" hidden="1">
      <c r="A15" s="134" t="s">
        <v>1580</v>
      </c>
      <c r="B15" s="118" t="s">
        <v>1608</v>
      </c>
      <c r="C15" s="126">
        <v>1.1399999999999999</v>
      </c>
      <c r="D15" s="124" t="s">
        <v>1609</v>
      </c>
      <c r="E15" s="119"/>
      <c r="F15" s="135" t="s">
        <v>1864</v>
      </c>
      <c r="G15" s="143" t="s">
        <v>1583</v>
      </c>
      <c r="H15" s="138"/>
      <c r="I15" s="139"/>
    </row>
    <row r="16" spans="1:11" ht="34" hidden="1">
      <c r="A16" s="134" t="s">
        <v>1580</v>
      </c>
      <c r="B16" s="115" t="s">
        <v>1610</v>
      </c>
      <c r="C16" s="126">
        <v>1.1499999999999999</v>
      </c>
      <c r="D16" s="123" t="s">
        <v>1611</v>
      </c>
      <c r="E16" s="116"/>
      <c r="F16" s="135" t="s">
        <v>1864</v>
      </c>
      <c r="G16" s="142" t="s">
        <v>1583</v>
      </c>
      <c r="H16" s="138"/>
      <c r="I16" s="139"/>
    </row>
    <row r="17" spans="1:9" ht="34" hidden="1">
      <c r="A17" s="134" t="s">
        <v>1580</v>
      </c>
      <c r="B17" s="115" t="s">
        <v>1612</v>
      </c>
      <c r="C17" s="126">
        <v>1.1599999999999999</v>
      </c>
      <c r="D17" s="123" t="s">
        <v>1613</v>
      </c>
      <c r="E17" s="116"/>
      <c r="F17" s="135" t="s">
        <v>1864</v>
      </c>
      <c r="G17" s="142" t="s">
        <v>1583</v>
      </c>
      <c r="H17" s="138"/>
      <c r="I17" s="139"/>
    </row>
    <row r="18" spans="1:9" ht="34">
      <c r="A18" s="134" t="s">
        <v>1614</v>
      </c>
      <c r="B18" s="121" t="s">
        <v>1615</v>
      </c>
      <c r="C18" s="129">
        <v>2.1</v>
      </c>
      <c r="D18" s="123" t="s">
        <v>1616</v>
      </c>
      <c r="E18" s="5" t="s">
        <v>9</v>
      </c>
      <c r="F18" s="135" t="s">
        <v>1864</v>
      </c>
      <c r="G18" s="117" t="s">
        <v>735</v>
      </c>
      <c r="H18" s="138"/>
      <c r="I18" s="139"/>
    </row>
    <row r="19" spans="1:9" ht="34">
      <c r="A19" s="134" t="s">
        <v>1614</v>
      </c>
      <c r="B19" s="115" t="s">
        <v>1617</v>
      </c>
      <c r="C19" s="129">
        <v>2.2000000000000002</v>
      </c>
      <c r="D19" s="123" t="s">
        <v>1618</v>
      </c>
      <c r="E19" s="5" t="s">
        <v>12</v>
      </c>
      <c r="F19" s="135" t="s">
        <v>1864</v>
      </c>
      <c r="G19" s="117" t="s">
        <v>732</v>
      </c>
      <c r="H19" s="138"/>
      <c r="I19" s="139"/>
    </row>
    <row r="20" spans="1:9" ht="34">
      <c r="A20" s="134" t="s">
        <v>1619</v>
      </c>
      <c r="B20" s="121" t="s">
        <v>1620</v>
      </c>
      <c r="C20" s="129">
        <v>3.1</v>
      </c>
      <c r="D20" s="123" t="s">
        <v>1621</v>
      </c>
      <c r="E20" s="5" t="s">
        <v>12</v>
      </c>
      <c r="F20" s="135" t="s">
        <v>1864</v>
      </c>
      <c r="G20" s="117" t="s">
        <v>772</v>
      </c>
      <c r="H20" s="138"/>
      <c r="I20" s="139"/>
    </row>
    <row r="21" spans="1:9" ht="34">
      <c r="A21" s="134" t="s">
        <v>1619</v>
      </c>
      <c r="B21" s="121" t="s">
        <v>1622</v>
      </c>
      <c r="C21" s="129">
        <v>3.2</v>
      </c>
      <c r="D21" s="123" t="s">
        <v>1623</v>
      </c>
      <c r="E21" s="5" t="s">
        <v>12</v>
      </c>
      <c r="F21" s="135" t="s">
        <v>1864</v>
      </c>
      <c r="G21" s="117" t="s">
        <v>774</v>
      </c>
      <c r="H21" s="138"/>
      <c r="I21" s="139"/>
    </row>
    <row r="22" spans="1:9" ht="34">
      <c r="A22" s="134" t="s">
        <v>1619</v>
      </c>
      <c r="B22" s="115" t="s">
        <v>1624</v>
      </c>
      <c r="C22" s="129">
        <v>3.3</v>
      </c>
      <c r="D22" s="123" t="s">
        <v>1625</v>
      </c>
      <c r="E22" s="5" t="s">
        <v>9</v>
      </c>
      <c r="F22" s="135" t="s">
        <v>1864</v>
      </c>
      <c r="G22" s="117" t="s">
        <v>774</v>
      </c>
      <c r="H22" s="138"/>
      <c r="I22" s="139"/>
    </row>
    <row r="23" spans="1:9" ht="34">
      <c r="A23" s="134" t="s">
        <v>1619</v>
      </c>
      <c r="B23" s="115" t="s">
        <v>1626</v>
      </c>
      <c r="C23" s="145" t="s">
        <v>1873</v>
      </c>
      <c r="D23" s="123" t="s">
        <v>1627</v>
      </c>
      <c r="E23" s="5" t="s">
        <v>9</v>
      </c>
      <c r="F23" s="135" t="s">
        <v>1864</v>
      </c>
      <c r="G23" s="117" t="s">
        <v>774</v>
      </c>
      <c r="H23" s="138"/>
      <c r="I23" s="139"/>
    </row>
    <row r="24" spans="1:9" ht="34">
      <c r="A24" s="134" t="s">
        <v>1619</v>
      </c>
      <c r="B24" s="115" t="s">
        <v>1628</v>
      </c>
      <c r="C24" s="145" t="s">
        <v>1874</v>
      </c>
      <c r="D24" s="123" t="s">
        <v>1629</v>
      </c>
      <c r="E24" s="5" t="s">
        <v>9</v>
      </c>
      <c r="F24" s="135" t="s">
        <v>1864</v>
      </c>
      <c r="G24" s="117" t="s">
        <v>774</v>
      </c>
      <c r="H24" s="138"/>
      <c r="I24" s="139"/>
    </row>
    <row r="25" spans="1:9" ht="34">
      <c r="A25" s="134" t="s">
        <v>1619</v>
      </c>
      <c r="B25" s="115" t="s">
        <v>1630</v>
      </c>
      <c r="C25" s="145" t="s">
        <v>1875</v>
      </c>
      <c r="D25" s="123" t="s">
        <v>1631</v>
      </c>
      <c r="E25" s="5" t="s">
        <v>9</v>
      </c>
      <c r="F25" s="135" t="s">
        <v>1864</v>
      </c>
      <c r="G25" s="117" t="s">
        <v>774</v>
      </c>
      <c r="H25" s="138"/>
      <c r="I25" s="139"/>
    </row>
    <row r="26" spans="1:9" ht="34">
      <c r="A26" s="134" t="s">
        <v>1619</v>
      </c>
      <c r="B26" s="115" t="s">
        <v>1632</v>
      </c>
      <c r="C26" s="145" t="s">
        <v>1876</v>
      </c>
      <c r="D26" s="123" t="s">
        <v>1633</v>
      </c>
      <c r="E26" s="5" t="s">
        <v>9</v>
      </c>
      <c r="F26" s="135" t="s">
        <v>1864</v>
      </c>
      <c r="G26" s="117" t="s">
        <v>774</v>
      </c>
      <c r="H26" s="138"/>
      <c r="I26" s="139"/>
    </row>
    <row r="27" spans="1:9" ht="34">
      <c r="A27" s="134" t="s">
        <v>1619</v>
      </c>
      <c r="B27" s="115" t="s">
        <v>1634</v>
      </c>
      <c r="C27" s="145" t="s">
        <v>1877</v>
      </c>
      <c r="D27" s="123" t="s">
        <v>1635</v>
      </c>
      <c r="E27" s="5" t="s">
        <v>9</v>
      </c>
      <c r="F27" s="135" t="s">
        <v>1864</v>
      </c>
      <c r="G27" s="117" t="s">
        <v>774</v>
      </c>
      <c r="H27" s="138"/>
      <c r="I27" s="139"/>
    </row>
    <row r="28" spans="1:9" ht="34">
      <c r="A28" s="134" t="s">
        <v>1619</v>
      </c>
      <c r="B28" s="121" t="s">
        <v>1636</v>
      </c>
      <c r="C28" s="145" t="s">
        <v>1878</v>
      </c>
      <c r="D28" s="123" t="s">
        <v>1637</v>
      </c>
      <c r="E28" s="5" t="s">
        <v>9</v>
      </c>
      <c r="F28" s="135" t="s">
        <v>1864</v>
      </c>
      <c r="G28" s="117" t="s">
        <v>774</v>
      </c>
      <c r="H28" s="138"/>
      <c r="I28" s="139"/>
    </row>
    <row r="29" spans="1:9" ht="34">
      <c r="A29" s="134" t="s">
        <v>1619</v>
      </c>
      <c r="B29" s="115" t="s">
        <v>1638</v>
      </c>
      <c r="C29" s="146" t="s">
        <v>1879</v>
      </c>
      <c r="D29" s="123" t="s">
        <v>1639</v>
      </c>
      <c r="E29" s="5" t="s">
        <v>9</v>
      </c>
      <c r="F29" s="135" t="s">
        <v>1864</v>
      </c>
      <c r="G29" s="117" t="s">
        <v>774</v>
      </c>
      <c r="H29" s="138"/>
      <c r="I29" s="139"/>
    </row>
    <row r="30" spans="1:9" ht="34">
      <c r="A30" s="134" t="s">
        <v>1619</v>
      </c>
      <c r="B30" s="115" t="s">
        <v>1640</v>
      </c>
      <c r="C30" s="146" t="s">
        <v>1880</v>
      </c>
      <c r="D30" s="123" t="s">
        <v>1641</v>
      </c>
      <c r="E30" s="5" t="s">
        <v>12</v>
      </c>
      <c r="F30" s="135" t="s">
        <v>1864</v>
      </c>
      <c r="G30" s="117" t="s">
        <v>774</v>
      </c>
      <c r="H30" s="138"/>
      <c r="I30" s="139"/>
    </row>
    <row r="31" spans="1:9" ht="34">
      <c r="A31" s="134" t="s">
        <v>1619</v>
      </c>
      <c r="B31" s="115" t="s">
        <v>1642</v>
      </c>
      <c r="C31" s="146" t="s">
        <v>1881</v>
      </c>
      <c r="D31" s="123" t="s">
        <v>1643</v>
      </c>
      <c r="E31" s="5" t="s">
        <v>12</v>
      </c>
      <c r="F31" s="135" t="s">
        <v>1864</v>
      </c>
      <c r="G31" s="117" t="s">
        <v>774</v>
      </c>
      <c r="H31" s="138"/>
      <c r="I31" s="139"/>
    </row>
    <row r="32" spans="1:9" ht="34">
      <c r="A32" s="134" t="s">
        <v>1619</v>
      </c>
      <c r="B32" s="115" t="s">
        <v>1644</v>
      </c>
      <c r="C32" s="146" t="s">
        <v>1882</v>
      </c>
      <c r="D32" s="123" t="s">
        <v>1645</v>
      </c>
      <c r="E32" s="5" t="s">
        <v>12</v>
      </c>
      <c r="F32" s="135" t="s">
        <v>1864</v>
      </c>
      <c r="G32" s="117" t="s">
        <v>774</v>
      </c>
      <c r="H32" s="138"/>
      <c r="I32" s="139"/>
    </row>
    <row r="33" spans="1:9" ht="34">
      <c r="A33" s="134" t="s">
        <v>1619</v>
      </c>
      <c r="B33" s="115" t="s">
        <v>1646</v>
      </c>
      <c r="C33" s="146" t="s">
        <v>1883</v>
      </c>
      <c r="D33" s="123" t="s">
        <v>1647</v>
      </c>
      <c r="E33" s="5" t="s">
        <v>12</v>
      </c>
      <c r="F33" s="135" t="s">
        <v>1864</v>
      </c>
      <c r="G33" s="117" t="s">
        <v>774</v>
      </c>
      <c r="H33" s="138"/>
      <c r="I33" s="139"/>
    </row>
    <row r="34" spans="1:9" ht="34">
      <c r="A34" s="134" t="s">
        <v>1619</v>
      </c>
      <c r="B34" s="115" t="s">
        <v>1648</v>
      </c>
      <c r="C34" s="146" t="s">
        <v>1884</v>
      </c>
      <c r="D34" s="124" t="s">
        <v>1649</v>
      </c>
      <c r="E34" s="5" t="s">
        <v>12</v>
      </c>
      <c r="F34" s="135" t="s">
        <v>1864</v>
      </c>
      <c r="G34" s="117" t="s">
        <v>774</v>
      </c>
      <c r="H34" s="138"/>
      <c r="I34" s="139"/>
    </row>
    <row r="35" spans="1:9" ht="34">
      <c r="A35" s="134" t="s">
        <v>1619</v>
      </c>
      <c r="B35" s="115" t="s">
        <v>1650</v>
      </c>
      <c r="C35" s="129">
        <v>3.4</v>
      </c>
      <c r="D35" s="123" t="s">
        <v>1651</v>
      </c>
      <c r="E35" s="5" t="s">
        <v>12</v>
      </c>
      <c r="F35" s="135" t="s">
        <v>1864</v>
      </c>
      <c r="G35" s="117" t="s">
        <v>774</v>
      </c>
      <c r="H35" s="138"/>
      <c r="I35" s="139"/>
    </row>
    <row r="36" spans="1:9" ht="34">
      <c r="A36" s="134" t="s">
        <v>1619</v>
      </c>
      <c r="B36" s="115" t="s">
        <v>1652</v>
      </c>
      <c r="C36" s="129">
        <v>3.5</v>
      </c>
      <c r="D36" s="123" t="s">
        <v>1653</v>
      </c>
      <c r="E36" s="5" t="s">
        <v>12</v>
      </c>
      <c r="F36" s="135" t="s">
        <v>1864</v>
      </c>
      <c r="G36" s="117" t="s">
        <v>774</v>
      </c>
      <c r="H36" s="138"/>
      <c r="I36" s="139"/>
    </row>
    <row r="37" spans="1:9" ht="34">
      <c r="A37" s="134" t="s">
        <v>1619</v>
      </c>
      <c r="B37" s="115" t="s">
        <v>1654</v>
      </c>
      <c r="C37" s="129">
        <v>3.6</v>
      </c>
      <c r="D37" s="123" t="s">
        <v>1655</v>
      </c>
      <c r="E37" s="5" t="s">
        <v>9</v>
      </c>
      <c r="F37" s="135" t="s">
        <v>1864</v>
      </c>
      <c r="G37" s="117" t="s">
        <v>774</v>
      </c>
      <c r="H37" s="138"/>
      <c r="I37" s="139"/>
    </row>
    <row r="38" spans="1:9" ht="34">
      <c r="A38" s="134" t="s">
        <v>1619</v>
      </c>
      <c r="B38" s="115" t="s">
        <v>1656</v>
      </c>
      <c r="C38" s="129">
        <v>3.7</v>
      </c>
      <c r="D38" s="123" t="s">
        <v>1657</v>
      </c>
      <c r="E38" s="5" t="s">
        <v>9</v>
      </c>
      <c r="F38" s="135" t="s">
        <v>1864</v>
      </c>
      <c r="G38" s="117" t="s">
        <v>774</v>
      </c>
      <c r="H38" s="138"/>
      <c r="I38" s="139"/>
    </row>
    <row r="39" spans="1:9" ht="34">
      <c r="A39" s="134" t="s">
        <v>1619</v>
      </c>
      <c r="B39" s="117" t="s">
        <v>1658</v>
      </c>
      <c r="C39" s="131">
        <v>3.8</v>
      </c>
      <c r="D39" s="123" t="s">
        <v>1659</v>
      </c>
      <c r="E39" s="5" t="s">
        <v>9</v>
      </c>
      <c r="F39" s="135" t="s">
        <v>1864</v>
      </c>
      <c r="G39" s="117" t="s">
        <v>774</v>
      </c>
      <c r="H39" s="138"/>
      <c r="I39" s="139"/>
    </row>
    <row r="40" spans="1:9" ht="34">
      <c r="A40" s="134" t="s">
        <v>1619</v>
      </c>
      <c r="B40" s="117" t="s">
        <v>1660</v>
      </c>
      <c r="C40" s="131">
        <v>3.9</v>
      </c>
      <c r="D40" s="123" t="s">
        <v>1661</v>
      </c>
      <c r="E40" s="5" t="s">
        <v>9</v>
      </c>
      <c r="F40" s="135" t="s">
        <v>1864</v>
      </c>
      <c r="G40" s="117" t="s">
        <v>774</v>
      </c>
      <c r="H40" s="138"/>
      <c r="I40" s="139"/>
    </row>
    <row r="41" spans="1:9" ht="34">
      <c r="A41" s="134" t="s">
        <v>1619</v>
      </c>
      <c r="B41" s="117" t="s">
        <v>1662</v>
      </c>
      <c r="C41" s="131">
        <v>3.1</v>
      </c>
      <c r="D41" s="123" t="s">
        <v>1663</v>
      </c>
      <c r="E41" s="5" t="s">
        <v>9</v>
      </c>
      <c r="F41" s="135" t="s">
        <v>1864</v>
      </c>
      <c r="G41" s="117" t="s">
        <v>774</v>
      </c>
      <c r="H41" s="138"/>
      <c r="I41" s="139"/>
    </row>
    <row r="42" spans="1:9" ht="34">
      <c r="A42" s="134" t="s">
        <v>1619</v>
      </c>
      <c r="B42" s="117" t="s">
        <v>1664</v>
      </c>
      <c r="C42" s="127">
        <v>3.11</v>
      </c>
      <c r="D42" s="123" t="s">
        <v>1665</v>
      </c>
      <c r="E42" s="5" t="s">
        <v>12</v>
      </c>
      <c r="F42" s="135" t="s">
        <v>1864</v>
      </c>
      <c r="G42" s="117" t="s">
        <v>774</v>
      </c>
      <c r="H42" s="138"/>
      <c r="I42" s="139"/>
    </row>
    <row r="43" spans="1:9" ht="34" hidden="1">
      <c r="A43" s="134" t="s">
        <v>1666</v>
      </c>
      <c r="B43" s="121" t="s">
        <v>1667</v>
      </c>
      <c r="C43" s="129">
        <v>4.0999999999999996</v>
      </c>
      <c r="D43" s="123" t="s">
        <v>1668</v>
      </c>
      <c r="E43" s="5"/>
      <c r="F43" s="135" t="s">
        <v>1864</v>
      </c>
      <c r="G43" s="142" t="s">
        <v>869</v>
      </c>
      <c r="H43" s="138"/>
      <c r="I43" s="139"/>
    </row>
    <row r="44" spans="1:9" ht="34" hidden="1">
      <c r="A44" s="134" t="s">
        <v>1666</v>
      </c>
      <c r="B44" s="121" t="s">
        <v>1669</v>
      </c>
      <c r="C44" s="129">
        <v>4.2</v>
      </c>
      <c r="D44" s="123" t="s">
        <v>1670</v>
      </c>
      <c r="E44" s="5"/>
      <c r="F44" s="135" t="s">
        <v>1864</v>
      </c>
      <c r="G44" s="142" t="s">
        <v>869</v>
      </c>
      <c r="H44" s="138"/>
      <c r="I44" s="139"/>
    </row>
    <row r="45" spans="1:9" ht="34" hidden="1">
      <c r="A45" s="134" t="s">
        <v>1666</v>
      </c>
      <c r="B45" s="121" t="s">
        <v>1671</v>
      </c>
      <c r="C45" s="129">
        <v>4.3</v>
      </c>
      <c r="D45" s="123" t="s">
        <v>1672</v>
      </c>
      <c r="E45" s="5"/>
      <c r="F45" s="135" t="s">
        <v>1864</v>
      </c>
      <c r="G45" s="142" t="s">
        <v>869</v>
      </c>
      <c r="H45" s="138"/>
      <c r="I45" s="139"/>
    </row>
    <row r="46" spans="1:9" ht="34" hidden="1">
      <c r="A46" s="134" t="s">
        <v>1666</v>
      </c>
      <c r="B46" s="121" t="s">
        <v>1673</v>
      </c>
      <c r="C46" s="129">
        <v>4.4000000000000004</v>
      </c>
      <c r="D46" s="123" t="s">
        <v>1674</v>
      </c>
      <c r="E46" s="5"/>
      <c r="F46" s="135" t="s">
        <v>1864</v>
      </c>
      <c r="G46" s="142" t="s">
        <v>869</v>
      </c>
      <c r="H46" s="138"/>
      <c r="I46" s="139"/>
    </row>
    <row r="47" spans="1:9" ht="34" hidden="1">
      <c r="A47" s="134" t="s">
        <v>1666</v>
      </c>
      <c r="B47" s="121" t="s">
        <v>1675</v>
      </c>
      <c r="C47" s="129">
        <v>4.5</v>
      </c>
      <c r="D47" s="123" t="s">
        <v>1676</v>
      </c>
      <c r="E47" s="5"/>
      <c r="F47" s="135" t="s">
        <v>1864</v>
      </c>
      <c r="G47" s="142" t="s">
        <v>869</v>
      </c>
      <c r="H47" s="138"/>
      <c r="I47" s="139"/>
    </row>
    <row r="48" spans="1:9" ht="34" hidden="1">
      <c r="A48" s="134" t="s">
        <v>1666</v>
      </c>
      <c r="B48" s="121" t="s">
        <v>1677</v>
      </c>
      <c r="C48" s="129">
        <v>4.5999999999999996</v>
      </c>
      <c r="D48" s="123" t="s">
        <v>1678</v>
      </c>
      <c r="E48" s="5"/>
      <c r="F48" s="135" t="s">
        <v>1864</v>
      </c>
      <c r="G48" s="142" t="s">
        <v>869</v>
      </c>
      <c r="H48" s="138"/>
      <c r="I48" s="139"/>
    </row>
    <row r="49" spans="1:9" ht="34" hidden="1">
      <c r="A49" s="134" t="s">
        <v>1666</v>
      </c>
      <c r="B49" s="121" t="s">
        <v>1679</v>
      </c>
      <c r="C49" s="129">
        <v>4.7</v>
      </c>
      <c r="D49" s="123" t="s">
        <v>1680</v>
      </c>
      <c r="E49" s="5"/>
      <c r="F49" s="135" t="s">
        <v>1864</v>
      </c>
      <c r="G49" s="142" t="s">
        <v>869</v>
      </c>
      <c r="H49" s="138"/>
      <c r="I49" s="139"/>
    </row>
    <row r="50" spans="1:9" ht="51">
      <c r="A50" s="134" t="s">
        <v>1681</v>
      </c>
      <c r="B50" s="122" t="s">
        <v>1682</v>
      </c>
      <c r="C50" s="132">
        <v>4.0999999999999996</v>
      </c>
      <c r="D50" s="124" t="s">
        <v>1683</v>
      </c>
      <c r="E50" s="5" t="s">
        <v>9</v>
      </c>
      <c r="F50" s="135" t="s">
        <v>1864</v>
      </c>
      <c r="G50" s="120"/>
      <c r="H50" s="138"/>
      <c r="I50" s="139"/>
    </row>
    <row r="51" spans="1:9" ht="51">
      <c r="A51" s="134" t="s">
        <v>1681</v>
      </c>
      <c r="B51" s="122" t="s">
        <v>1684</v>
      </c>
      <c r="C51" s="132">
        <v>4.2</v>
      </c>
      <c r="D51" s="124" t="s">
        <v>1899</v>
      </c>
      <c r="E51" s="5" t="s">
        <v>12</v>
      </c>
      <c r="F51" s="135" t="s">
        <v>1867</v>
      </c>
      <c r="G51" s="120"/>
      <c r="H51" s="138"/>
      <c r="I51" s="139"/>
    </row>
    <row r="52" spans="1:9" ht="51">
      <c r="A52" s="134" t="s">
        <v>1681</v>
      </c>
      <c r="B52" s="122" t="s">
        <v>1685</v>
      </c>
      <c r="C52" s="141" t="s">
        <v>1887</v>
      </c>
      <c r="D52" s="124" t="s">
        <v>1686</v>
      </c>
      <c r="E52" s="5" t="s">
        <v>12</v>
      </c>
      <c r="F52" s="135" t="s">
        <v>1867</v>
      </c>
      <c r="G52" s="120"/>
      <c r="H52" s="138"/>
      <c r="I52" s="139"/>
    </row>
    <row r="53" spans="1:9" ht="51">
      <c r="A53" s="134" t="s">
        <v>1681</v>
      </c>
      <c r="B53" s="122" t="s">
        <v>1687</v>
      </c>
      <c r="C53" s="141" t="s">
        <v>1888</v>
      </c>
      <c r="D53" s="124" t="s">
        <v>1688</v>
      </c>
      <c r="E53" s="5" t="s">
        <v>12</v>
      </c>
      <c r="F53" s="135" t="s">
        <v>1867</v>
      </c>
      <c r="G53" s="120"/>
      <c r="H53" s="138"/>
      <c r="I53" s="139"/>
    </row>
    <row r="54" spans="1:9" ht="51">
      <c r="A54" s="134" t="s">
        <v>1681</v>
      </c>
      <c r="B54" s="122" t="s">
        <v>1689</v>
      </c>
      <c r="C54" s="141" t="s">
        <v>1889</v>
      </c>
      <c r="D54" s="124" t="s">
        <v>1690</v>
      </c>
      <c r="E54" s="5" t="s">
        <v>12</v>
      </c>
      <c r="F54" s="135" t="s">
        <v>1867</v>
      </c>
      <c r="G54" s="120"/>
      <c r="H54" s="138"/>
      <c r="I54" s="139"/>
    </row>
    <row r="55" spans="1:9" ht="51">
      <c r="A55" s="134" t="s">
        <v>1681</v>
      </c>
      <c r="B55" s="122" t="s">
        <v>1691</v>
      </c>
      <c r="C55" s="141" t="s">
        <v>1890</v>
      </c>
      <c r="D55" s="124" t="s">
        <v>1692</v>
      </c>
      <c r="E55" s="5" t="s">
        <v>12</v>
      </c>
      <c r="F55" s="135" t="s">
        <v>1867</v>
      </c>
      <c r="G55" s="120"/>
      <c r="H55" s="138"/>
      <c r="I55" s="139"/>
    </row>
    <row r="56" spans="1:9" ht="34">
      <c r="A56" s="134" t="s">
        <v>1681</v>
      </c>
      <c r="B56" s="122" t="s">
        <v>1693</v>
      </c>
      <c r="C56" s="132">
        <v>4.3</v>
      </c>
      <c r="D56" s="124" t="s">
        <v>1900</v>
      </c>
      <c r="E56" s="5" t="s">
        <v>9</v>
      </c>
      <c r="F56" s="135" t="s">
        <v>1864</v>
      </c>
      <c r="G56" s="120"/>
      <c r="H56" s="138"/>
      <c r="I56" s="139"/>
    </row>
    <row r="57" spans="1:9" ht="34">
      <c r="A57" s="134" t="s">
        <v>1681</v>
      </c>
      <c r="B57" s="122" t="s">
        <v>1694</v>
      </c>
      <c r="C57" s="141" t="s">
        <v>1891</v>
      </c>
      <c r="D57" s="124" t="s">
        <v>1686</v>
      </c>
      <c r="E57" s="5" t="s">
        <v>12</v>
      </c>
      <c r="F57" s="135" t="s">
        <v>1864</v>
      </c>
      <c r="G57" s="120"/>
      <c r="H57" s="138"/>
      <c r="I57" s="139"/>
    </row>
    <row r="58" spans="1:9" ht="34">
      <c r="A58" s="134" t="s">
        <v>1681</v>
      </c>
      <c r="B58" s="122" t="s">
        <v>1695</v>
      </c>
      <c r="C58" s="141" t="s">
        <v>1892</v>
      </c>
      <c r="D58" s="124" t="s">
        <v>1688</v>
      </c>
      <c r="E58" s="5" t="s">
        <v>12</v>
      </c>
      <c r="F58" s="135" t="s">
        <v>1864</v>
      </c>
      <c r="G58" s="120"/>
      <c r="H58" s="138"/>
      <c r="I58" s="139"/>
    </row>
    <row r="59" spans="1:9" ht="34">
      <c r="A59" s="134" t="s">
        <v>1681</v>
      </c>
      <c r="B59" s="122" t="s">
        <v>1696</v>
      </c>
      <c r="C59" s="141" t="s">
        <v>1893</v>
      </c>
      <c r="D59" s="124" t="s">
        <v>1690</v>
      </c>
      <c r="E59" s="5" t="s">
        <v>12</v>
      </c>
      <c r="F59" s="135" t="s">
        <v>1864</v>
      </c>
      <c r="G59" s="120"/>
      <c r="H59" s="138"/>
      <c r="I59" s="139"/>
    </row>
    <row r="60" spans="1:9" ht="34">
      <c r="A60" s="134" t="s">
        <v>1681</v>
      </c>
      <c r="B60" s="122" t="s">
        <v>1697</v>
      </c>
      <c r="C60" s="141" t="s">
        <v>1894</v>
      </c>
      <c r="D60" s="124" t="s">
        <v>1692</v>
      </c>
      <c r="E60" s="5" t="s">
        <v>12</v>
      </c>
      <c r="F60" s="135" t="s">
        <v>1864</v>
      </c>
      <c r="G60" s="120"/>
      <c r="H60" s="138"/>
      <c r="I60" s="139"/>
    </row>
    <row r="61" spans="1:9" ht="34">
      <c r="A61" s="134" t="s">
        <v>1681</v>
      </c>
      <c r="B61" s="122" t="s">
        <v>1698</v>
      </c>
      <c r="C61" s="132">
        <v>4.4000000000000004</v>
      </c>
      <c r="D61" s="124" t="s">
        <v>1901</v>
      </c>
      <c r="E61" s="5" t="s">
        <v>9</v>
      </c>
      <c r="F61" s="135" t="s">
        <v>1864</v>
      </c>
      <c r="G61" s="120"/>
      <c r="H61" s="138"/>
      <c r="I61" s="139"/>
    </row>
    <row r="62" spans="1:9" ht="34">
      <c r="A62" s="134" t="s">
        <v>1681</v>
      </c>
      <c r="B62" s="122" t="s">
        <v>1699</v>
      </c>
      <c r="C62" s="141" t="s">
        <v>1895</v>
      </c>
      <c r="D62" s="124" t="s">
        <v>1686</v>
      </c>
      <c r="E62" s="5" t="s">
        <v>12</v>
      </c>
      <c r="F62" s="135" t="s">
        <v>1864</v>
      </c>
      <c r="G62" s="120"/>
      <c r="H62" s="138"/>
      <c r="I62" s="139"/>
    </row>
    <row r="63" spans="1:9" ht="34">
      <c r="A63" s="134" t="s">
        <v>1681</v>
      </c>
      <c r="B63" s="122" t="s">
        <v>1700</v>
      </c>
      <c r="C63" s="141" t="s">
        <v>1896</v>
      </c>
      <c r="D63" s="124" t="s">
        <v>1688</v>
      </c>
      <c r="E63" s="5" t="s">
        <v>12</v>
      </c>
      <c r="F63" s="135" t="s">
        <v>1864</v>
      </c>
      <c r="G63" s="120"/>
      <c r="H63" s="138"/>
      <c r="I63" s="139"/>
    </row>
    <row r="64" spans="1:9" ht="34">
      <c r="A64" s="134" t="s">
        <v>1681</v>
      </c>
      <c r="B64" s="122" t="s">
        <v>1701</v>
      </c>
      <c r="C64" s="141" t="s">
        <v>1897</v>
      </c>
      <c r="D64" s="124" t="s">
        <v>1690</v>
      </c>
      <c r="E64" s="5" t="s">
        <v>12</v>
      </c>
      <c r="F64" s="135" t="s">
        <v>1864</v>
      </c>
      <c r="G64" s="120"/>
      <c r="H64" s="138"/>
      <c r="I64" s="139"/>
    </row>
    <row r="65" spans="1:9" ht="34">
      <c r="A65" s="134" t="s">
        <v>1681</v>
      </c>
      <c r="B65" s="122" t="s">
        <v>1702</v>
      </c>
      <c r="C65" s="141" t="s">
        <v>1898</v>
      </c>
      <c r="D65" s="124" t="s">
        <v>1692</v>
      </c>
      <c r="E65" s="5" t="s">
        <v>12</v>
      </c>
      <c r="F65" s="135" t="s">
        <v>1864</v>
      </c>
      <c r="G65" s="120"/>
      <c r="H65" s="138"/>
      <c r="I65" s="139"/>
    </row>
    <row r="66" spans="1:9" ht="34">
      <c r="A66" s="134" t="s">
        <v>1681</v>
      </c>
      <c r="B66" s="122" t="s">
        <v>1703</v>
      </c>
      <c r="C66" s="132">
        <v>4.5</v>
      </c>
      <c r="D66" s="124" t="s">
        <v>1865</v>
      </c>
      <c r="E66" s="5" t="s">
        <v>9</v>
      </c>
      <c r="F66" s="135" t="s">
        <v>1864</v>
      </c>
      <c r="G66" s="120"/>
      <c r="H66" s="138"/>
      <c r="I66" s="139"/>
    </row>
    <row r="67" spans="1:9" ht="34">
      <c r="A67" s="134" t="s">
        <v>1681</v>
      </c>
      <c r="B67" s="122" t="s">
        <v>1704</v>
      </c>
      <c r="C67" s="141" t="s">
        <v>1902</v>
      </c>
      <c r="D67" s="124" t="s">
        <v>1686</v>
      </c>
      <c r="E67" s="5" t="s">
        <v>12</v>
      </c>
      <c r="F67" s="135" t="s">
        <v>1864</v>
      </c>
      <c r="G67" s="120"/>
      <c r="H67" s="138"/>
      <c r="I67" s="139"/>
    </row>
    <row r="68" spans="1:9" ht="34">
      <c r="A68" s="134" t="s">
        <v>1681</v>
      </c>
      <c r="B68" s="122" t="s">
        <v>1705</v>
      </c>
      <c r="C68" s="141" t="s">
        <v>1903</v>
      </c>
      <c r="D68" s="124" t="s">
        <v>1688</v>
      </c>
      <c r="E68" s="5" t="s">
        <v>12</v>
      </c>
      <c r="F68" s="135" t="s">
        <v>1864</v>
      </c>
      <c r="G68" s="120"/>
      <c r="H68" s="138"/>
      <c r="I68" s="139"/>
    </row>
    <row r="69" spans="1:9" ht="34">
      <c r="A69" s="134" t="s">
        <v>1681</v>
      </c>
      <c r="B69" s="122" t="s">
        <v>1706</v>
      </c>
      <c r="C69" s="141" t="s">
        <v>1904</v>
      </c>
      <c r="D69" s="124" t="s">
        <v>1690</v>
      </c>
      <c r="E69" s="5" t="s">
        <v>12</v>
      </c>
      <c r="F69" s="135" t="s">
        <v>1864</v>
      </c>
      <c r="G69" s="120"/>
      <c r="H69" s="138"/>
      <c r="I69" s="139"/>
    </row>
    <row r="70" spans="1:9" ht="34">
      <c r="A70" s="134" t="s">
        <v>1681</v>
      </c>
      <c r="B70" s="122" t="s">
        <v>1707</v>
      </c>
      <c r="C70" s="141" t="s">
        <v>1905</v>
      </c>
      <c r="D70" s="124" t="s">
        <v>1692</v>
      </c>
      <c r="E70" s="5" t="s">
        <v>12</v>
      </c>
      <c r="F70" s="135" t="s">
        <v>1864</v>
      </c>
      <c r="G70" s="120"/>
      <c r="H70" s="138"/>
      <c r="I70" s="139"/>
    </row>
    <row r="71" spans="1:9" ht="34">
      <c r="A71" s="134" t="s">
        <v>1681</v>
      </c>
      <c r="B71" s="122" t="s">
        <v>1708</v>
      </c>
      <c r="C71" s="132">
        <v>4.5999999999999996</v>
      </c>
      <c r="D71" s="124" t="s">
        <v>1866</v>
      </c>
      <c r="E71" s="5" t="s">
        <v>9</v>
      </c>
      <c r="F71" s="135" t="s">
        <v>1864</v>
      </c>
      <c r="G71" s="120"/>
      <c r="H71" s="138"/>
      <c r="I71" s="139"/>
    </row>
    <row r="72" spans="1:9" ht="34">
      <c r="A72" s="134" t="s">
        <v>1681</v>
      </c>
      <c r="B72" s="122" t="s">
        <v>1709</v>
      </c>
      <c r="C72" s="141" t="s">
        <v>1906</v>
      </c>
      <c r="D72" s="124" t="s">
        <v>1686</v>
      </c>
      <c r="E72" s="5" t="s">
        <v>12</v>
      </c>
      <c r="F72" s="135" t="s">
        <v>1864</v>
      </c>
      <c r="G72" s="120"/>
      <c r="H72" s="138"/>
      <c r="I72" s="139"/>
    </row>
    <row r="73" spans="1:9" ht="34">
      <c r="A73" s="134" t="s">
        <v>1681</v>
      </c>
      <c r="B73" s="122" t="s">
        <v>1710</v>
      </c>
      <c r="C73" s="141" t="s">
        <v>1907</v>
      </c>
      <c r="D73" s="124" t="s">
        <v>1688</v>
      </c>
      <c r="E73" s="5" t="s">
        <v>12</v>
      </c>
      <c r="F73" s="135" t="s">
        <v>1864</v>
      </c>
      <c r="G73" s="120"/>
      <c r="H73" s="138"/>
      <c r="I73" s="139"/>
    </row>
    <row r="74" spans="1:9" ht="34">
      <c r="A74" s="134" t="s">
        <v>1681</v>
      </c>
      <c r="B74" s="122" t="s">
        <v>1711</v>
      </c>
      <c r="C74" s="141" t="s">
        <v>1908</v>
      </c>
      <c r="D74" s="124" t="s">
        <v>1690</v>
      </c>
      <c r="E74" s="5" t="s">
        <v>12</v>
      </c>
      <c r="F74" s="135" t="s">
        <v>1864</v>
      </c>
      <c r="G74" s="120"/>
      <c r="H74" s="138"/>
      <c r="I74" s="139"/>
    </row>
    <row r="75" spans="1:9" ht="34">
      <c r="A75" s="134" t="s">
        <v>1681</v>
      </c>
      <c r="B75" s="122" t="s">
        <v>1712</v>
      </c>
      <c r="C75" s="141" t="s">
        <v>1909</v>
      </c>
      <c r="D75" s="124" t="s">
        <v>1692</v>
      </c>
      <c r="E75" s="5" t="s">
        <v>12</v>
      </c>
      <c r="F75" s="135" t="s">
        <v>1864</v>
      </c>
      <c r="G75" s="120"/>
      <c r="H75" s="138"/>
      <c r="I75" s="139"/>
    </row>
    <row r="76" spans="1:9" ht="34">
      <c r="A76" s="134" t="s">
        <v>1681</v>
      </c>
      <c r="B76" s="122" t="s">
        <v>1713</v>
      </c>
      <c r="C76" s="132">
        <v>4.7</v>
      </c>
      <c r="D76" s="124" t="s">
        <v>1714</v>
      </c>
      <c r="E76" s="5" t="s">
        <v>12</v>
      </c>
      <c r="F76" s="135" t="s">
        <v>1864</v>
      </c>
      <c r="G76" s="120"/>
      <c r="H76" s="138"/>
      <c r="I76" s="139"/>
    </row>
    <row r="77" spans="1:9" ht="34">
      <c r="A77" s="134" t="s">
        <v>1681</v>
      </c>
      <c r="B77" s="122" t="s">
        <v>1715</v>
      </c>
      <c r="C77" s="132">
        <v>4.8</v>
      </c>
      <c r="D77" s="124" t="s">
        <v>1716</v>
      </c>
      <c r="E77" s="5" t="s">
        <v>12</v>
      </c>
      <c r="F77" s="135" t="s">
        <v>1864</v>
      </c>
      <c r="G77" s="120"/>
      <c r="H77" s="138"/>
      <c r="I77" s="139"/>
    </row>
    <row r="78" spans="1:9" ht="34">
      <c r="A78" s="134" t="s">
        <v>1681</v>
      </c>
      <c r="B78" s="122" t="s">
        <v>1717</v>
      </c>
      <c r="C78" s="132">
        <v>4.9000000000000004</v>
      </c>
      <c r="D78" s="124" t="s">
        <v>1718</v>
      </c>
      <c r="E78" s="5" t="s">
        <v>12</v>
      </c>
      <c r="F78" s="135" t="s">
        <v>1864</v>
      </c>
      <c r="G78" s="120"/>
      <c r="H78" s="138"/>
      <c r="I78" s="139"/>
    </row>
    <row r="79" spans="1:9" ht="34">
      <c r="A79" s="134" t="s">
        <v>1681</v>
      </c>
      <c r="B79" s="122" t="s">
        <v>1719</v>
      </c>
      <c r="C79" s="128">
        <v>4.0999999999999996</v>
      </c>
      <c r="D79" s="124" t="s">
        <v>1720</v>
      </c>
      <c r="E79" s="5" t="s">
        <v>12</v>
      </c>
      <c r="F79" s="135" t="s">
        <v>1864</v>
      </c>
      <c r="G79" s="120"/>
      <c r="H79" s="138"/>
      <c r="I79" s="139"/>
    </row>
    <row r="80" spans="1:9" ht="34">
      <c r="A80" s="134" t="s">
        <v>1681</v>
      </c>
      <c r="B80" s="122" t="s">
        <v>1721</v>
      </c>
      <c r="C80" s="128">
        <v>4.1100000000000003</v>
      </c>
      <c r="D80" s="124" t="s">
        <v>1722</v>
      </c>
      <c r="E80" s="5" t="s">
        <v>12</v>
      </c>
      <c r="F80" s="135" t="s">
        <v>1864</v>
      </c>
      <c r="G80" s="120"/>
      <c r="H80" s="138"/>
      <c r="I80" s="139"/>
    </row>
    <row r="81" spans="1:9" ht="34">
      <c r="A81" s="134" t="s">
        <v>1681</v>
      </c>
      <c r="B81" s="122" t="s">
        <v>1723</v>
      </c>
      <c r="C81" s="128">
        <v>4.12</v>
      </c>
      <c r="D81" s="124" t="s">
        <v>1724</v>
      </c>
      <c r="E81" s="5" t="s">
        <v>12</v>
      </c>
      <c r="F81" s="135" t="s">
        <v>1864</v>
      </c>
      <c r="G81" s="120"/>
      <c r="H81" s="138"/>
      <c r="I81" s="139"/>
    </row>
    <row r="82" spans="1:9" ht="34">
      <c r="A82" s="134" t="s">
        <v>1681</v>
      </c>
      <c r="B82" s="122" t="s">
        <v>1725</v>
      </c>
      <c r="C82" s="128">
        <v>4.13</v>
      </c>
      <c r="D82" s="124" t="s">
        <v>1726</v>
      </c>
      <c r="E82" s="5" t="s">
        <v>9</v>
      </c>
      <c r="F82" s="135" t="s">
        <v>1864</v>
      </c>
      <c r="G82" s="120"/>
      <c r="H82" s="138"/>
      <c r="I82" s="139"/>
    </row>
    <row r="83" spans="1:9" ht="34">
      <c r="A83" s="134" t="s">
        <v>1681</v>
      </c>
      <c r="B83" s="122" t="s">
        <v>1727</v>
      </c>
      <c r="C83" s="128">
        <v>4.1399999999999997</v>
      </c>
      <c r="D83" s="124" t="s">
        <v>1728</v>
      </c>
      <c r="E83" s="5" t="s">
        <v>9</v>
      </c>
      <c r="F83" s="135" t="s">
        <v>1864</v>
      </c>
      <c r="G83" s="120"/>
      <c r="H83" s="138"/>
      <c r="I83" s="139"/>
    </row>
    <row r="84" spans="1:9" ht="34">
      <c r="A84" s="134" t="s">
        <v>1729</v>
      </c>
      <c r="B84" s="121" t="s">
        <v>1730</v>
      </c>
      <c r="C84" s="129"/>
      <c r="D84" s="123" t="s">
        <v>1731</v>
      </c>
      <c r="E84" s="5" t="s">
        <v>12</v>
      </c>
      <c r="F84" s="135" t="s">
        <v>1864</v>
      </c>
      <c r="G84" s="117" t="s">
        <v>857</v>
      </c>
      <c r="H84" s="138"/>
      <c r="I84" s="139"/>
    </row>
    <row r="85" spans="1:9" ht="34">
      <c r="A85" s="134" t="s">
        <v>1729</v>
      </c>
      <c r="B85" s="121" t="s">
        <v>1732</v>
      </c>
      <c r="C85" s="129"/>
      <c r="D85" s="123" t="s">
        <v>1733</v>
      </c>
      <c r="E85" s="5" t="s">
        <v>12</v>
      </c>
      <c r="F85" s="135" t="s">
        <v>1864</v>
      </c>
      <c r="G85" s="117" t="s">
        <v>857</v>
      </c>
      <c r="H85" s="138"/>
      <c r="I85" s="139"/>
    </row>
    <row r="86" spans="1:9" ht="34">
      <c r="A86" s="134" t="s">
        <v>1729</v>
      </c>
      <c r="B86" s="121" t="s">
        <v>1734</v>
      </c>
      <c r="C86" s="129"/>
      <c r="D86" s="123" t="s">
        <v>1735</v>
      </c>
      <c r="E86" s="5" t="s">
        <v>12</v>
      </c>
      <c r="F86" s="135" t="s">
        <v>1864</v>
      </c>
      <c r="G86" s="117" t="s">
        <v>857</v>
      </c>
      <c r="H86" s="138"/>
      <c r="I86" s="139"/>
    </row>
    <row r="87" spans="1:9" ht="34" hidden="1">
      <c r="A87" s="134" t="s">
        <v>1736</v>
      </c>
      <c r="B87" s="121" t="s">
        <v>1737</v>
      </c>
      <c r="C87" s="129"/>
      <c r="D87" s="123" t="s">
        <v>1738</v>
      </c>
      <c r="E87" s="5"/>
      <c r="F87" s="135" t="s">
        <v>1864</v>
      </c>
      <c r="G87" s="142" t="s">
        <v>1176</v>
      </c>
      <c r="H87" s="138"/>
      <c r="I87" s="139"/>
    </row>
    <row r="88" spans="1:9" ht="34" hidden="1">
      <c r="A88" s="134" t="s">
        <v>1739</v>
      </c>
      <c r="B88" s="121" t="s">
        <v>1740</v>
      </c>
      <c r="C88" s="129"/>
      <c r="D88" s="123" t="s">
        <v>1741</v>
      </c>
      <c r="E88" s="5"/>
      <c r="F88" s="135" t="s">
        <v>1864</v>
      </c>
      <c r="G88" s="142" t="s">
        <v>1112</v>
      </c>
      <c r="H88" s="138"/>
      <c r="I88" s="139"/>
    </row>
    <row r="89" spans="1:9" ht="34" hidden="1">
      <c r="A89" s="134" t="s">
        <v>1739</v>
      </c>
      <c r="B89" s="121" t="s">
        <v>1742</v>
      </c>
      <c r="C89" s="129"/>
      <c r="D89" s="123" t="s">
        <v>1743</v>
      </c>
      <c r="E89" s="5"/>
      <c r="F89" s="135" t="s">
        <v>1864</v>
      </c>
      <c r="G89" s="142" t="s">
        <v>1112</v>
      </c>
      <c r="H89" s="138"/>
      <c r="I89" s="139"/>
    </row>
    <row r="90" spans="1:9" ht="34">
      <c r="A90" s="134" t="s">
        <v>1744</v>
      </c>
      <c r="B90" s="121" t="s">
        <v>1745</v>
      </c>
      <c r="C90" s="129"/>
      <c r="D90" s="123" t="s">
        <v>1886</v>
      </c>
      <c r="E90" s="5" t="s">
        <v>9</v>
      </c>
      <c r="F90" s="135" t="s">
        <v>1864</v>
      </c>
      <c r="G90" s="117" t="s">
        <v>1149</v>
      </c>
      <c r="H90" s="138"/>
      <c r="I90" s="139"/>
    </row>
    <row r="91" spans="1:9" ht="34" hidden="1">
      <c r="A91" s="134" t="s">
        <v>1744</v>
      </c>
      <c r="B91" s="115" t="s">
        <v>1746</v>
      </c>
      <c r="C91" s="129"/>
      <c r="D91" s="123" t="s">
        <v>1747</v>
      </c>
      <c r="E91" s="5"/>
      <c r="F91" s="135" t="s">
        <v>1864</v>
      </c>
      <c r="G91" s="142" t="s">
        <v>829</v>
      </c>
      <c r="H91" s="138"/>
      <c r="I91" s="139"/>
    </row>
    <row r="92" spans="1:9" ht="34">
      <c r="A92" s="134" t="s">
        <v>1744</v>
      </c>
      <c r="B92" s="115" t="s">
        <v>1748</v>
      </c>
      <c r="C92" s="129"/>
      <c r="D92" s="123" t="s">
        <v>1749</v>
      </c>
      <c r="E92" s="5" t="s">
        <v>9</v>
      </c>
      <c r="F92" s="135" t="s">
        <v>1864</v>
      </c>
      <c r="G92" s="117" t="s">
        <v>782</v>
      </c>
      <c r="H92" s="138"/>
      <c r="I92" s="139"/>
    </row>
    <row r="93" spans="1:9" ht="34" hidden="1">
      <c r="A93" s="134" t="s">
        <v>1744</v>
      </c>
      <c r="B93" s="115" t="s">
        <v>1750</v>
      </c>
      <c r="C93" s="129"/>
      <c r="D93" s="123" t="s">
        <v>1751</v>
      </c>
      <c r="E93" s="5"/>
      <c r="F93" s="135" t="s">
        <v>1864</v>
      </c>
      <c r="G93" s="142" t="s">
        <v>859</v>
      </c>
      <c r="H93" s="138"/>
      <c r="I93" s="139"/>
    </row>
    <row r="94" spans="1:9" ht="34">
      <c r="A94" s="134" t="s">
        <v>1744</v>
      </c>
      <c r="B94" s="115" t="s">
        <v>1752</v>
      </c>
      <c r="C94" s="129"/>
      <c r="D94" s="123" t="s">
        <v>1753</v>
      </c>
      <c r="E94" s="5" t="s">
        <v>12</v>
      </c>
      <c r="F94" s="135" t="s">
        <v>1864</v>
      </c>
      <c r="G94" s="117" t="s">
        <v>774</v>
      </c>
      <c r="H94" s="138"/>
      <c r="I94" s="139"/>
    </row>
    <row r="95" spans="1:9" ht="34" hidden="1">
      <c r="A95" s="134" t="s">
        <v>1744</v>
      </c>
      <c r="B95" s="121" t="s">
        <v>1754</v>
      </c>
      <c r="C95" s="129"/>
      <c r="D95" s="123" t="s">
        <v>1755</v>
      </c>
      <c r="E95" s="5" t="s">
        <v>12</v>
      </c>
      <c r="F95" s="135" t="s">
        <v>1864</v>
      </c>
      <c r="G95" s="142" t="s">
        <v>1147</v>
      </c>
      <c r="H95" s="138"/>
      <c r="I95" s="139"/>
    </row>
    <row r="96" spans="1:9" ht="34">
      <c r="A96" s="134" t="s">
        <v>1744</v>
      </c>
      <c r="B96" s="121" t="s">
        <v>1756</v>
      </c>
      <c r="C96" s="129"/>
      <c r="D96" s="123" t="s">
        <v>1757</v>
      </c>
      <c r="E96" s="5" t="s">
        <v>12</v>
      </c>
      <c r="F96" s="135" t="s">
        <v>1864</v>
      </c>
      <c r="G96" s="117" t="s">
        <v>1149</v>
      </c>
      <c r="H96" s="138"/>
      <c r="I96" s="139"/>
    </row>
    <row r="97" spans="1:9" ht="34" hidden="1">
      <c r="A97" s="134" t="s">
        <v>1744</v>
      </c>
      <c r="B97" s="121" t="s">
        <v>1758</v>
      </c>
      <c r="C97" s="129">
        <v>9.8000000000000007</v>
      </c>
      <c r="D97" s="123" t="s">
        <v>1759</v>
      </c>
      <c r="E97" s="5" t="s">
        <v>12</v>
      </c>
      <c r="F97" s="135" t="s">
        <v>1864</v>
      </c>
      <c r="G97" s="142" t="s">
        <v>1151</v>
      </c>
      <c r="H97" s="138"/>
      <c r="I97" s="139"/>
    </row>
    <row r="98" spans="1:9" ht="34" hidden="1">
      <c r="A98" s="134" t="s">
        <v>1744</v>
      </c>
      <c r="B98" s="121" t="s">
        <v>1760</v>
      </c>
      <c r="C98" s="129">
        <v>9.9</v>
      </c>
      <c r="D98" s="123" t="s">
        <v>1761</v>
      </c>
      <c r="E98" s="5" t="s">
        <v>12</v>
      </c>
      <c r="F98" s="135" t="s">
        <v>1864</v>
      </c>
      <c r="G98" s="142" t="s">
        <v>833</v>
      </c>
      <c r="H98" s="138"/>
      <c r="I98" s="139"/>
    </row>
    <row r="99" spans="1:9" ht="51" hidden="1">
      <c r="A99" s="134" t="s">
        <v>1762</v>
      </c>
      <c r="B99" s="121" t="s">
        <v>1763</v>
      </c>
      <c r="C99" s="129">
        <v>10.1</v>
      </c>
      <c r="D99" s="123" t="s">
        <v>1764</v>
      </c>
      <c r="E99" s="5" t="s">
        <v>12</v>
      </c>
      <c r="F99" s="135" t="s">
        <v>1864</v>
      </c>
      <c r="G99" s="142" t="s">
        <v>1102</v>
      </c>
      <c r="H99" s="138"/>
      <c r="I99" s="139"/>
    </row>
    <row r="100" spans="1:9" ht="34" hidden="1">
      <c r="A100" s="134" t="s">
        <v>1762</v>
      </c>
      <c r="B100" s="121" t="s">
        <v>1765</v>
      </c>
      <c r="C100" s="129">
        <v>10.199999999999999</v>
      </c>
      <c r="D100" s="124" t="s">
        <v>1766</v>
      </c>
      <c r="E100" s="5" t="s">
        <v>12</v>
      </c>
      <c r="F100" s="135" t="s">
        <v>1864</v>
      </c>
      <c r="G100" s="142" t="s">
        <v>1072</v>
      </c>
      <c r="H100" s="138"/>
      <c r="I100" s="139"/>
    </row>
    <row r="101" spans="1:9" ht="34" hidden="1">
      <c r="A101" s="134" t="s">
        <v>1767</v>
      </c>
      <c r="B101" s="121" t="s">
        <v>1768</v>
      </c>
      <c r="C101" s="129"/>
      <c r="D101" s="123" t="s">
        <v>1769</v>
      </c>
      <c r="E101" s="5" t="s">
        <v>12</v>
      </c>
      <c r="F101" s="135" t="s">
        <v>1864</v>
      </c>
      <c r="G101" s="142" t="s">
        <v>869</v>
      </c>
      <c r="H101" s="138"/>
      <c r="I101" s="139"/>
    </row>
    <row r="102" spans="1:9" ht="34" hidden="1">
      <c r="A102" s="134" t="s">
        <v>1767</v>
      </c>
      <c r="B102" s="115" t="s">
        <v>1770</v>
      </c>
      <c r="C102" s="129"/>
      <c r="D102" s="123" t="s">
        <v>1771</v>
      </c>
      <c r="E102" s="5" t="s">
        <v>12</v>
      </c>
      <c r="F102" s="135" t="s">
        <v>1864</v>
      </c>
      <c r="G102" s="142" t="s">
        <v>869</v>
      </c>
      <c r="H102" s="138"/>
      <c r="I102" s="139"/>
    </row>
    <row r="103" spans="1:9" ht="34">
      <c r="A103" s="134" t="s">
        <v>1767</v>
      </c>
      <c r="B103" s="121" t="s">
        <v>1772</v>
      </c>
      <c r="C103" s="129"/>
      <c r="D103" s="123" t="s">
        <v>1773</v>
      </c>
      <c r="E103" s="5" t="s">
        <v>12</v>
      </c>
      <c r="F103" s="135" t="s">
        <v>1864</v>
      </c>
      <c r="G103" s="117" t="s">
        <v>875</v>
      </c>
      <c r="H103" s="138"/>
      <c r="I103" s="139"/>
    </row>
    <row r="104" spans="1:9" ht="34" hidden="1">
      <c r="A104" s="134" t="s">
        <v>1767</v>
      </c>
      <c r="B104" s="121" t="s">
        <v>1774</v>
      </c>
      <c r="C104" s="129"/>
      <c r="D104" s="123" t="s">
        <v>1775</v>
      </c>
      <c r="E104" s="5"/>
      <c r="F104" s="135" t="s">
        <v>1864</v>
      </c>
      <c r="G104" s="142" t="s">
        <v>869</v>
      </c>
      <c r="H104" s="138"/>
      <c r="I104" s="139"/>
    </row>
    <row r="105" spans="1:9" ht="34">
      <c r="A105" s="134" t="s">
        <v>1767</v>
      </c>
      <c r="B105" s="121" t="s">
        <v>1776</v>
      </c>
      <c r="C105" s="129"/>
      <c r="D105" s="123" t="s">
        <v>1777</v>
      </c>
      <c r="E105" s="5" t="s">
        <v>9</v>
      </c>
      <c r="F105" s="135" t="s">
        <v>1864</v>
      </c>
      <c r="G105" s="117" t="s">
        <v>1024</v>
      </c>
      <c r="H105" s="138"/>
      <c r="I105" s="139"/>
    </row>
    <row r="106" spans="1:9" ht="34" hidden="1">
      <c r="A106" s="134" t="s">
        <v>1767</v>
      </c>
      <c r="B106" s="122" t="s">
        <v>1778</v>
      </c>
      <c r="C106" s="132"/>
      <c r="D106" s="124" t="s">
        <v>1779</v>
      </c>
      <c r="E106" s="5"/>
      <c r="F106" s="135" t="s">
        <v>1864</v>
      </c>
      <c r="G106" s="143" t="s">
        <v>869</v>
      </c>
      <c r="H106" s="138"/>
      <c r="I106" s="139"/>
    </row>
    <row r="107" spans="1:9" ht="34" hidden="1">
      <c r="A107" s="134" t="s">
        <v>1767</v>
      </c>
      <c r="B107" s="121" t="s">
        <v>1780</v>
      </c>
      <c r="C107" s="129"/>
      <c r="D107" s="123" t="s">
        <v>1781</v>
      </c>
      <c r="E107" s="5"/>
      <c r="F107" s="135" t="s">
        <v>1864</v>
      </c>
      <c r="G107" s="142" t="s">
        <v>869</v>
      </c>
      <c r="H107" s="138"/>
      <c r="I107" s="139"/>
    </row>
    <row r="108" spans="1:9" ht="34" hidden="1">
      <c r="A108" s="134" t="s">
        <v>1767</v>
      </c>
      <c r="B108" s="121" t="s">
        <v>1782</v>
      </c>
      <c r="C108" s="129"/>
      <c r="D108" s="123" t="s">
        <v>1783</v>
      </c>
      <c r="E108" s="5"/>
      <c r="F108" s="135" t="s">
        <v>1864</v>
      </c>
      <c r="G108" s="142" t="s">
        <v>869</v>
      </c>
      <c r="H108" s="138"/>
      <c r="I108" s="139"/>
    </row>
    <row r="109" spans="1:9" ht="34" hidden="1">
      <c r="A109" s="134" t="s">
        <v>1767</v>
      </c>
      <c r="B109" s="121" t="s">
        <v>1784</v>
      </c>
      <c r="C109" s="129"/>
      <c r="D109" s="123" t="s">
        <v>1785</v>
      </c>
      <c r="E109" s="5"/>
      <c r="F109" s="135" t="s">
        <v>1864</v>
      </c>
      <c r="G109" s="142" t="s">
        <v>869</v>
      </c>
      <c r="H109" s="138"/>
      <c r="I109" s="139"/>
    </row>
    <row r="110" spans="1:9" ht="34">
      <c r="A110" s="134" t="s">
        <v>1786</v>
      </c>
      <c r="B110" s="115" t="s">
        <v>1787</v>
      </c>
      <c r="C110" s="129"/>
      <c r="D110" s="123" t="s">
        <v>1788</v>
      </c>
      <c r="E110" s="5" t="s">
        <v>9</v>
      </c>
      <c r="F110" s="135" t="s">
        <v>1864</v>
      </c>
      <c r="G110" s="117" t="s">
        <v>941</v>
      </c>
      <c r="H110" s="138"/>
      <c r="I110" s="139"/>
    </row>
    <row r="111" spans="1:9" ht="51">
      <c r="A111" s="134" t="s">
        <v>1786</v>
      </c>
      <c r="B111" s="115" t="s">
        <v>1789</v>
      </c>
      <c r="C111" s="129"/>
      <c r="D111" s="123" t="s">
        <v>1790</v>
      </c>
      <c r="E111" s="5" t="s">
        <v>12</v>
      </c>
      <c r="F111" s="135" t="s">
        <v>1867</v>
      </c>
      <c r="G111" s="117" t="s">
        <v>941</v>
      </c>
      <c r="H111" s="138"/>
      <c r="I111" s="139"/>
    </row>
    <row r="112" spans="1:9" ht="51">
      <c r="A112" s="134" t="s">
        <v>1786</v>
      </c>
      <c r="B112" s="115" t="s">
        <v>1791</v>
      </c>
      <c r="C112" s="129"/>
      <c r="D112" s="123" t="s">
        <v>1792</v>
      </c>
      <c r="E112" s="5" t="s">
        <v>12</v>
      </c>
      <c r="F112" s="135" t="s">
        <v>1867</v>
      </c>
      <c r="G112" s="117" t="s">
        <v>941</v>
      </c>
      <c r="H112" s="138"/>
      <c r="I112" s="139"/>
    </row>
    <row r="113" spans="1:9" ht="51">
      <c r="A113" s="134" t="s">
        <v>1786</v>
      </c>
      <c r="B113" s="115" t="s">
        <v>1793</v>
      </c>
      <c r="C113" s="129"/>
      <c r="D113" s="123" t="s">
        <v>1794</v>
      </c>
      <c r="E113" s="5" t="s">
        <v>12</v>
      </c>
      <c r="F113" s="135" t="s">
        <v>1867</v>
      </c>
      <c r="G113" s="117" t="s">
        <v>941</v>
      </c>
      <c r="H113" s="138"/>
      <c r="I113" s="139"/>
    </row>
    <row r="114" spans="1:9" ht="34">
      <c r="A114" s="134" t="s">
        <v>1786</v>
      </c>
      <c r="B114" s="115" t="s">
        <v>1795</v>
      </c>
      <c r="C114" s="129"/>
      <c r="D114" s="124" t="s">
        <v>1796</v>
      </c>
      <c r="E114" s="5" t="s">
        <v>12</v>
      </c>
      <c r="F114" s="135" t="s">
        <v>1864</v>
      </c>
      <c r="G114" s="117" t="s">
        <v>823</v>
      </c>
      <c r="H114" s="138"/>
      <c r="I114" s="139"/>
    </row>
    <row r="115" spans="1:9" ht="34" hidden="1">
      <c r="A115" s="134" t="s">
        <v>1786</v>
      </c>
      <c r="B115" s="115" t="s">
        <v>1797</v>
      </c>
      <c r="C115" s="129"/>
      <c r="D115" s="123" t="s">
        <v>1798</v>
      </c>
      <c r="E115" s="5"/>
      <c r="F115" s="135" t="s">
        <v>1864</v>
      </c>
      <c r="G115" s="142" t="s">
        <v>213</v>
      </c>
      <c r="H115" s="138"/>
      <c r="I115" s="139"/>
    </row>
    <row r="116" spans="1:9" ht="34" hidden="1">
      <c r="A116" s="134" t="s">
        <v>1786</v>
      </c>
      <c r="B116" s="115" t="s">
        <v>1799</v>
      </c>
      <c r="C116" s="129"/>
      <c r="D116" s="123" t="s">
        <v>1800</v>
      </c>
      <c r="E116" s="5"/>
      <c r="F116" s="135" t="s">
        <v>1864</v>
      </c>
      <c r="G116" s="142" t="s">
        <v>213</v>
      </c>
      <c r="H116" s="138"/>
      <c r="I116" s="139"/>
    </row>
    <row r="117" spans="1:9" ht="34" hidden="1">
      <c r="A117" s="134" t="s">
        <v>1786</v>
      </c>
      <c r="B117" s="115" t="s">
        <v>1801</v>
      </c>
      <c r="C117" s="129"/>
      <c r="D117" s="123" t="s">
        <v>1802</v>
      </c>
      <c r="E117" s="5"/>
      <c r="F117" s="135" t="s">
        <v>1864</v>
      </c>
      <c r="G117" s="142" t="s">
        <v>213</v>
      </c>
      <c r="H117" s="138"/>
      <c r="I117" s="139"/>
    </row>
    <row r="118" spans="1:9" ht="34">
      <c r="A118" s="134" t="s">
        <v>1803</v>
      </c>
      <c r="B118" s="115" t="s">
        <v>1804</v>
      </c>
      <c r="C118" s="129"/>
      <c r="D118" s="123" t="s">
        <v>1805</v>
      </c>
      <c r="E118" s="5" t="s">
        <v>9</v>
      </c>
      <c r="F118" s="135" t="s">
        <v>1864</v>
      </c>
      <c r="G118" s="117" t="s">
        <v>745</v>
      </c>
      <c r="H118" s="138"/>
      <c r="I118" s="139"/>
    </row>
    <row r="119" spans="1:9" ht="34">
      <c r="A119" s="134" t="s">
        <v>1803</v>
      </c>
      <c r="B119" s="115" t="s">
        <v>1806</v>
      </c>
      <c r="C119" s="129"/>
      <c r="D119" s="123" t="s">
        <v>1807</v>
      </c>
      <c r="E119" s="5" t="s">
        <v>12</v>
      </c>
      <c r="F119" s="135" t="s">
        <v>1864</v>
      </c>
      <c r="G119" s="117" t="s">
        <v>1038</v>
      </c>
      <c r="H119" s="138"/>
      <c r="I119" s="139"/>
    </row>
    <row r="120" spans="1:9" ht="34" hidden="1">
      <c r="A120" s="134" t="s">
        <v>1803</v>
      </c>
      <c r="B120" s="115" t="s">
        <v>1808</v>
      </c>
      <c r="C120" s="129"/>
      <c r="D120" s="123" t="s">
        <v>1809</v>
      </c>
      <c r="E120" s="5" t="s">
        <v>12</v>
      </c>
      <c r="F120" s="135" t="s">
        <v>1864</v>
      </c>
      <c r="G120" s="142" t="s">
        <v>213</v>
      </c>
      <c r="H120" s="138"/>
      <c r="I120" s="139"/>
    </row>
    <row r="121" spans="1:9" ht="34">
      <c r="A121" s="134" t="s">
        <v>1803</v>
      </c>
      <c r="B121" s="115" t="s">
        <v>1810</v>
      </c>
      <c r="C121" s="129"/>
      <c r="D121" s="123" t="s">
        <v>1811</v>
      </c>
      <c r="E121" s="5" t="s">
        <v>12</v>
      </c>
      <c r="F121" s="135" t="s">
        <v>1864</v>
      </c>
      <c r="G121" s="117" t="s">
        <v>714</v>
      </c>
      <c r="H121" s="138"/>
      <c r="I121" s="139"/>
    </row>
    <row r="122" spans="1:9" ht="34" hidden="1">
      <c r="A122" s="134" t="s">
        <v>1803</v>
      </c>
      <c r="B122" s="115" t="s">
        <v>1812</v>
      </c>
      <c r="C122" s="129"/>
      <c r="D122" s="123" t="s">
        <v>1813</v>
      </c>
      <c r="E122" s="5"/>
      <c r="F122" s="135" t="s">
        <v>1864</v>
      </c>
      <c r="G122" s="142" t="s">
        <v>833</v>
      </c>
      <c r="H122" s="138"/>
      <c r="I122" s="139"/>
    </row>
    <row r="123" spans="1:9" ht="34" hidden="1">
      <c r="A123" s="134" t="s">
        <v>1803</v>
      </c>
      <c r="B123" s="115" t="s">
        <v>1814</v>
      </c>
      <c r="C123" s="129"/>
      <c r="D123" s="123" t="s">
        <v>1815</v>
      </c>
      <c r="E123" s="5"/>
      <c r="F123" s="135" t="s">
        <v>1864</v>
      </c>
      <c r="G123" s="142" t="s">
        <v>833</v>
      </c>
      <c r="H123" s="138"/>
      <c r="I123" s="139"/>
    </row>
    <row r="124" spans="1:9" ht="34" hidden="1">
      <c r="A124" s="134" t="s">
        <v>1803</v>
      </c>
      <c r="B124" s="115" t="s">
        <v>1816</v>
      </c>
      <c r="C124" s="129"/>
      <c r="D124" s="123" t="s">
        <v>1817</v>
      </c>
      <c r="E124" s="5"/>
      <c r="F124" s="135" t="s">
        <v>1864</v>
      </c>
      <c r="G124" s="142" t="s">
        <v>213</v>
      </c>
      <c r="H124" s="138"/>
      <c r="I124" s="139"/>
    </row>
    <row r="125" spans="1:9" ht="34" hidden="1">
      <c r="A125" s="134" t="s">
        <v>1803</v>
      </c>
      <c r="B125" s="115" t="s">
        <v>1818</v>
      </c>
      <c r="C125" s="129"/>
      <c r="D125" s="123" t="s">
        <v>1819</v>
      </c>
      <c r="E125" s="5"/>
      <c r="F125" s="135" t="s">
        <v>1864</v>
      </c>
      <c r="G125" s="142" t="s">
        <v>833</v>
      </c>
      <c r="H125" s="138"/>
      <c r="I125" s="139"/>
    </row>
    <row r="126" spans="1:9" ht="34" hidden="1">
      <c r="A126" s="134" t="s">
        <v>1803</v>
      </c>
      <c r="B126" s="115" t="s">
        <v>1820</v>
      </c>
      <c r="C126" s="129"/>
      <c r="D126" s="123" t="s">
        <v>1821</v>
      </c>
      <c r="E126" s="5"/>
      <c r="F126" s="135" t="s">
        <v>1864</v>
      </c>
      <c r="G126" s="142" t="s">
        <v>833</v>
      </c>
      <c r="H126" s="138"/>
      <c r="I126" s="139"/>
    </row>
    <row r="127" spans="1:9" ht="34" hidden="1">
      <c r="A127" s="134" t="s">
        <v>1803</v>
      </c>
      <c r="B127" s="115" t="s">
        <v>1822</v>
      </c>
      <c r="C127" s="129"/>
      <c r="D127" s="123" t="s">
        <v>1823</v>
      </c>
      <c r="E127" s="5"/>
      <c r="F127" s="135" t="s">
        <v>1864</v>
      </c>
      <c r="G127" s="142" t="s">
        <v>833</v>
      </c>
      <c r="H127" s="138"/>
      <c r="I127" s="139"/>
    </row>
    <row r="128" spans="1:9" ht="34" hidden="1">
      <c r="A128" s="134" t="s">
        <v>1803</v>
      </c>
      <c r="B128" s="115" t="s">
        <v>1824</v>
      </c>
      <c r="C128" s="129"/>
      <c r="D128" s="123" t="s">
        <v>1825</v>
      </c>
      <c r="E128" s="5"/>
      <c r="F128" s="135" t="s">
        <v>1864</v>
      </c>
      <c r="G128" s="142" t="s">
        <v>1050</v>
      </c>
      <c r="H128" s="138"/>
      <c r="I128" s="139"/>
    </row>
    <row r="129" spans="1:9" ht="34" hidden="1">
      <c r="A129" s="134" t="s">
        <v>1803</v>
      </c>
      <c r="B129" s="115" t="s">
        <v>1826</v>
      </c>
      <c r="C129" s="129"/>
      <c r="D129" s="123" t="s">
        <v>1827</v>
      </c>
      <c r="E129" s="5"/>
      <c r="F129" s="135" t="s">
        <v>1864</v>
      </c>
      <c r="G129" s="142" t="s">
        <v>831</v>
      </c>
      <c r="H129" s="138"/>
      <c r="I129" s="139"/>
    </row>
    <row r="130" spans="1:9" ht="34" hidden="1">
      <c r="A130" s="134" t="s">
        <v>1803</v>
      </c>
      <c r="B130" s="115" t="s">
        <v>1828</v>
      </c>
      <c r="C130" s="129"/>
      <c r="D130" s="123" t="s">
        <v>1829</v>
      </c>
      <c r="E130" s="5"/>
      <c r="F130" s="135" t="s">
        <v>1864</v>
      </c>
      <c r="G130" s="142" t="s">
        <v>1147</v>
      </c>
      <c r="H130" s="138"/>
      <c r="I130" s="139"/>
    </row>
    <row r="131" spans="1:9" ht="34">
      <c r="A131" s="134" t="s">
        <v>1830</v>
      </c>
      <c r="B131" s="115" t="s">
        <v>1831</v>
      </c>
      <c r="C131" s="129"/>
      <c r="D131" s="123" t="s">
        <v>1832</v>
      </c>
      <c r="E131" s="5" t="s">
        <v>9</v>
      </c>
      <c r="F131" s="135" t="s">
        <v>1864</v>
      </c>
      <c r="G131" s="117" t="s">
        <v>1833</v>
      </c>
      <c r="H131" s="138"/>
      <c r="I131" s="139"/>
    </row>
    <row r="132" spans="1:9" ht="34">
      <c r="A132" s="134" t="s">
        <v>1830</v>
      </c>
      <c r="B132" s="115" t="s">
        <v>1834</v>
      </c>
      <c r="C132" s="129"/>
      <c r="D132" s="123" t="s">
        <v>1835</v>
      </c>
      <c r="E132" s="5" t="s">
        <v>9</v>
      </c>
      <c r="F132" s="135" t="s">
        <v>1864</v>
      </c>
      <c r="G132" s="117" t="s">
        <v>931</v>
      </c>
      <c r="H132" s="138"/>
      <c r="I132" s="139"/>
    </row>
    <row r="133" spans="1:9" ht="34">
      <c r="A133" s="134" t="s">
        <v>1830</v>
      </c>
      <c r="B133" s="115" t="s">
        <v>1836</v>
      </c>
      <c r="C133" s="129"/>
      <c r="D133" s="123" t="s">
        <v>1837</v>
      </c>
      <c r="E133" s="5" t="s">
        <v>9</v>
      </c>
      <c r="F133" s="135" t="s">
        <v>1864</v>
      </c>
      <c r="G133" s="117" t="s">
        <v>720</v>
      </c>
      <c r="H133" s="138"/>
      <c r="I133" s="139"/>
    </row>
    <row r="134" spans="1:9" ht="34" hidden="1">
      <c r="A134" s="134" t="s">
        <v>1838</v>
      </c>
      <c r="B134" s="115" t="s">
        <v>1839</v>
      </c>
      <c r="C134" s="129"/>
      <c r="D134" s="123" t="s">
        <v>1840</v>
      </c>
      <c r="E134" s="5"/>
      <c r="F134" s="135" t="s">
        <v>1864</v>
      </c>
      <c r="G134" s="142" t="s">
        <v>1112</v>
      </c>
      <c r="H134" s="138"/>
      <c r="I134" s="139"/>
    </row>
    <row r="135" spans="1:9" ht="34" hidden="1">
      <c r="A135" s="134" t="s">
        <v>1838</v>
      </c>
      <c r="B135" s="115" t="s">
        <v>1841</v>
      </c>
      <c r="C135" s="129"/>
      <c r="D135" s="123" t="s">
        <v>1842</v>
      </c>
      <c r="E135" s="5"/>
      <c r="F135" s="135" t="s">
        <v>1864</v>
      </c>
      <c r="G135" s="142" t="s">
        <v>1112</v>
      </c>
      <c r="H135" s="138"/>
      <c r="I135" s="139"/>
    </row>
    <row r="136" spans="1:9" ht="34" hidden="1">
      <c r="A136" s="134" t="s">
        <v>1843</v>
      </c>
      <c r="B136" s="115" t="s">
        <v>1844</v>
      </c>
      <c r="C136" s="129"/>
      <c r="D136" s="123" t="s">
        <v>1845</v>
      </c>
      <c r="E136" s="5"/>
      <c r="F136" s="135" t="s">
        <v>1864</v>
      </c>
      <c r="G136" s="142" t="s">
        <v>833</v>
      </c>
      <c r="H136" s="138"/>
      <c r="I136" s="139"/>
    </row>
    <row r="137" spans="1:9" ht="34" hidden="1">
      <c r="A137" s="134" t="s">
        <v>1843</v>
      </c>
      <c r="B137" s="115" t="s">
        <v>1846</v>
      </c>
      <c r="C137" s="129"/>
      <c r="D137" s="123" t="s">
        <v>1847</v>
      </c>
      <c r="E137" s="5"/>
      <c r="F137" s="135" t="s">
        <v>1864</v>
      </c>
      <c r="G137" s="142" t="s">
        <v>833</v>
      </c>
      <c r="H137" s="138"/>
      <c r="I137" s="139"/>
    </row>
    <row r="138" spans="1:9" ht="34" hidden="1">
      <c r="A138" s="134" t="s">
        <v>1843</v>
      </c>
      <c r="B138" s="115" t="s">
        <v>1848</v>
      </c>
      <c r="C138" s="129"/>
      <c r="D138" s="123" t="s">
        <v>1849</v>
      </c>
      <c r="E138" s="5"/>
      <c r="F138" s="135" t="s">
        <v>1864</v>
      </c>
      <c r="G138" s="142" t="s">
        <v>833</v>
      </c>
      <c r="H138" s="138"/>
      <c r="I138" s="139"/>
    </row>
    <row r="139" spans="1:9" ht="34" hidden="1">
      <c r="A139" s="134" t="s">
        <v>1843</v>
      </c>
      <c r="B139" s="115" t="s">
        <v>1850</v>
      </c>
      <c r="C139" s="129"/>
      <c r="D139" s="123" t="s">
        <v>1851</v>
      </c>
      <c r="E139" s="5"/>
      <c r="F139" s="135" t="s">
        <v>1864</v>
      </c>
      <c r="G139" s="142" t="s">
        <v>833</v>
      </c>
      <c r="H139" s="138"/>
      <c r="I139" s="139"/>
    </row>
    <row r="140" spans="1:9" ht="34" hidden="1">
      <c r="A140" s="134" t="s">
        <v>1852</v>
      </c>
      <c r="B140" s="115" t="s">
        <v>1853</v>
      </c>
      <c r="C140" s="129"/>
      <c r="D140" s="123" t="s">
        <v>1854</v>
      </c>
      <c r="E140" s="5"/>
      <c r="F140" s="135" t="s">
        <v>1864</v>
      </c>
      <c r="G140" s="142" t="s">
        <v>1074</v>
      </c>
      <c r="H140" s="138"/>
      <c r="I140" s="139"/>
    </row>
    <row r="141" spans="1:9" ht="34">
      <c r="A141" s="134" t="s">
        <v>1855</v>
      </c>
      <c r="B141" s="118" t="s">
        <v>1856</v>
      </c>
      <c r="C141" s="132"/>
      <c r="D141" s="124" t="s">
        <v>1857</v>
      </c>
      <c r="E141" s="5" t="s">
        <v>9</v>
      </c>
      <c r="F141" s="135" t="s">
        <v>1864</v>
      </c>
      <c r="G141" s="120" t="s">
        <v>745</v>
      </c>
      <c r="H141" s="138"/>
      <c r="I141" s="139"/>
    </row>
    <row r="142" spans="1:9" ht="34">
      <c r="A142" s="134" t="s">
        <v>1855</v>
      </c>
      <c r="B142" s="118" t="s">
        <v>1858</v>
      </c>
      <c r="C142" s="132"/>
      <c r="D142" s="124" t="s">
        <v>1859</v>
      </c>
      <c r="E142" s="5" t="s">
        <v>9</v>
      </c>
      <c r="F142" s="135" t="s">
        <v>1864</v>
      </c>
      <c r="G142" s="120" t="s">
        <v>745</v>
      </c>
      <c r="H142" s="138"/>
      <c r="I142" s="139"/>
    </row>
  </sheetData>
  <conditionalFormatting sqref="E18:E142">
    <cfRule type="containsText" dxfId="334" priority="1" operator="containsText" text="Optional">
      <formula>NOT(ISERROR(SEARCH("Optional",E18)))</formula>
    </cfRule>
    <cfRule type="containsText" dxfId="333" priority="2" operator="containsText" text="Recommend">
      <formula>NOT(ISERROR(SEARCH("Recommend",E18)))</formula>
    </cfRule>
    <cfRule type="containsText" dxfId="332" priority="3" operator="containsText" text="Required">
      <formula>NOT(ISERROR(SEARCH("Required",E18)))</formula>
    </cfRule>
  </conditionalFormatting>
  <pageMargins left="0.7" right="0.7" top="0.75" bottom="0.75" header="0.3" footer="0.3"/>
  <pageSetup scale="47" fitToHeight="2"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4" customWidth="1"/>
    <col min="2" max="2" width="22.5" style="3" bestFit="1" customWidth="1"/>
    <col min="3" max="4" width="95.6640625" style="4" customWidth="1"/>
  </cols>
  <sheetData>
    <row r="1" spans="1:4" s="71" customFormat="1" ht="22">
      <c r="A1" s="72" t="s">
        <v>1420</v>
      </c>
      <c r="B1" s="72" t="s">
        <v>1419</v>
      </c>
      <c r="C1" s="72" t="s">
        <v>1418</v>
      </c>
      <c r="D1" s="72" t="s">
        <v>1308</v>
      </c>
    </row>
    <row r="2" spans="1:4" ht="68">
      <c r="A2" s="4" t="s">
        <v>43</v>
      </c>
      <c r="B2" s="3" t="s">
        <v>100</v>
      </c>
      <c r="C2" s="4" t="s">
        <v>1399</v>
      </c>
      <c r="D2" s="4" t="s">
        <v>1309</v>
      </c>
    </row>
    <row r="3" spans="1:4" ht="68">
      <c r="A3" s="4" t="s">
        <v>44</v>
      </c>
      <c r="B3" s="3" t="s">
        <v>100</v>
      </c>
      <c r="C3" s="4" t="s">
        <v>2007</v>
      </c>
      <c r="D3" s="4" t="s">
        <v>1310</v>
      </c>
    </row>
    <row r="4" spans="1:4" ht="68">
      <c r="A4" s="4" t="s">
        <v>45</v>
      </c>
      <c r="B4" s="3" t="s">
        <v>100</v>
      </c>
      <c r="C4" s="4" t="s">
        <v>1400</v>
      </c>
      <c r="D4" s="4" t="s">
        <v>1312</v>
      </c>
    </row>
    <row r="5" spans="1:4" ht="85">
      <c r="A5" s="4" t="s">
        <v>48</v>
      </c>
      <c r="B5" s="3" t="s">
        <v>100</v>
      </c>
      <c r="C5" s="4" t="s">
        <v>1401</v>
      </c>
      <c r="D5" s="4" t="s">
        <v>1313</v>
      </c>
    </row>
    <row r="6" spans="1:4" ht="68">
      <c r="A6" s="4" t="s">
        <v>63</v>
      </c>
      <c r="B6" s="3" t="s">
        <v>100</v>
      </c>
      <c r="C6" s="4" t="s">
        <v>1402</v>
      </c>
      <c r="D6" s="4" t="s">
        <v>1311</v>
      </c>
    </row>
    <row r="7" spans="1:4" ht="68">
      <c r="A7" s="4" t="s">
        <v>73</v>
      </c>
      <c r="B7" s="3" t="s">
        <v>100</v>
      </c>
      <c r="C7" s="4" t="s">
        <v>1403</v>
      </c>
      <c r="D7" s="4" t="s">
        <v>1314</v>
      </c>
    </row>
    <row r="8" spans="1:4" ht="51">
      <c r="A8" s="4" t="s">
        <v>83</v>
      </c>
      <c r="B8" s="3" t="s">
        <v>1398</v>
      </c>
      <c r="C8" s="4" t="s">
        <v>1404</v>
      </c>
      <c r="D8" s="4" t="s">
        <v>1315</v>
      </c>
    </row>
    <row r="9" spans="1:4" ht="51">
      <c r="A9" s="4" t="s">
        <v>88</v>
      </c>
      <c r="B9" s="3" t="s">
        <v>1398</v>
      </c>
      <c r="C9" s="4" t="s">
        <v>1405</v>
      </c>
      <c r="D9" s="4" t="s">
        <v>1316</v>
      </c>
    </row>
    <row r="10" spans="1:4" ht="68">
      <c r="A10" s="4" t="s">
        <v>99</v>
      </c>
      <c r="B10" s="3" t="s">
        <v>1398</v>
      </c>
      <c r="C10" s="4" t="s">
        <v>1406</v>
      </c>
      <c r="D10" s="4" t="s">
        <v>1317</v>
      </c>
    </row>
    <row r="11" spans="1:4" ht="51">
      <c r="A11" s="4" t="s">
        <v>106</v>
      </c>
      <c r="B11" s="3" t="s">
        <v>1398</v>
      </c>
      <c r="C11" s="4" t="s">
        <v>1407</v>
      </c>
      <c r="D11" s="4" t="s">
        <v>1318</v>
      </c>
    </row>
    <row r="12" spans="1:4" ht="68">
      <c r="A12" s="4" t="s">
        <v>114</v>
      </c>
      <c r="B12" s="3" t="s">
        <v>1398</v>
      </c>
      <c r="C12" s="4" t="s">
        <v>1408</v>
      </c>
      <c r="D12" s="4" t="s">
        <v>1319</v>
      </c>
    </row>
    <row r="13" spans="1:4" ht="51">
      <c r="A13" s="4" t="s">
        <v>121</v>
      </c>
      <c r="B13" s="3" t="s">
        <v>1398</v>
      </c>
      <c r="C13" s="4" t="s">
        <v>1409</v>
      </c>
      <c r="D13" s="4" t="s">
        <v>1320</v>
      </c>
    </row>
    <row r="14" spans="1:4" ht="51">
      <c r="A14" s="4" t="s">
        <v>122</v>
      </c>
      <c r="B14" s="3" t="s">
        <v>1398</v>
      </c>
      <c r="C14" s="4" t="s">
        <v>1410</v>
      </c>
      <c r="D14" s="4" t="s">
        <v>1321</v>
      </c>
    </row>
    <row r="15" spans="1:4" ht="68">
      <c r="A15" s="4" t="s">
        <v>123</v>
      </c>
      <c r="B15" s="3" t="s">
        <v>1398</v>
      </c>
      <c r="C15" s="4" t="s">
        <v>1411</v>
      </c>
      <c r="D15" s="4" t="s">
        <v>1322</v>
      </c>
    </row>
    <row r="16" spans="1:4" ht="68">
      <c r="A16" s="4" t="s">
        <v>124</v>
      </c>
      <c r="B16" s="3" t="s">
        <v>1398</v>
      </c>
      <c r="C16" s="4" t="s">
        <v>1412</v>
      </c>
      <c r="D16" s="4" t="s">
        <v>1323</v>
      </c>
    </row>
    <row r="17" spans="1:4" ht="51">
      <c r="A17" s="4" t="s">
        <v>125</v>
      </c>
      <c r="B17" s="3" t="s">
        <v>1398</v>
      </c>
      <c r="C17" s="4" t="s">
        <v>1413</v>
      </c>
      <c r="D17" s="4" t="s">
        <v>1324</v>
      </c>
    </row>
    <row r="18" spans="1:4" ht="85">
      <c r="A18" s="4" t="s">
        <v>126</v>
      </c>
      <c r="B18" s="3" t="s">
        <v>146</v>
      </c>
      <c r="C18" s="4" t="s">
        <v>1414</v>
      </c>
      <c r="D18" s="4" t="s">
        <v>1325</v>
      </c>
    </row>
    <row r="19" spans="1:4" ht="51">
      <c r="A19" s="4" t="s">
        <v>127</v>
      </c>
      <c r="B19" s="3" t="s">
        <v>146</v>
      </c>
      <c r="C19" s="4" t="s">
        <v>1415</v>
      </c>
      <c r="D19" s="4" t="s">
        <v>1326</v>
      </c>
    </row>
    <row r="20" spans="1:4" ht="85">
      <c r="A20" s="4" t="s">
        <v>128</v>
      </c>
      <c r="B20" s="3" t="s">
        <v>146</v>
      </c>
      <c r="C20" s="4" t="s">
        <v>1416</v>
      </c>
      <c r="D20" s="4" t="s">
        <v>1327</v>
      </c>
    </row>
    <row r="21" spans="1:4" ht="68">
      <c r="A21" s="4" t="s">
        <v>129</v>
      </c>
      <c r="B21" s="3" t="s">
        <v>146</v>
      </c>
      <c r="C21" s="4" t="s">
        <v>1417</v>
      </c>
      <c r="D21" s="4" t="s">
        <v>1328</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6"/>
    <col min="2" max="2" width="63.33203125" style="47" bestFit="1" customWidth="1"/>
    <col min="3" max="3" width="10.83203125" style="46"/>
    <col min="4" max="23" width="30.83203125" style="49" customWidth="1"/>
  </cols>
  <sheetData>
    <row r="1" spans="1:23" ht="51">
      <c r="A1" s="50"/>
      <c r="B1" s="51"/>
      <c r="C1" s="50"/>
      <c r="D1" s="48" t="s">
        <v>680</v>
      </c>
      <c r="E1" s="48" t="s">
        <v>681</v>
      </c>
      <c r="F1" s="48" t="s">
        <v>45</v>
      </c>
      <c r="G1" s="48" t="s">
        <v>48</v>
      </c>
      <c r="H1" s="48" t="s">
        <v>63</v>
      </c>
      <c r="I1" s="48" t="s">
        <v>73</v>
      </c>
      <c r="J1" s="48" t="s">
        <v>83</v>
      </c>
      <c r="K1" s="48" t="s">
        <v>88</v>
      </c>
      <c r="L1" s="48" t="s">
        <v>99</v>
      </c>
      <c r="M1" s="48" t="s">
        <v>106</v>
      </c>
      <c r="N1" s="48" t="s">
        <v>682</v>
      </c>
      <c r="O1" s="48" t="s">
        <v>683</v>
      </c>
      <c r="P1" s="48" t="s">
        <v>122</v>
      </c>
      <c r="Q1" s="48" t="s">
        <v>123</v>
      </c>
      <c r="R1" s="48" t="s">
        <v>684</v>
      </c>
      <c r="S1" s="48" t="s">
        <v>685</v>
      </c>
      <c r="T1" s="48" t="s">
        <v>126</v>
      </c>
      <c r="U1" s="48" t="s">
        <v>127</v>
      </c>
      <c r="V1" s="48" t="s">
        <v>128</v>
      </c>
      <c r="W1" s="48" t="s">
        <v>129</v>
      </c>
    </row>
    <row r="2" spans="1:23">
      <c r="A2" s="50" t="s">
        <v>686</v>
      </c>
      <c r="B2" s="51" t="s">
        <v>687</v>
      </c>
      <c r="C2" s="50" t="s">
        <v>688</v>
      </c>
      <c r="D2" s="49" t="s">
        <v>689</v>
      </c>
      <c r="E2" s="49" t="s">
        <v>690</v>
      </c>
      <c r="F2" s="49" t="s">
        <v>691</v>
      </c>
      <c r="G2" s="49" t="s">
        <v>692</v>
      </c>
      <c r="H2" s="49" t="s">
        <v>693</v>
      </c>
      <c r="I2" s="49" t="s">
        <v>694</v>
      </c>
      <c r="J2" s="49" t="s">
        <v>695</v>
      </c>
      <c r="K2" s="49" t="s">
        <v>696</v>
      </c>
      <c r="L2" s="49" t="s">
        <v>697</v>
      </c>
      <c r="M2" s="49" t="s">
        <v>698</v>
      </c>
      <c r="N2" s="49" t="s">
        <v>699</v>
      </c>
      <c r="O2" s="49" t="s">
        <v>700</v>
      </c>
      <c r="P2" s="49" t="s">
        <v>701</v>
      </c>
      <c r="Q2" s="49" t="s">
        <v>702</v>
      </c>
      <c r="R2" s="49" t="s">
        <v>703</v>
      </c>
      <c r="S2" s="49" t="s">
        <v>704</v>
      </c>
      <c r="T2" s="49" t="s">
        <v>705</v>
      </c>
      <c r="U2" s="49" t="s">
        <v>706</v>
      </c>
      <c r="V2" s="49" t="s">
        <v>707</v>
      </c>
      <c r="W2" s="49" t="s">
        <v>708</v>
      </c>
    </row>
    <row r="3" spans="1:23">
      <c r="A3" s="52" t="s">
        <v>709</v>
      </c>
      <c r="B3" s="53" t="s">
        <v>710</v>
      </c>
      <c r="C3" s="52" t="s">
        <v>711</v>
      </c>
      <c r="Q3" s="49" t="s">
        <v>523</v>
      </c>
    </row>
    <row r="4" spans="1:23">
      <c r="A4" s="52" t="s">
        <v>712</v>
      </c>
      <c r="B4" s="53" t="s">
        <v>713</v>
      </c>
      <c r="C4" s="52" t="s">
        <v>711</v>
      </c>
      <c r="G4" s="49" t="s">
        <v>523</v>
      </c>
      <c r="Q4" s="49" t="s">
        <v>523</v>
      </c>
      <c r="S4" s="49" t="s">
        <v>523</v>
      </c>
    </row>
    <row r="5" spans="1:23">
      <c r="A5" s="52" t="s">
        <v>714</v>
      </c>
      <c r="B5" s="53" t="s">
        <v>715</v>
      </c>
      <c r="C5" s="52" t="s">
        <v>711</v>
      </c>
      <c r="P5" s="49" t="s">
        <v>523</v>
      </c>
      <c r="Q5" s="49" t="s">
        <v>523</v>
      </c>
      <c r="S5" s="49" t="s">
        <v>523</v>
      </c>
    </row>
    <row r="6" spans="1:23">
      <c r="A6" s="52" t="s">
        <v>716</v>
      </c>
      <c r="B6" s="53" t="s">
        <v>717</v>
      </c>
      <c r="C6" s="52" t="s">
        <v>711</v>
      </c>
      <c r="L6" s="49" t="s">
        <v>523</v>
      </c>
      <c r="N6" s="49" t="s">
        <v>523</v>
      </c>
      <c r="O6" s="49" t="s">
        <v>523</v>
      </c>
      <c r="P6" s="49" t="s">
        <v>523</v>
      </c>
    </row>
    <row r="7" spans="1:23">
      <c r="A7" s="52" t="s">
        <v>718</v>
      </c>
      <c r="B7" s="53" t="s">
        <v>719</v>
      </c>
      <c r="C7" s="52" t="s">
        <v>711</v>
      </c>
    </row>
    <row r="8" spans="1:23">
      <c r="A8" s="52" t="s">
        <v>720</v>
      </c>
      <c r="B8" s="53" t="s">
        <v>721</v>
      </c>
      <c r="C8" s="52" t="s">
        <v>711</v>
      </c>
      <c r="G8" s="49" t="s">
        <v>523</v>
      </c>
      <c r="Q8" s="49" t="s">
        <v>523</v>
      </c>
    </row>
    <row r="9" spans="1:23">
      <c r="A9" s="52" t="s">
        <v>722</v>
      </c>
      <c r="B9" s="53" t="s">
        <v>723</v>
      </c>
      <c r="C9" s="52" t="s">
        <v>724</v>
      </c>
      <c r="S9" s="49" t="s">
        <v>523</v>
      </c>
    </row>
    <row r="10" spans="1:23">
      <c r="A10" s="52" t="s">
        <v>725</v>
      </c>
      <c r="B10" s="53" t="s">
        <v>726</v>
      </c>
      <c r="C10" s="52" t="s">
        <v>711</v>
      </c>
    </row>
    <row r="11" spans="1:23">
      <c r="A11" s="52" t="s">
        <v>727</v>
      </c>
      <c r="B11" s="53" t="s">
        <v>728</v>
      </c>
      <c r="C11" s="52" t="s">
        <v>729</v>
      </c>
    </row>
    <row r="12" spans="1:23">
      <c r="A12" s="52" t="s">
        <v>730</v>
      </c>
      <c r="B12" s="53" t="s">
        <v>731</v>
      </c>
      <c r="C12" s="52" t="s">
        <v>724</v>
      </c>
    </row>
    <row r="13" spans="1:23">
      <c r="A13" s="52" t="s">
        <v>732</v>
      </c>
      <c r="B13" s="53" t="s">
        <v>733</v>
      </c>
      <c r="C13" s="52" t="s">
        <v>734</v>
      </c>
      <c r="S13" s="49" t="s">
        <v>523</v>
      </c>
    </row>
    <row r="14" spans="1:23">
      <c r="A14" s="52" t="s">
        <v>735</v>
      </c>
      <c r="B14" s="53" t="s">
        <v>736</v>
      </c>
      <c r="C14" s="52" t="s">
        <v>724</v>
      </c>
      <c r="S14" s="49" t="s">
        <v>523</v>
      </c>
    </row>
    <row r="15" spans="1:23">
      <c r="A15" s="52" t="s">
        <v>737</v>
      </c>
      <c r="B15" s="53" t="s">
        <v>738</v>
      </c>
      <c r="C15" s="52" t="s">
        <v>739</v>
      </c>
    </row>
    <row r="16" spans="1:23">
      <c r="A16" s="52" t="s">
        <v>740</v>
      </c>
      <c r="B16" s="53" t="s">
        <v>741</v>
      </c>
      <c r="C16" s="52" t="s">
        <v>711</v>
      </c>
    </row>
    <row r="17" spans="1:20" customFormat="1">
      <c r="A17" s="52" t="s">
        <v>742</v>
      </c>
      <c r="B17" s="53" t="s">
        <v>738</v>
      </c>
      <c r="C17" s="52" t="s">
        <v>739</v>
      </c>
      <c r="D17" s="49"/>
      <c r="E17" s="49"/>
      <c r="F17" s="49"/>
      <c r="G17" s="49"/>
      <c r="H17" s="49"/>
      <c r="I17" s="49"/>
      <c r="J17" s="49"/>
      <c r="K17" s="49"/>
      <c r="L17" s="49"/>
      <c r="M17" s="49"/>
      <c r="N17" s="49"/>
      <c r="O17" s="49"/>
      <c r="P17" s="49"/>
      <c r="Q17" s="49"/>
      <c r="R17" s="49"/>
      <c r="S17" s="49"/>
      <c r="T17" s="49"/>
    </row>
    <row r="18" spans="1:20" customFormat="1">
      <c r="A18" s="52" t="s">
        <v>743</v>
      </c>
      <c r="B18" s="53" t="s">
        <v>744</v>
      </c>
      <c r="C18" s="52" t="s">
        <v>729</v>
      </c>
      <c r="D18" s="49"/>
      <c r="E18" s="49"/>
      <c r="F18" s="49"/>
      <c r="G18" s="49"/>
      <c r="H18" s="49"/>
      <c r="I18" s="49"/>
      <c r="J18" s="49"/>
      <c r="K18" s="49"/>
      <c r="L18" s="49"/>
      <c r="M18" s="49"/>
      <c r="N18" s="49"/>
      <c r="O18" s="49"/>
      <c r="P18" s="49"/>
      <c r="Q18" s="49"/>
      <c r="R18" s="49"/>
      <c r="S18" s="49"/>
      <c r="T18" s="49"/>
    </row>
    <row r="19" spans="1:20" customFormat="1">
      <c r="A19" s="52" t="s">
        <v>745</v>
      </c>
      <c r="B19" s="53" t="s">
        <v>746</v>
      </c>
      <c r="C19" s="52" t="s">
        <v>711</v>
      </c>
      <c r="D19" s="49"/>
      <c r="E19" s="49"/>
      <c r="F19" s="49"/>
      <c r="G19" s="49" t="s">
        <v>523</v>
      </c>
      <c r="H19" s="49"/>
      <c r="I19" s="49"/>
      <c r="J19" s="49"/>
      <c r="K19" s="49"/>
      <c r="L19" s="49"/>
      <c r="M19" s="49"/>
      <c r="N19" s="49"/>
      <c r="O19" s="49" t="s">
        <v>523</v>
      </c>
      <c r="P19" s="49"/>
      <c r="Q19" s="49"/>
      <c r="R19" s="49"/>
      <c r="S19" s="49"/>
      <c r="T19" s="49"/>
    </row>
    <row r="20" spans="1:20" customFormat="1">
      <c r="A20" s="52" t="s">
        <v>747</v>
      </c>
      <c r="B20" s="53" t="s">
        <v>748</v>
      </c>
      <c r="C20" s="52" t="s">
        <v>711</v>
      </c>
      <c r="D20" s="49"/>
      <c r="E20" s="49"/>
      <c r="F20" s="49"/>
      <c r="G20" s="49"/>
      <c r="H20" s="49"/>
      <c r="I20" s="49"/>
      <c r="J20" s="49"/>
      <c r="K20" s="49"/>
      <c r="L20" s="49"/>
      <c r="M20" s="49"/>
      <c r="N20" s="49"/>
      <c r="O20" s="49"/>
      <c r="P20" s="49"/>
      <c r="Q20" s="49"/>
      <c r="R20" s="49" t="s">
        <v>523</v>
      </c>
      <c r="S20" s="49"/>
      <c r="T20" s="49"/>
    </row>
    <row r="21" spans="1:20" customFormat="1">
      <c r="A21" s="52" t="s">
        <v>749</v>
      </c>
      <c r="B21" s="53" t="s">
        <v>750</v>
      </c>
      <c r="C21" s="52" t="s">
        <v>711</v>
      </c>
      <c r="D21" s="49"/>
      <c r="E21" s="49"/>
      <c r="F21" s="49"/>
      <c r="G21" s="49" t="s">
        <v>523</v>
      </c>
      <c r="H21" s="49"/>
      <c r="I21" s="49"/>
      <c r="J21" s="49"/>
      <c r="K21" s="49"/>
      <c r="L21" s="49"/>
      <c r="M21" s="49"/>
      <c r="N21" s="49"/>
      <c r="O21" s="49"/>
      <c r="P21" s="49"/>
      <c r="Q21" s="49"/>
      <c r="R21" s="49" t="s">
        <v>523</v>
      </c>
      <c r="S21" s="49"/>
      <c r="T21" s="49"/>
    </row>
    <row r="22" spans="1:20" customFormat="1">
      <c r="A22" s="52" t="s">
        <v>751</v>
      </c>
      <c r="B22" s="53" t="s">
        <v>752</v>
      </c>
      <c r="C22" s="52" t="s">
        <v>711</v>
      </c>
      <c r="D22" s="49"/>
      <c r="E22" s="49"/>
      <c r="F22" s="49"/>
      <c r="G22" s="49"/>
      <c r="H22" s="49"/>
      <c r="I22" s="49"/>
      <c r="J22" s="49"/>
      <c r="K22" s="49"/>
      <c r="L22" s="49"/>
      <c r="M22" s="49"/>
      <c r="N22" s="49"/>
      <c r="O22" s="49" t="s">
        <v>523</v>
      </c>
      <c r="P22" s="49"/>
      <c r="Q22" s="49"/>
      <c r="R22" s="49"/>
      <c r="S22" s="49"/>
      <c r="T22" s="49"/>
    </row>
    <row r="23" spans="1:20" customFormat="1">
      <c r="A23" s="52" t="s">
        <v>753</v>
      </c>
      <c r="B23" s="53" t="s">
        <v>754</v>
      </c>
      <c r="C23" s="52" t="s">
        <v>724</v>
      </c>
      <c r="D23" s="49"/>
      <c r="E23" s="49"/>
      <c r="F23" s="49"/>
      <c r="G23" s="49"/>
      <c r="H23" s="49"/>
      <c r="I23" s="49"/>
      <c r="J23" s="49"/>
      <c r="K23" s="49"/>
      <c r="L23" s="49"/>
      <c r="M23" s="49"/>
      <c r="N23" s="49"/>
      <c r="O23" s="49"/>
      <c r="P23" s="49"/>
      <c r="Q23" s="49"/>
      <c r="R23" s="49"/>
      <c r="S23" s="49"/>
      <c r="T23" s="49"/>
    </row>
    <row r="24" spans="1:20" customFormat="1">
      <c r="A24" s="52" t="s">
        <v>755</v>
      </c>
      <c r="B24" s="53" t="s">
        <v>756</v>
      </c>
      <c r="C24" s="52" t="s">
        <v>724</v>
      </c>
      <c r="D24" s="49"/>
      <c r="E24" s="49"/>
      <c r="F24" s="49"/>
      <c r="G24" s="49"/>
      <c r="H24" s="49"/>
      <c r="I24" s="49"/>
      <c r="J24" s="49"/>
      <c r="K24" s="49"/>
      <c r="L24" s="49"/>
      <c r="M24" s="49"/>
      <c r="N24" s="49"/>
      <c r="O24" s="49"/>
      <c r="P24" s="49"/>
      <c r="Q24" s="49"/>
      <c r="R24" s="49"/>
      <c r="S24" s="49"/>
      <c r="T24" s="49"/>
    </row>
    <row r="25" spans="1:20" customFormat="1">
      <c r="A25" s="52" t="s">
        <v>757</v>
      </c>
      <c r="B25" s="53" t="s">
        <v>758</v>
      </c>
      <c r="C25" s="52" t="s">
        <v>729</v>
      </c>
      <c r="D25" s="49"/>
      <c r="E25" s="49"/>
      <c r="F25" s="49"/>
      <c r="G25" s="49"/>
      <c r="H25" s="49"/>
      <c r="I25" s="49" t="s">
        <v>523</v>
      </c>
      <c r="J25" s="49"/>
      <c r="K25" s="49"/>
      <c r="L25" s="49"/>
      <c r="M25" s="49"/>
      <c r="N25" s="49"/>
      <c r="O25" s="49"/>
      <c r="P25" s="49" t="s">
        <v>523</v>
      </c>
      <c r="Q25" s="49"/>
      <c r="R25" s="49"/>
      <c r="S25" s="49"/>
      <c r="T25" s="49"/>
    </row>
    <row r="26" spans="1:20" customFormat="1">
      <c r="A26" s="52" t="s">
        <v>759</v>
      </c>
      <c r="B26" s="53" t="s">
        <v>760</v>
      </c>
      <c r="C26" s="52" t="s">
        <v>729</v>
      </c>
      <c r="D26" s="49"/>
      <c r="E26" s="49"/>
      <c r="F26" s="49"/>
      <c r="G26" s="49"/>
      <c r="H26" s="49"/>
      <c r="I26" s="49"/>
      <c r="J26" s="49"/>
      <c r="K26" s="49"/>
      <c r="L26" s="49"/>
      <c r="M26" s="49"/>
      <c r="N26" s="49"/>
      <c r="O26" s="49"/>
      <c r="P26" s="49"/>
      <c r="Q26" s="49" t="s">
        <v>523</v>
      </c>
      <c r="R26" s="49"/>
      <c r="S26" s="49"/>
      <c r="T26" s="49"/>
    </row>
    <row r="27" spans="1:20" customFormat="1">
      <c r="A27" s="52" t="s">
        <v>761</v>
      </c>
      <c r="B27" s="53" t="s">
        <v>762</v>
      </c>
      <c r="C27" s="52" t="s">
        <v>729</v>
      </c>
      <c r="D27" s="49"/>
      <c r="E27" s="49"/>
      <c r="F27" s="49"/>
      <c r="G27" s="49"/>
      <c r="H27" s="49"/>
      <c r="I27" s="49"/>
      <c r="J27" s="49"/>
      <c r="K27" s="49"/>
      <c r="L27" s="49"/>
      <c r="M27" s="49"/>
      <c r="N27" s="49"/>
      <c r="O27" s="49"/>
      <c r="P27" s="49"/>
      <c r="Q27" s="49"/>
      <c r="R27" s="49"/>
      <c r="S27" s="49"/>
      <c r="T27" s="49"/>
    </row>
    <row r="28" spans="1:20" customFormat="1">
      <c r="A28" s="52" t="s">
        <v>763</v>
      </c>
      <c r="B28" s="53" t="s">
        <v>764</v>
      </c>
      <c r="C28" s="52" t="s">
        <v>711</v>
      </c>
      <c r="D28" s="49"/>
      <c r="E28" s="49"/>
      <c r="F28" s="49"/>
      <c r="G28" s="49"/>
      <c r="H28" s="49"/>
      <c r="I28" s="49"/>
      <c r="J28" s="49"/>
      <c r="K28" s="49"/>
      <c r="L28" s="49"/>
      <c r="M28" s="49"/>
      <c r="N28" s="49"/>
      <c r="O28" s="49"/>
      <c r="P28" s="49"/>
      <c r="Q28" s="49"/>
      <c r="R28" s="49"/>
      <c r="S28" s="49"/>
      <c r="T28" s="49" t="s">
        <v>523</v>
      </c>
    </row>
    <row r="29" spans="1:20" customFormat="1">
      <c r="A29" s="52" t="s">
        <v>765</v>
      </c>
      <c r="B29" s="53" t="s">
        <v>766</v>
      </c>
      <c r="C29" s="52" t="s">
        <v>711</v>
      </c>
      <c r="D29" s="49"/>
      <c r="E29" s="49"/>
      <c r="F29" s="49"/>
      <c r="G29" s="49"/>
      <c r="H29" s="49"/>
      <c r="I29" s="49"/>
      <c r="J29" s="49"/>
      <c r="K29" s="49"/>
      <c r="L29" s="49"/>
      <c r="M29" s="49"/>
      <c r="N29" s="49"/>
      <c r="O29" s="49"/>
      <c r="P29" s="49"/>
      <c r="Q29" s="49"/>
      <c r="R29" s="49"/>
      <c r="S29" s="49"/>
      <c r="T29" s="49" t="s">
        <v>523</v>
      </c>
    </row>
    <row r="30" spans="1:20" customFormat="1">
      <c r="A30" s="52" t="s">
        <v>767</v>
      </c>
      <c r="B30" s="53" t="s">
        <v>768</v>
      </c>
      <c r="C30" s="52" t="s">
        <v>711</v>
      </c>
      <c r="D30" s="49"/>
      <c r="E30" s="49"/>
      <c r="F30" s="49"/>
      <c r="G30" s="49"/>
      <c r="H30" s="49"/>
      <c r="I30" s="49"/>
      <c r="J30" s="49"/>
      <c r="K30" s="49"/>
      <c r="L30" s="49"/>
      <c r="M30" s="49"/>
      <c r="N30" s="49"/>
      <c r="O30" s="49"/>
      <c r="P30" s="49"/>
      <c r="Q30" s="49"/>
      <c r="R30" s="49"/>
      <c r="S30" s="49"/>
      <c r="T30" s="49" t="s">
        <v>523</v>
      </c>
    </row>
    <row r="31" spans="1:20" customFormat="1">
      <c r="A31" s="52" t="s">
        <v>769</v>
      </c>
      <c r="B31" s="53" t="s">
        <v>770</v>
      </c>
      <c r="C31" s="52" t="s">
        <v>734</v>
      </c>
      <c r="D31" s="49"/>
      <c r="E31" s="49"/>
      <c r="F31" s="49"/>
      <c r="G31" s="49"/>
      <c r="H31" s="49"/>
      <c r="I31" s="49"/>
      <c r="J31" s="49"/>
      <c r="K31" s="49"/>
      <c r="L31" s="49"/>
      <c r="M31" s="49"/>
      <c r="N31" s="49"/>
      <c r="O31" s="49"/>
      <c r="P31" s="49"/>
      <c r="Q31" s="49"/>
      <c r="R31" s="49"/>
      <c r="S31" s="49"/>
      <c r="T31" s="49" t="s">
        <v>523</v>
      </c>
    </row>
    <row r="32" spans="1:20" customFormat="1">
      <c r="A32" s="52" t="s">
        <v>771</v>
      </c>
      <c r="B32" s="53" t="s">
        <v>738</v>
      </c>
      <c r="C32" s="52" t="s">
        <v>739</v>
      </c>
      <c r="D32" s="49"/>
      <c r="E32" s="49"/>
      <c r="F32" s="49"/>
      <c r="G32" s="49"/>
      <c r="H32" s="49"/>
      <c r="I32" s="49"/>
      <c r="J32" s="49"/>
      <c r="K32" s="49"/>
      <c r="L32" s="49"/>
      <c r="M32" s="49"/>
      <c r="N32" s="49"/>
      <c r="O32" s="49"/>
      <c r="P32" s="49"/>
      <c r="Q32" s="49"/>
      <c r="R32" s="49"/>
      <c r="S32" s="49"/>
      <c r="T32" s="49"/>
    </row>
    <row r="33" spans="1:9" customFormat="1">
      <c r="A33" s="52" t="s">
        <v>772</v>
      </c>
      <c r="B33" s="53" t="s">
        <v>773</v>
      </c>
      <c r="C33" s="52" t="s">
        <v>711</v>
      </c>
      <c r="D33" s="49"/>
      <c r="E33" s="49"/>
      <c r="F33" s="49"/>
      <c r="G33" s="49"/>
      <c r="H33" s="49"/>
      <c r="I33" s="49"/>
    </row>
    <row r="34" spans="1:9" customFormat="1">
      <c r="A34" s="52" t="s">
        <v>774</v>
      </c>
      <c r="B34" s="53" t="s">
        <v>775</v>
      </c>
      <c r="C34" s="52" t="s">
        <v>711</v>
      </c>
      <c r="D34" s="49"/>
      <c r="E34" s="49"/>
      <c r="F34" s="49"/>
      <c r="G34" s="49"/>
      <c r="H34" s="49"/>
      <c r="I34" s="49" t="s">
        <v>523</v>
      </c>
    </row>
    <row r="35" spans="1:9" customFormat="1">
      <c r="A35" s="52" t="s">
        <v>776</v>
      </c>
      <c r="B35" s="53" t="s">
        <v>777</v>
      </c>
      <c r="C35" s="52" t="s">
        <v>711</v>
      </c>
      <c r="D35" s="49"/>
      <c r="E35" s="49"/>
      <c r="F35" s="49"/>
      <c r="G35" s="49"/>
      <c r="H35" s="49"/>
      <c r="I35" s="49" t="s">
        <v>523</v>
      </c>
    </row>
    <row r="36" spans="1:9" customFormat="1">
      <c r="A36" s="52" t="s">
        <v>778</v>
      </c>
      <c r="B36" s="53" t="s">
        <v>779</v>
      </c>
      <c r="C36" s="52" t="s">
        <v>711</v>
      </c>
      <c r="D36" s="49"/>
      <c r="E36" s="49"/>
      <c r="F36" s="49"/>
      <c r="G36" s="49"/>
      <c r="H36" s="49"/>
      <c r="I36" s="49" t="s">
        <v>523</v>
      </c>
    </row>
    <row r="37" spans="1:9" customFormat="1">
      <c r="A37" s="52" t="s">
        <v>780</v>
      </c>
      <c r="B37" s="53" t="s">
        <v>781</v>
      </c>
      <c r="C37" s="52" t="s">
        <v>711</v>
      </c>
      <c r="D37" s="49"/>
      <c r="E37" s="49"/>
      <c r="F37" s="49"/>
      <c r="G37" s="49"/>
      <c r="H37" s="49"/>
      <c r="I37" s="49" t="s">
        <v>523</v>
      </c>
    </row>
    <row r="38" spans="1:9" customFormat="1">
      <c r="A38" s="52" t="s">
        <v>782</v>
      </c>
      <c r="B38" s="53" t="s">
        <v>783</v>
      </c>
      <c r="C38" s="52" t="s">
        <v>711</v>
      </c>
      <c r="D38" s="49"/>
      <c r="E38" s="49"/>
      <c r="F38" s="49"/>
      <c r="G38" s="49"/>
      <c r="H38" s="49"/>
      <c r="I38" s="49" t="s">
        <v>523</v>
      </c>
    </row>
    <row r="39" spans="1:9" customFormat="1">
      <c r="A39" s="52" t="s">
        <v>784</v>
      </c>
      <c r="B39" s="53" t="s">
        <v>785</v>
      </c>
      <c r="C39" s="52" t="s">
        <v>724</v>
      </c>
      <c r="D39" s="49"/>
      <c r="E39" s="49"/>
      <c r="F39" s="49"/>
      <c r="G39" s="49"/>
      <c r="H39" s="49"/>
      <c r="I39" s="49" t="s">
        <v>523</v>
      </c>
    </row>
    <row r="40" spans="1:9" customFormat="1">
      <c r="A40" s="52" t="s">
        <v>786</v>
      </c>
      <c r="B40" s="53" t="s">
        <v>787</v>
      </c>
      <c r="C40" s="52" t="s">
        <v>711</v>
      </c>
      <c r="D40" s="49"/>
      <c r="E40" s="49"/>
      <c r="F40" s="49"/>
      <c r="G40" s="49"/>
      <c r="H40" s="49"/>
      <c r="I40" s="49" t="s">
        <v>523</v>
      </c>
    </row>
    <row r="41" spans="1:9" customFormat="1">
      <c r="A41" s="52" t="s">
        <v>788</v>
      </c>
      <c r="B41" s="53" t="s">
        <v>789</v>
      </c>
      <c r="C41" s="52" t="s">
        <v>711</v>
      </c>
      <c r="D41" s="49"/>
      <c r="E41" s="49"/>
      <c r="F41" s="49"/>
      <c r="G41" s="49"/>
      <c r="H41" s="49"/>
      <c r="I41" s="49" t="s">
        <v>523</v>
      </c>
    </row>
    <row r="42" spans="1:9" customFormat="1">
      <c r="A42" s="52" t="s">
        <v>790</v>
      </c>
      <c r="B42" s="53" t="s">
        <v>791</v>
      </c>
      <c r="C42" s="52" t="s">
        <v>711</v>
      </c>
      <c r="D42" s="49"/>
      <c r="E42" s="49"/>
      <c r="F42" s="49"/>
      <c r="G42" s="49"/>
      <c r="H42" s="49"/>
      <c r="I42" s="49" t="s">
        <v>523</v>
      </c>
    </row>
    <row r="43" spans="1:9" customFormat="1">
      <c r="A43" s="52" t="s">
        <v>792</v>
      </c>
      <c r="B43" s="53" t="s">
        <v>793</v>
      </c>
      <c r="C43" s="52" t="s">
        <v>734</v>
      </c>
      <c r="D43" s="49"/>
      <c r="E43" s="49"/>
      <c r="F43" s="49"/>
      <c r="G43" s="49"/>
      <c r="H43" s="49"/>
      <c r="I43" s="49" t="s">
        <v>523</v>
      </c>
    </row>
    <row r="44" spans="1:9" customFormat="1">
      <c r="A44" s="52" t="s">
        <v>794</v>
      </c>
      <c r="B44" s="53" t="s">
        <v>795</v>
      </c>
      <c r="C44" s="52" t="s">
        <v>711</v>
      </c>
      <c r="D44" s="49"/>
      <c r="E44" s="49"/>
      <c r="F44" s="49"/>
      <c r="G44" s="49"/>
      <c r="H44" s="49"/>
      <c r="I44" s="49" t="s">
        <v>523</v>
      </c>
    </row>
    <row r="45" spans="1:9" customFormat="1">
      <c r="A45" s="52" t="s">
        <v>796</v>
      </c>
      <c r="B45" s="53" t="s">
        <v>797</v>
      </c>
      <c r="C45" s="52" t="s">
        <v>729</v>
      </c>
      <c r="D45" s="49"/>
      <c r="E45" s="49"/>
      <c r="F45" s="49"/>
      <c r="G45" s="49"/>
      <c r="H45" s="49"/>
      <c r="I45" s="49" t="s">
        <v>523</v>
      </c>
    </row>
    <row r="46" spans="1:9" customFormat="1">
      <c r="A46" s="52" t="s">
        <v>798</v>
      </c>
      <c r="B46" s="53" t="s">
        <v>799</v>
      </c>
      <c r="C46" s="52" t="s">
        <v>729</v>
      </c>
      <c r="D46" s="49"/>
      <c r="E46" s="49"/>
      <c r="F46" s="49"/>
      <c r="G46" s="49"/>
      <c r="H46" s="49"/>
      <c r="I46" s="49" t="s">
        <v>523</v>
      </c>
    </row>
    <row r="47" spans="1:9" customFormat="1">
      <c r="A47" s="52" t="s">
        <v>800</v>
      </c>
      <c r="B47" s="53" t="s">
        <v>801</v>
      </c>
      <c r="C47" s="52" t="s">
        <v>729</v>
      </c>
      <c r="D47" s="49"/>
      <c r="E47" s="49"/>
      <c r="F47" s="49"/>
      <c r="G47" s="49"/>
      <c r="H47" s="49"/>
      <c r="I47" s="49"/>
    </row>
    <row r="48" spans="1:9" customFormat="1">
      <c r="A48" s="52" t="s">
        <v>802</v>
      </c>
      <c r="B48" s="53" t="s">
        <v>803</v>
      </c>
      <c r="C48" s="52" t="s">
        <v>729</v>
      </c>
      <c r="D48" s="49"/>
      <c r="E48" s="49"/>
      <c r="F48" s="49"/>
      <c r="G48" s="49"/>
      <c r="H48" s="49"/>
      <c r="I48" s="49"/>
    </row>
    <row r="49" spans="1:23">
      <c r="A49" s="52" t="s">
        <v>804</v>
      </c>
      <c r="B49" s="53" t="s">
        <v>805</v>
      </c>
      <c r="C49" s="52" t="s">
        <v>711</v>
      </c>
    </row>
    <row r="50" spans="1:23">
      <c r="A50" s="52" t="s">
        <v>806</v>
      </c>
      <c r="B50" s="53" t="s">
        <v>807</v>
      </c>
      <c r="C50" s="52" t="s">
        <v>724</v>
      </c>
      <c r="F50" s="49" t="s">
        <v>523</v>
      </c>
      <c r="W50" s="49" t="s">
        <v>523</v>
      </c>
    </row>
    <row r="51" spans="1:23">
      <c r="A51" s="52" t="s">
        <v>808</v>
      </c>
      <c r="B51" s="53" t="s">
        <v>809</v>
      </c>
      <c r="C51" s="52" t="s">
        <v>711</v>
      </c>
      <c r="N51" s="49" t="s">
        <v>523</v>
      </c>
      <c r="O51" s="49" t="s">
        <v>523</v>
      </c>
      <c r="R51" s="49" t="s">
        <v>523</v>
      </c>
    </row>
    <row r="52" spans="1:23">
      <c r="A52" s="52" t="s">
        <v>810</v>
      </c>
      <c r="B52" s="53" t="s">
        <v>738</v>
      </c>
      <c r="C52" s="52" t="s">
        <v>739</v>
      </c>
    </row>
    <row r="53" spans="1:23">
      <c r="A53" s="52" t="s">
        <v>811</v>
      </c>
      <c r="B53" s="53" t="s">
        <v>812</v>
      </c>
      <c r="C53" s="52" t="s">
        <v>734</v>
      </c>
      <c r="W53" s="49" t="s">
        <v>523</v>
      </c>
    </row>
    <row r="54" spans="1:23">
      <c r="A54" s="52" t="s">
        <v>813</v>
      </c>
      <c r="B54" s="53" t="s">
        <v>814</v>
      </c>
      <c r="C54" s="52" t="s">
        <v>734</v>
      </c>
      <c r="W54" s="49" t="s">
        <v>523</v>
      </c>
    </row>
    <row r="55" spans="1:23">
      <c r="A55" s="52" t="s">
        <v>815</v>
      </c>
      <c r="B55" s="53" t="s">
        <v>816</v>
      </c>
      <c r="C55" s="52" t="s">
        <v>734</v>
      </c>
      <c r="D55" s="49" t="s">
        <v>523</v>
      </c>
      <c r="E55" s="49" t="s">
        <v>523</v>
      </c>
      <c r="F55" s="49" t="s">
        <v>523</v>
      </c>
      <c r="G55" s="49" t="s">
        <v>523</v>
      </c>
      <c r="H55" s="49" t="s">
        <v>523</v>
      </c>
      <c r="I55" s="49" t="s">
        <v>523</v>
      </c>
      <c r="J55" s="49" t="s">
        <v>523</v>
      </c>
      <c r="L55" s="49" t="s">
        <v>523</v>
      </c>
      <c r="N55" s="49" t="s">
        <v>523</v>
      </c>
      <c r="O55" s="49" t="s">
        <v>523</v>
      </c>
      <c r="P55" s="49" t="s">
        <v>523</v>
      </c>
      <c r="Q55" s="49" t="s">
        <v>523</v>
      </c>
      <c r="R55" s="49" t="s">
        <v>523</v>
      </c>
      <c r="S55" s="49" t="s">
        <v>523</v>
      </c>
    </row>
    <row r="56" spans="1:23">
      <c r="A56" s="52" t="s">
        <v>817</v>
      </c>
      <c r="B56" s="53" t="s">
        <v>818</v>
      </c>
      <c r="C56" s="52" t="s">
        <v>711</v>
      </c>
      <c r="W56" s="49" t="s">
        <v>523</v>
      </c>
    </row>
    <row r="57" spans="1:23">
      <c r="A57" s="52" t="s">
        <v>819</v>
      </c>
      <c r="B57" s="53" t="s">
        <v>820</v>
      </c>
      <c r="C57" s="52" t="s">
        <v>724</v>
      </c>
      <c r="L57" s="49" t="s">
        <v>523</v>
      </c>
      <c r="N57" s="49" t="s">
        <v>523</v>
      </c>
      <c r="O57" s="49" t="s">
        <v>523</v>
      </c>
      <c r="P57" s="49" t="s">
        <v>523</v>
      </c>
    </row>
    <row r="58" spans="1:23">
      <c r="A58" s="52" t="s">
        <v>821</v>
      </c>
      <c r="B58" s="53" t="s">
        <v>822</v>
      </c>
      <c r="C58" s="52" t="s">
        <v>711</v>
      </c>
    </row>
    <row r="59" spans="1:23">
      <c r="A59" s="52" t="s">
        <v>823</v>
      </c>
      <c r="B59" s="53" t="s">
        <v>824</v>
      </c>
      <c r="C59" s="52" t="s">
        <v>711</v>
      </c>
      <c r="E59" s="49" t="s">
        <v>523</v>
      </c>
      <c r="H59" s="49" t="s">
        <v>523</v>
      </c>
      <c r="J59" s="49" t="s">
        <v>523</v>
      </c>
      <c r="L59" s="49" t="s">
        <v>523</v>
      </c>
      <c r="N59" s="49" t="s">
        <v>523</v>
      </c>
      <c r="O59" s="49" t="s">
        <v>523</v>
      </c>
      <c r="R59" s="49" t="s">
        <v>523</v>
      </c>
    </row>
    <row r="60" spans="1:23">
      <c r="A60" s="52" t="s">
        <v>825</v>
      </c>
      <c r="B60" s="53" t="s">
        <v>826</v>
      </c>
      <c r="C60" s="52" t="s">
        <v>711</v>
      </c>
      <c r="H60" s="49" t="s">
        <v>523</v>
      </c>
      <c r="J60" s="49" t="s">
        <v>523</v>
      </c>
      <c r="N60" s="49" t="s">
        <v>523</v>
      </c>
    </row>
    <row r="61" spans="1:23">
      <c r="A61" s="52" t="s">
        <v>827</v>
      </c>
      <c r="B61" s="53" t="s">
        <v>828</v>
      </c>
      <c r="C61" s="52" t="s">
        <v>724</v>
      </c>
    </row>
    <row r="62" spans="1:23">
      <c r="A62" s="52" t="s">
        <v>829</v>
      </c>
      <c r="B62" s="53" t="s">
        <v>830</v>
      </c>
      <c r="C62" s="52" t="s">
        <v>711</v>
      </c>
      <c r="H62" s="49" t="s">
        <v>523</v>
      </c>
      <c r="J62" s="49" t="s">
        <v>523</v>
      </c>
      <c r="N62" s="49" t="s">
        <v>523</v>
      </c>
    </row>
    <row r="63" spans="1:23">
      <c r="A63" s="52" t="s">
        <v>831</v>
      </c>
      <c r="B63" s="53" t="s">
        <v>832</v>
      </c>
      <c r="C63" s="52" t="s">
        <v>711</v>
      </c>
      <c r="H63" s="49" t="s">
        <v>523</v>
      </c>
      <c r="J63" s="49" t="s">
        <v>523</v>
      </c>
      <c r="L63" s="49" t="s">
        <v>523</v>
      </c>
      <c r="N63" s="49" t="s">
        <v>523</v>
      </c>
    </row>
    <row r="64" spans="1:23">
      <c r="A64" s="52" t="s">
        <v>833</v>
      </c>
      <c r="B64" s="53" t="s">
        <v>834</v>
      </c>
      <c r="C64" s="52" t="s">
        <v>711</v>
      </c>
      <c r="H64" s="49" t="s">
        <v>523</v>
      </c>
      <c r="J64" s="49" t="s">
        <v>523</v>
      </c>
    </row>
    <row r="65" spans="1:14" customFormat="1">
      <c r="A65" s="52" t="s">
        <v>213</v>
      </c>
      <c r="B65" s="53" t="s">
        <v>835</v>
      </c>
      <c r="C65" s="52" t="s">
        <v>711</v>
      </c>
      <c r="D65" s="49" t="s">
        <v>523</v>
      </c>
      <c r="E65" s="49" t="s">
        <v>523</v>
      </c>
      <c r="F65" s="49"/>
      <c r="G65" s="49"/>
      <c r="H65" s="49" t="s">
        <v>523</v>
      </c>
      <c r="I65" s="49"/>
      <c r="J65" s="49" t="s">
        <v>523</v>
      </c>
      <c r="K65" s="49"/>
      <c r="L65" s="49" t="s">
        <v>523</v>
      </c>
      <c r="M65" s="49"/>
      <c r="N65" s="49" t="s">
        <v>523</v>
      </c>
    </row>
    <row r="66" spans="1:14" customFormat="1">
      <c r="A66" s="52" t="s">
        <v>836</v>
      </c>
      <c r="B66" s="53" t="s">
        <v>837</v>
      </c>
      <c r="C66" s="52" t="s">
        <v>711</v>
      </c>
      <c r="D66" s="49"/>
      <c r="E66" s="49"/>
      <c r="F66" s="49"/>
      <c r="G66" s="49"/>
      <c r="H66" s="49" t="s">
        <v>523</v>
      </c>
      <c r="I66" s="49"/>
      <c r="J66" s="49" t="s">
        <v>523</v>
      </c>
      <c r="K66" s="49"/>
      <c r="L66" s="49"/>
      <c r="M66" s="49"/>
      <c r="N66" s="49"/>
    </row>
    <row r="67" spans="1:14" customFormat="1">
      <c r="A67" s="52" t="s">
        <v>838</v>
      </c>
      <c r="B67" s="53" t="s">
        <v>839</v>
      </c>
      <c r="C67" s="52" t="s">
        <v>724</v>
      </c>
      <c r="D67" s="49"/>
      <c r="E67" s="49" t="s">
        <v>523</v>
      </c>
      <c r="F67" s="49"/>
      <c r="G67" s="49"/>
      <c r="H67" s="49"/>
      <c r="I67" s="49"/>
      <c r="J67" s="49"/>
      <c r="K67" s="49"/>
      <c r="L67" s="49"/>
      <c r="M67" s="49"/>
      <c r="N67" s="49"/>
    </row>
    <row r="68" spans="1:14" customFormat="1">
      <c r="A68" s="52" t="s">
        <v>840</v>
      </c>
      <c r="B68" s="53" t="s">
        <v>841</v>
      </c>
      <c r="C68" s="52" t="s">
        <v>711</v>
      </c>
      <c r="D68" s="49"/>
      <c r="E68" s="49" t="s">
        <v>523</v>
      </c>
      <c r="F68" s="49"/>
      <c r="G68" s="49"/>
      <c r="H68" s="49" t="s">
        <v>523</v>
      </c>
      <c r="I68" s="49"/>
      <c r="J68" s="49" t="s">
        <v>523</v>
      </c>
      <c r="K68" s="49"/>
      <c r="L68" s="49"/>
      <c r="M68" s="49"/>
      <c r="N68" s="49"/>
    </row>
    <row r="69" spans="1:14" customFormat="1">
      <c r="A69" s="52" t="s">
        <v>842</v>
      </c>
      <c r="B69" s="53" t="s">
        <v>843</v>
      </c>
      <c r="C69" s="52" t="s">
        <v>711</v>
      </c>
      <c r="D69" s="49"/>
      <c r="E69" s="49"/>
      <c r="F69" s="49"/>
      <c r="G69" s="49"/>
      <c r="H69" s="49"/>
      <c r="I69" s="49"/>
      <c r="J69" s="49"/>
      <c r="K69" s="49"/>
      <c r="L69" s="49"/>
      <c r="M69" s="49"/>
      <c r="N69" s="49"/>
    </row>
    <row r="70" spans="1:14" customFormat="1">
      <c r="A70" s="52" t="s">
        <v>844</v>
      </c>
      <c r="B70" s="53" t="s">
        <v>845</v>
      </c>
      <c r="C70" s="52" t="s">
        <v>711</v>
      </c>
      <c r="D70" s="49"/>
      <c r="E70" s="49"/>
      <c r="F70" s="49"/>
      <c r="G70" s="49"/>
      <c r="H70" s="49"/>
      <c r="I70" s="49"/>
      <c r="J70" s="49"/>
      <c r="K70" s="49"/>
      <c r="L70" s="49"/>
      <c r="M70" s="49"/>
      <c r="N70" s="49"/>
    </row>
    <row r="71" spans="1:14" customFormat="1">
      <c r="A71" s="52" t="s">
        <v>846</v>
      </c>
      <c r="B71" s="53" t="s">
        <v>847</v>
      </c>
      <c r="C71" s="52" t="s">
        <v>724</v>
      </c>
      <c r="D71" s="49"/>
      <c r="E71" s="49"/>
      <c r="F71" s="49"/>
      <c r="G71" s="49"/>
      <c r="H71" s="49"/>
      <c r="I71" s="49"/>
      <c r="J71" s="49"/>
      <c r="K71" s="49"/>
      <c r="L71" s="49"/>
      <c r="M71" s="49"/>
      <c r="N71" s="49"/>
    </row>
    <row r="72" spans="1:14" customFormat="1">
      <c r="A72" s="52" t="s">
        <v>848</v>
      </c>
      <c r="B72" s="53" t="s">
        <v>849</v>
      </c>
      <c r="C72" s="52" t="s">
        <v>724</v>
      </c>
      <c r="D72" s="49"/>
      <c r="E72" s="49"/>
      <c r="F72" s="49"/>
      <c r="G72" s="49"/>
      <c r="H72" s="49"/>
      <c r="I72" s="49"/>
      <c r="J72" s="49"/>
      <c r="K72" s="49"/>
      <c r="L72" s="49"/>
      <c r="M72" s="49"/>
      <c r="N72" s="49"/>
    </row>
    <row r="73" spans="1:14" customFormat="1">
      <c r="A73" s="52" t="s">
        <v>850</v>
      </c>
      <c r="B73" s="53" t="s">
        <v>738</v>
      </c>
      <c r="C73" s="52" t="s">
        <v>739</v>
      </c>
      <c r="D73" s="49"/>
      <c r="E73" s="49"/>
      <c r="F73" s="49"/>
      <c r="G73" s="49"/>
      <c r="H73" s="49"/>
      <c r="I73" s="49"/>
      <c r="J73" s="49"/>
      <c r="K73" s="49"/>
      <c r="L73" s="49"/>
      <c r="M73" s="49"/>
      <c r="N73" s="49"/>
    </row>
    <row r="74" spans="1:14" customFormat="1">
      <c r="A74" s="52" t="s">
        <v>851</v>
      </c>
      <c r="B74" s="53" t="s">
        <v>852</v>
      </c>
      <c r="C74" s="52" t="s">
        <v>711</v>
      </c>
      <c r="D74" s="49"/>
      <c r="E74" s="49"/>
      <c r="F74" s="49"/>
      <c r="G74" s="49"/>
      <c r="H74" s="49"/>
      <c r="I74" s="49"/>
      <c r="J74" s="49"/>
      <c r="K74" s="49"/>
      <c r="L74" s="49"/>
      <c r="M74" s="49"/>
      <c r="N74" s="49"/>
    </row>
    <row r="75" spans="1:14" customFormat="1">
      <c r="A75" s="52" t="s">
        <v>853</v>
      </c>
      <c r="B75" s="53" t="s">
        <v>854</v>
      </c>
      <c r="C75" s="52" t="s">
        <v>711</v>
      </c>
      <c r="D75" s="49"/>
      <c r="E75" s="49"/>
      <c r="F75" s="49"/>
      <c r="G75" s="49"/>
      <c r="H75" s="49"/>
      <c r="I75" s="49"/>
      <c r="J75" s="49"/>
      <c r="K75" s="49"/>
      <c r="L75" s="49"/>
      <c r="M75" s="49"/>
      <c r="N75" s="49"/>
    </row>
    <row r="76" spans="1:14" customFormat="1">
      <c r="A76" s="52" t="s">
        <v>855</v>
      </c>
      <c r="B76" s="53" t="s">
        <v>856</v>
      </c>
      <c r="C76" s="52" t="s">
        <v>711</v>
      </c>
      <c r="D76" s="49"/>
      <c r="E76" s="49"/>
      <c r="F76" s="49"/>
      <c r="G76" s="49"/>
      <c r="H76" s="49"/>
      <c r="I76" s="49"/>
      <c r="J76" s="49"/>
      <c r="K76" s="49"/>
      <c r="L76" s="49"/>
      <c r="M76" s="49"/>
      <c r="N76" s="49"/>
    </row>
    <row r="77" spans="1:14" customFormat="1">
      <c r="A77" s="52" t="s">
        <v>857</v>
      </c>
      <c r="B77" s="53" t="s">
        <v>858</v>
      </c>
      <c r="C77" s="52" t="s">
        <v>711</v>
      </c>
      <c r="D77" s="49"/>
      <c r="E77" s="49"/>
      <c r="F77" s="49"/>
      <c r="G77" s="49"/>
      <c r="H77" s="49"/>
      <c r="I77" s="49"/>
      <c r="J77" s="49"/>
      <c r="K77" s="49" t="s">
        <v>523</v>
      </c>
      <c r="L77" s="49"/>
      <c r="M77" s="49" t="s">
        <v>523</v>
      </c>
      <c r="N77" s="49"/>
    </row>
    <row r="78" spans="1:14" customFormat="1">
      <c r="A78" s="52" t="s">
        <v>859</v>
      </c>
      <c r="B78" s="53" t="s">
        <v>860</v>
      </c>
      <c r="C78" s="52" t="s">
        <v>711</v>
      </c>
      <c r="D78" s="49"/>
      <c r="E78" s="49"/>
      <c r="F78" s="49"/>
      <c r="G78" s="49"/>
      <c r="H78" s="49"/>
      <c r="I78" s="49"/>
      <c r="J78" s="49"/>
      <c r="K78" s="49" t="s">
        <v>523</v>
      </c>
      <c r="L78" s="49"/>
      <c r="M78" s="49" t="s">
        <v>523</v>
      </c>
      <c r="N78" s="49"/>
    </row>
    <row r="79" spans="1:14" customFormat="1">
      <c r="A79" s="52" t="s">
        <v>861</v>
      </c>
      <c r="B79" s="53" t="s">
        <v>862</v>
      </c>
      <c r="C79" s="52" t="s">
        <v>729</v>
      </c>
      <c r="D79" s="49"/>
      <c r="E79" s="49"/>
      <c r="F79" s="49"/>
      <c r="G79" s="49"/>
      <c r="H79" s="49"/>
      <c r="I79" s="49"/>
      <c r="J79" s="49"/>
      <c r="K79" s="49"/>
      <c r="L79" s="49"/>
      <c r="M79" s="49"/>
      <c r="N79" s="49"/>
    </row>
    <row r="80" spans="1:14" customFormat="1">
      <c r="A80" s="52" t="s">
        <v>863</v>
      </c>
      <c r="B80" s="53" t="s">
        <v>864</v>
      </c>
      <c r="C80" s="52" t="s">
        <v>729</v>
      </c>
      <c r="D80" s="49"/>
      <c r="E80" s="49"/>
      <c r="F80" s="49"/>
      <c r="G80" s="49"/>
      <c r="H80" s="49"/>
      <c r="I80" s="49"/>
      <c r="J80" s="49"/>
      <c r="K80" s="49"/>
      <c r="L80" s="49"/>
      <c r="M80" s="49"/>
      <c r="N80" s="49"/>
    </row>
    <row r="81" spans="1:22" customFormat="1">
      <c r="A81" s="52" t="s">
        <v>865</v>
      </c>
      <c r="B81" s="53" t="s">
        <v>866</v>
      </c>
      <c r="C81" s="52" t="s">
        <v>729</v>
      </c>
      <c r="D81" s="49"/>
      <c r="E81" s="49"/>
      <c r="F81" s="49"/>
      <c r="G81" s="49"/>
      <c r="H81" s="49"/>
      <c r="I81" s="49"/>
      <c r="J81" s="49"/>
      <c r="K81" s="49"/>
      <c r="L81" s="49"/>
      <c r="M81" s="49"/>
      <c r="N81" s="49"/>
      <c r="O81" s="49"/>
      <c r="P81" s="49"/>
      <c r="Q81" s="49"/>
      <c r="R81" s="49"/>
      <c r="S81" s="49"/>
      <c r="T81" s="49"/>
      <c r="U81" s="49"/>
      <c r="V81" s="49"/>
    </row>
    <row r="82" spans="1:22" customFormat="1">
      <c r="A82" s="52" t="s">
        <v>867</v>
      </c>
      <c r="B82" s="53" t="s">
        <v>868</v>
      </c>
      <c r="C82" s="52" t="s">
        <v>711</v>
      </c>
      <c r="D82" s="49"/>
      <c r="E82" s="49"/>
      <c r="F82" s="49"/>
      <c r="G82" s="49"/>
      <c r="H82" s="49"/>
      <c r="I82" s="49"/>
      <c r="J82" s="49"/>
      <c r="K82" s="49"/>
      <c r="L82" s="49"/>
      <c r="M82" s="49"/>
      <c r="N82" s="49"/>
      <c r="O82" s="49"/>
      <c r="P82" s="49"/>
      <c r="Q82" s="49"/>
      <c r="R82" s="49"/>
      <c r="S82" s="49"/>
      <c r="T82" s="49"/>
      <c r="U82" s="49"/>
      <c r="V82" s="49"/>
    </row>
    <row r="83" spans="1:22" customFormat="1">
      <c r="A83" s="52" t="s">
        <v>869</v>
      </c>
      <c r="B83" s="53" t="s">
        <v>870</v>
      </c>
      <c r="C83" s="52" t="s">
        <v>711</v>
      </c>
      <c r="D83" s="49"/>
      <c r="E83" s="49"/>
      <c r="F83" s="49"/>
      <c r="G83" s="49" t="s">
        <v>523</v>
      </c>
      <c r="H83" s="49"/>
      <c r="I83" s="49"/>
      <c r="J83" s="49"/>
      <c r="K83" s="49"/>
      <c r="L83" s="49"/>
      <c r="M83" s="49"/>
      <c r="N83" s="49"/>
      <c r="O83" s="49"/>
      <c r="P83" s="49"/>
      <c r="Q83" s="49"/>
      <c r="R83" s="49"/>
      <c r="S83" s="49"/>
      <c r="T83" s="49"/>
      <c r="U83" s="49"/>
      <c r="V83" s="49"/>
    </row>
    <row r="84" spans="1:22" customFormat="1">
      <c r="A84" s="52" t="s">
        <v>871</v>
      </c>
      <c r="B84" s="53" t="s">
        <v>872</v>
      </c>
      <c r="C84" s="52" t="s">
        <v>711</v>
      </c>
      <c r="D84" s="49" t="s">
        <v>523</v>
      </c>
      <c r="E84" s="49"/>
      <c r="F84" s="49"/>
      <c r="G84" s="49"/>
      <c r="H84" s="49"/>
      <c r="I84" s="49"/>
      <c r="J84" s="49"/>
      <c r="K84" s="49"/>
      <c r="L84" s="49"/>
      <c r="M84" s="49"/>
      <c r="N84" s="49"/>
      <c r="O84" s="49"/>
      <c r="P84" s="49"/>
      <c r="Q84" s="49"/>
      <c r="R84" s="49" t="s">
        <v>523</v>
      </c>
      <c r="S84" s="49"/>
      <c r="T84" s="49"/>
      <c r="U84" s="49"/>
      <c r="V84" s="49"/>
    </row>
    <row r="85" spans="1:22" customFormat="1">
      <c r="A85" s="52" t="s">
        <v>873</v>
      </c>
      <c r="B85" s="53" t="s">
        <v>874</v>
      </c>
      <c r="C85" s="52" t="s">
        <v>711</v>
      </c>
      <c r="D85" s="49"/>
      <c r="E85" s="49"/>
      <c r="F85" s="49"/>
      <c r="G85" s="49" t="s">
        <v>523</v>
      </c>
      <c r="H85" s="49"/>
      <c r="I85" s="49"/>
      <c r="J85" s="49"/>
      <c r="K85" s="49"/>
      <c r="L85" s="49"/>
      <c r="M85" s="49"/>
      <c r="N85" s="49"/>
      <c r="O85" s="49"/>
      <c r="P85" s="49"/>
      <c r="Q85" s="49"/>
      <c r="R85" s="49"/>
      <c r="S85" s="49"/>
      <c r="T85" s="49"/>
      <c r="U85" s="49"/>
      <c r="V85" s="49"/>
    </row>
    <row r="86" spans="1:22" customFormat="1">
      <c r="A86" s="52" t="s">
        <v>875</v>
      </c>
      <c r="B86" s="53" t="s">
        <v>876</v>
      </c>
      <c r="C86" s="52" t="s">
        <v>711</v>
      </c>
      <c r="D86" s="49"/>
      <c r="E86" s="49"/>
      <c r="F86" s="49"/>
      <c r="G86" s="49" t="s">
        <v>523</v>
      </c>
      <c r="H86" s="49"/>
      <c r="I86" s="49"/>
      <c r="J86" s="49"/>
      <c r="K86" s="49"/>
      <c r="L86" s="49"/>
      <c r="M86" s="49"/>
      <c r="N86" s="49"/>
      <c r="O86" s="49"/>
      <c r="P86" s="49"/>
      <c r="Q86" s="49"/>
      <c r="R86" s="49"/>
      <c r="S86" s="49" t="s">
        <v>523</v>
      </c>
      <c r="T86" s="49"/>
      <c r="U86" s="49"/>
      <c r="V86" s="49"/>
    </row>
    <row r="87" spans="1:22" customFormat="1">
      <c r="A87" s="52" t="s">
        <v>877</v>
      </c>
      <c r="B87" s="53" t="s">
        <v>878</v>
      </c>
      <c r="C87" s="52" t="s">
        <v>711</v>
      </c>
      <c r="D87" s="49"/>
      <c r="E87" s="49"/>
      <c r="F87" s="49"/>
      <c r="G87" s="49"/>
      <c r="H87" s="49"/>
      <c r="I87" s="49"/>
      <c r="J87" s="49"/>
      <c r="K87" s="49"/>
      <c r="L87" s="49"/>
      <c r="M87" s="49"/>
      <c r="N87" s="49"/>
      <c r="O87" s="49"/>
      <c r="P87" s="49"/>
      <c r="Q87" s="49"/>
      <c r="R87" s="49"/>
      <c r="S87" s="49"/>
      <c r="T87" s="49"/>
      <c r="U87" s="49"/>
      <c r="V87" s="49"/>
    </row>
    <row r="88" spans="1:22" customFormat="1">
      <c r="A88" s="52" t="s">
        <v>879</v>
      </c>
      <c r="B88" s="53" t="s">
        <v>880</v>
      </c>
      <c r="C88" s="52" t="s">
        <v>711</v>
      </c>
      <c r="D88" s="49"/>
      <c r="E88" s="49"/>
      <c r="F88" s="49"/>
      <c r="G88" s="49"/>
      <c r="H88" s="49"/>
      <c r="I88" s="49"/>
      <c r="J88" s="49"/>
      <c r="K88" s="49"/>
      <c r="L88" s="49"/>
      <c r="M88" s="49"/>
      <c r="N88" s="49"/>
      <c r="O88" s="49"/>
      <c r="P88" s="49"/>
      <c r="Q88" s="49"/>
      <c r="R88" s="49"/>
      <c r="S88" s="49"/>
      <c r="T88" s="49"/>
      <c r="U88" s="49"/>
      <c r="V88" s="49"/>
    </row>
    <row r="89" spans="1:22" customFormat="1">
      <c r="A89" s="52" t="s">
        <v>881</v>
      </c>
      <c r="B89" s="53" t="s">
        <v>882</v>
      </c>
      <c r="C89" s="52" t="s">
        <v>711</v>
      </c>
      <c r="D89" s="49"/>
      <c r="E89" s="49"/>
      <c r="F89" s="49"/>
      <c r="G89" s="49"/>
      <c r="H89" s="49"/>
      <c r="I89" s="49"/>
      <c r="J89" s="49"/>
      <c r="K89" s="49"/>
      <c r="L89" s="49"/>
      <c r="M89" s="49"/>
      <c r="N89" s="49"/>
      <c r="O89" s="49"/>
      <c r="P89" s="49"/>
      <c r="Q89" s="49"/>
      <c r="R89" s="49"/>
      <c r="S89" s="49"/>
      <c r="T89" s="49"/>
      <c r="U89" s="49"/>
      <c r="V89" s="49"/>
    </row>
    <row r="90" spans="1:22" customFormat="1">
      <c r="A90" s="52" t="s">
        <v>883</v>
      </c>
      <c r="B90" s="53" t="s">
        <v>884</v>
      </c>
      <c r="C90" s="52" t="s">
        <v>729</v>
      </c>
      <c r="D90" s="49"/>
      <c r="E90" s="49"/>
      <c r="F90" s="49"/>
      <c r="G90" s="49"/>
      <c r="H90" s="49"/>
      <c r="I90" s="49"/>
      <c r="J90" s="49"/>
      <c r="K90" s="49"/>
      <c r="L90" s="49"/>
      <c r="M90" s="49"/>
      <c r="N90" s="49"/>
      <c r="O90" s="49"/>
      <c r="P90" s="49"/>
      <c r="Q90" s="49"/>
      <c r="R90" s="49"/>
      <c r="S90" s="49"/>
      <c r="T90" s="49"/>
      <c r="U90" s="49"/>
      <c r="V90" s="49"/>
    </row>
    <row r="91" spans="1:22" customFormat="1">
      <c r="A91" s="52" t="s">
        <v>885</v>
      </c>
      <c r="B91" s="53" t="s">
        <v>886</v>
      </c>
      <c r="C91" s="52" t="s">
        <v>729</v>
      </c>
      <c r="D91" s="49"/>
      <c r="E91" s="49"/>
      <c r="F91" s="49"/>
      <c r="G91" s="49"/>
      <c r="H91" s="49"/>
      <c r="I91" s="49" t="s">
        <v>523</v>
      </c>
      <c r="J91" s="49"/>
      <c r="K91" s="49"/>
      <c r="L91" s="49"/>
      <c r="M91" s="49"/>
      <c r="N91" s="49"/>
      <c r="O91" s="49"/>
      <c r="P91" s="49"/>
      <c r="Q91" s="49"/>
      <c r="R91" s="49"/>
      <c r="S91" s="49" t="s">
        <v>523</v>
      </c>
      <c r="T91" s="49"/>
      <c r="U91" s="49"/>
      <c r="V91" s="49"/>
    </row>
    <row r="92" spans="1:22" customFormat="1">
      <c r="A92" s="52" t="s">
        <v>887</v>
      </c>
      <c r="B92" s="53" t="s">
        <v>888</v>
      </c>
      <c r="C92" s="52" t="s">
        <v>729</v>
      </c>
      <c r="D92" s="49"/>
      <c r="E92" s="49"/>
      <c r="F92" s="49"/>
      <c r="G92" s="49"/>
      <c r="H92" s="49"/>
      <c r="I92" s="49"/>
      <c r="J92" s="49"/>
      <c r="K92" s="49"/>
      <c r="L92" s="49"/>
      <c r="M92" s="49"/>
      <c r="N92" s="49"/>
      <c r="O92" s="49"/>
      <c r="P92" s="49"/>
      <c r="Q92" s="49"/>
      <c r="R92" s="49"/>
      <c r="S92" s="49"/>
      <c r="T92" s="49"/>
      <c r="U92" s="49"/>
      <c r="V92" s="49"/>
    </row>
    <row r="93" spans="1:22" customFormat="1">
      <c r="A93" s="52" t="s">
        <v>889</v>
      </c>
      <c r="B93" s="53" t="s">
        <v>890</v>
      </c>
      <c r="C93" s="52" t="s">
        <v>711</v>
      </c>
      <c r="D93" s="49"/>
      <c r="E93" s="49"/>
      <c r="F93" s="49"/>
      <c r="G93" s="49"/>
      <c r="H93" s="49"/>
      <c r="I93" s="49"/>
      <c r="J93" s="49"/>
      <c r="K93" s="49"/>
      <c r="L93" s="49"/>
      <c r="M93" s="49"/>
      <c r="N93" s="49"/>
      <c r="O93" s="49"/>
      <c r="P93" s="49"/>
      <c r="Q93" s="49"/>
      <c r="R93" s="49"/>
      <c r="S93" s="49"/>
      <c r="T93" s="49"/>
      <c r="U93" s="49"/>
      <c r="V93" s="49" t="s">
        <v>523</v>
      </c>
    </row>
    <row r="94" spans="1:22" customFormat="1">
      <c r="A94" s="52" t="s">
        <v>891</v>
      </c>
      <c r="B94" s="53" t="s">
        <v>892</v>
      </c>
      <c r="C94" s="52" t="s">
        <v>724</v>
      </c>
      <c r="D94" s="49"/>
      <c r="E94" s="49"/>
      <c r="F94" s="49"/>
      <c r="G94" s="49"/>
      <c r="H94" s="49"/>
      <c r="I94" s="49"/>
      <c r="J94" s="49"/>
      <c r="K94" s="49"/>
      <c r="L94" s="49"/>
      <c r="M94" s="49"/>
      <c r="N94" s="49"/>
      <c r="O94" s="49"/>
      <c r="P94" s="49"/>
      <c r="Q94" s="49"/>
      <c r="R94" s="49"/>
      <c r="S94" s="49"/>
      <c r="T94" s="49"/>
      <c r="U94" s="49"/>
      <c r="V94" s="49" t="s">
        <v>523</v>
      </c>
    </row>
    <row r="95" spans="1:22" customFormat="1">
      <c r="A95" s="52" t="s">
        <v>893</v>
      </c>
      <c r="B95" s="53" t="s">
        <v>894</v>
      </c>
      <c r="C95" s="52" t="s">
        <v>724</v>
      </c>
      <c r="D95" s="49"/>
      <c r="E95" s="49"/>
      <c r="F95" s="49"/>
      <c r="G95" s="49"/>
      <c r="H95" s="49"/>
      <c r="I95" s="49"/>
      <c r="J95" s="49"/>
      <c r="K95" s="49"/>
      <c r="L95" s="49"/>
      <c r="M95" s="49"/>
      <c r="N95" s="49"/>
      <c r="O95" s="49"/>
      <c r="P95" s="49"/>
      <c r="Q95" s="49"/>
      <c r="R95" s="49"/>
      <c r="S95" s="49"/>
      <c r="T95" s="49"/>
      <c r="U95" s="49"/>
      <c r="V95" s="49" t="s">
        <v>523</v>
      </c>
    </row>
    <row r="96" spans="1:22" customFormat="1">
      <c r="A96" s="52" t="s">
        <v>895</v>
      </c>
      <c r="B96" s="53" t="s">
        <v>896</v>
      </c>
      <c r="C96" s="52" t="s">
        <v>711</v>
      </c>
      <c r="D96" s="49"/>
      <c r="E96" s="49"/>
      <c r="F96" s="49"/>
      <c r="G96" s="49"/>
      <c r="H96" s="49"/>
      <c r="I96" s="49"/>
      <c r="J96" s="49"/>
      <c r="K96" s="49"/>
      <c r="L96" s="49"/>
      <c r="M96" s="49"/>
      <c r="N96" s="49"/>
      <c r="O96" s="49"/>
      <c r="P96" s="49"/>
      <c r="Q96" s="49"/>
      <c r="R96" s="49"/>
      <c r="S96" s="49"/>
      <c r="T96" s="49"/>
      <c r="U96" s="49"/>
      <c r="V96" s="49" t="s">
        <v>523</v>
      </c>
    </row>
    <row r="97" spans="1:22" customFormat="1">
      <c r="A97" s="52" t="s">
        <v>897</v>
      </c>
      <c r="B97" s="53" t="s">
        <v>898</v>
      </c>
      <c r="C97" s="52" t="s">
        <v>711</v>
      </c>
      <c r="D97" s="49"/>
      <c r="E97" s="49"/>
      <c r="F97" s="49"/>
      <c r="G97" s="49"/>
      <c r="H97" s="49"/>
      <c r="I97" s="49"/>
      <c r="J97" s="49"/>
      <c r="K97" s="49"/>
      <c r="L97" s="49"/>
      <c r="M97" s="49"/>
      <c r="N97" s="49"/>
      <c r="O97" s="49"/>
      <c r="P97" s="49"/>
      <c r="Q97" s="49"/>
      <c r="R97" s="49"/>
      <c r="S97" s="49"/>
      <c r="T97" s="49"/>
      <c r="U97" s="49"/>
      <c r="V97" s="49" t="s">
        <v>523</v>
      </c>
    </row>
    <row r="98" spans="1:22" customFormat="1">
      <c r="A98" s="52" t="s">
        <v>899</v>
      </c>
      <c r="B98" s="53" t="s">
        <v>900</v>
      </c>
      <c r="C98" s="52" t="s">
        <v>711</v>
      </c>
      <c r="D98" s="49"/>
      <c r="E98" s="49"/>
      <c r="F98" s="49"/>
      <c r="G98" s="49"/>
      <c r="H98" s="49"/>
      <c r="I98" s="49"/>
      <c r="J98" s="49"/>
      <c r="K98" s="49"/>
      <c r="L98" s="49"/>
      <c r="M98" s="49"/>
      <c r="N98" s="49"/>
      <c r="O98" s="49"/>
      <c r="P98" s="49"/>
      <c r="Q98" s="49"/>
      <c r="R98" s="49"/>
      <c r="S98" s="49"/>
      <c r="T98" s="49"/>
      <c r="U98" s="49"/>
      <c r="V98" s="49" t="s">
        <v>523</v>
      </c>
    </row>
    <row r="99" spans="1:22" customFormat="1">
      <c r="A99" s="52" t="s">
        <v>901</v>
      </c>
      <c r="B99" s="53" t="s">
        <v>902</v>
      </c>
      <c r="C99" s="52" t="s">
        <v>734</v>
      </c>
      <c r="D99" s="49"/>
      <c r="E99" s="49"/>
      <c r="F99" s="49"/>
      <c r="G99" s="49"/>
      <c r="H99" s="49"/>
      <c r="I99" s="49"/>
      <c r="J99" s="49"/>
      <c r="K99" s="49"/>
      <c r="L99" s="49"/>
      <c r="M99" s="49"/>
      <c r="N99" s="49"/>
      <c r="O99" s="49"/>
      <c r="P99" s="49"/>
      <c r="Q99" s="49"/>
      <c r="R99" s="49"/>
      <c r="S99" s="49"/>
      <c r="T99" s="49"/>
      <c r="U99" s="49"/>
      <c r="V99" s="49" t="s">
        <v>523</v>
      </c>
    </row>
    <row r="100" spans="1:22" customFormat="1">
      <c r="A100" s="52" t="s">
        <v>903</v>
      </c>
      <c r="B100" s="53" t="s">
        <v>904</v>
      </c>
      <c r="C100" s="52" t="s">
        <v>711</v>
      </c>
      <c r="D100" s="49"/>
      <c r="E100" s="49"/>
      <c r="F100" s="49"/>
      <c r="G100" s="49"/>
      <c r="H100" s="49"/>
      <c r="I100" s="49"/>
      <c r="J100" s="49"/>
      <c r="K100" s="49"/>
      <c r="L100" s="49"/>
      <c r="M100" s="49"/>
      <c r="N100" s="49"/>
      <c r="O100" s="49"/>
      <c r="P100" s="49"/>
      <c r="Q100" s="49"/>
      <c r="R100" s="49"/>
      <c r="S100" s="49"/>
      <c r="T100" s="49"/>
      <c r="U100" s="49"/>
      <c r="V100" s="49" t="s">
        <v>523</v>
      </c>
    </row>
    <row r="101" spans="1:22" customFormat="1">
      <c r="A101" s="52" t="s">
        <v>905</v>
      </c>
      <c r="B101" s="53" t="s">
        <v>906</v>
      </c>
      <c r="C101" s="52" t="s">
        <v>729</v>
      </c>
      <c r="D101" s="49"/>
      <c r="E101" s="49"/>
      <c r="F101" s="49"/>
      <c r="G101" s="49"/>
      <c r="H101" s="49"/>
      <c r="I101" s="49"/>
      <c r="J101" s="49"/>
      <c r="K101" s="49"/>
      <c r="L101" s="49"/>
      <c r="M101" s="49"/>
      <c r="N101" s="49"/>
      <c r="O101" s="49"/>
      <c r="P101" s="49" t="s">
        <v>523</v>
      </c>
      <c r="Q101" s="49"/>
      <c r="R101" s="49"/>
      <c r="S101" s="49"/>
      <c r="T101" s="49"/>
      <c r="U101" s="49"/>
      <c r="V101" s="49"/>
    </row>
    <row r="102" spans="1:22" customFormat="1">
      <c r="A102" s="52" t="s">
        <v>907</v>
      </c>
      <c r="B102" s="53" t="s">
        <v>908</v>
      </c>
      <c r="C102" s="52" t="s">
        <v>729</v>
      </c>
      <c r="D102" s="49"/>
      <c r="E102" s="49"/>
      <c r="F102" s="49"/>
      <c r="G102" s="49"/>
      <c r="H102" s="49"/>
      <c r="I102" s="49"/>
      <c r="J102" s="49"/>
      <c r="K102" s="49"/>
      <c r="L102" s="49"/>
      <c r="M102" s="49"/>
      <c r="N102" s="49"/>
      <c r="O102" s="49"/>
      <c r="P102" s="49"/>
      <c r="Q102" s="49"/>
      <c r="R102" s="49"/>
      <c r="S102" s="49"/>
      <c r="T102" s="49"/>
      <c r="U102" s="49"/>
      <c r="V102" s="49" t="s">
        <v>523</v>
      </c>
    </row>
    <row r="103" spans="1:22" customFormat="1">
      <c r="A103" s="52" t="s">
        <v>909</v>
      </c>
      <c r="B103" s="53" t="s">
        <v>910</v>
      </c>
      <c r="C103" s="52" t="s">
        <v>711</v>
      </c>
      <c r="D103" s="49"/>
      <c r="E103" s="49"/>
      <c r="F103" s="49"/>
      <c r="G103" s="49"/>
      <c r="H103" s="49"/>
      <c r="I103" s="49"/>
      <c r="J103" s="49"/>
      <c r="K103" s="49"/>
      <c r="L103" s="49"/>
      <c r="M103" s="49"/>
      <c r="N103" s="49"/>
      <c r="O103" s="49"/>
      <c r="P103" s="49"/>
      <c r="Q103" s="49"/>
      <c r="R103" s="49"/>
      <c r="S103" s="49"/>
      <c r="T103" s="49"/>
      <c r="U103" s="49"/>
      <c r="V103" s="49"/>
    </row>
    <row r="104" spans="1:22" customFormat="1">
      <c r="A104" s="52" t="s">
        <v>911</v>
      </c>
      <c r="B104" s="53" t="s">
        <v>912</v>
      </c>
      <c r="C104" s="52" t="s">
        <v>724</v>
      </c>
      <c r="D104" s="49"/>
      <c r="E104" s="49"/>
      <c r="F104" s="49"/>
      <c r="G104" s="49"/>
      <c r="H104" s="49"/>
      <c r="I104" s="49"/>
      <c r="J104" s="49"/>
      <c r="K104" s="49"/>
      <c r="L104" s="49"/>
      <c r="M104" s="49"/>
      <c r="N104" s="49"/>
      <c r="O104" s="49"/>
      <c r="P104" s="49"/>
      <c r="Q104" s="49"/>
      <c r="R104" s="49"/>
      <c r="S104" s="49"/>
      <c r="T104" s="49"/>
      <c r="U104" s="49"/>
      <c r="V104" s="49"/>
    </row>
    <row r="105" spans="1:22" customFormat="1">
      <c r="A105" s="52" t="s">
        <v>913</v>
      </c>
      <c r="B105" s="53" t="s">
        <v>914</v>
      </c>
      <c r="C105" s="52" t="s">
        <v>724</v>
      </c>
      <c r="D105" s="49"/>
      <c r="E105" s="49"/>
      <c r="F105" s="49"/>
      <c r="G105" s="49"/>
      <c r="H105" s="49"/>
      <c r="I105" s="49"/>
      <c r="J105" s="49"/>
      <c r="K105" s="49"/>
      <c r="L105" s="49"/>
      <c r="M105" s="49"/>
      <c r="N105" s="49"/>
      <c r="O105" s="49"/>
      <c r="P105" s="49"/>
      <c r="Q105" s="49"/>
      <c r="R105" s="49"/>
      <c r="S105" s="49"/>
      <c r="T105" s="49"/>
      <c r="U105" s="49"/>
      <c r="V105" s="49"/>
    </row>
    <row r="106" spans="1:22" customFormat="1">
      <c r="A106" s="52" t="s">
        <v>915</v>
      </c>
      <c r="B106" s="53" t="s">
        <v>916</v>
      </c>
      <c r="C106" s="52" t="s">
        <v>711</v>
      </c>
      <c r="D106" s="49"/>
      <c r="E106" s="49"/>
      <c r="F106" s="49"/>
      <c r="G106" s="49"/>
      <c r="H106" s="49" t="s">
        <v>523</v>
      </c>
      <c r="I106" s="49"/>
      <c r="J106" s="49" t="s">
        <v>523</v>
      </c>
      <c r="K106" s="49"/>
      <c r="L106" s="49"/>
      <c r="M106" s="49"/>
      <c r="N106" s="49" t="s">
        <v>523</v>
      </c>
      <c r="O106" s="49"/>
      <c r="P106" s="49"/>
      <c r="Q106" s="49"/>
      <c r="R106" s="49"/>
      <c r="S106" s="49"/>
      <c r="T106" s="49"/>
      <c r="U106" s="49"/>
      <c r="V106" s="49"/>
    </row>
    <row r="107" spans="1:22" customFormat="1">
      <c r="A107" s="52" t="s">
        <v>917</v>
      </c>
      <c r="B107" s="53" t="s">
        <v>918</v>
      </c>
      <c r="C107" s="52" t="s">
        <v>711</v>
      </c>
      <c r="D107" s="49"/>
      <c r="E107" s="49"/>
      <c r="F107" s="49"/>
      <c r="G107" s="49"/>
      <c r="H107" s="49"/>
      <c r="I107" s="49"/>
      <c r="J107" s="49"/>
      <c r="K107" s="49"/>
      <c r="L107" s="49"/>
      <c r="M107" s="49"/>
      <c r="N107" s="49"/>
      <c r="O107" s="49"/>
      <c r="P107" s="49"/>
      <c r="Q107" s="49"/>
      <c r="R107" s="49"/>
      <c r="S107" s="49"/>
      <c r="T107" s="49"/>
      <c r="U107" s="49"/>
      <c r="V107" s="49"/>
    </row>
    <row r="108" spans="1:22" customFormat="1">
      <c r="A108" s="52" t="s">
        <v>919</v>
      </c>
      <c r="B108" s="53" t="s">
        <v>920</v>
      </c>
      <c r="C108" s="52" t="s">
        <v>724</v>
      </c>
      <c r="D108" s="49"/>
      <c r="E108" s="49"/>
      <c r="F108" s="49"/>
      <c r="G108" s="49"/>
      <c r="H108" s="49"/>
      <c r="I108" s="49"/>
      <c r="J108" s="49"/>
      <c r="K108" s="49"/>
      <c r="L108" s="49"/>
      <c r="M108" s="49"/>
      <c r="N108" s="49"/>
      <c r="O108" s="49"/>
      <c r="P108" s="49"/>
      <c r="Q108" s="49"/>
      <c r="R108" s="49"/>
      <c r="S108" s="49"/>
      <c r="T108" s="49"/>
      <c r="U108" s="49"/>
      <c r="V108" s="49"/>
    </row>
    <row r="109" spans="1:22" customFormat="1">
      <c r="A109" s="52" t="s">
        <v>921</v>
      </c>
      <c r="B109" s="53" t="s">
        <v>922</v>
      </c>
      <c r="C109" s="52" t="s">
        <v>711</v>
      </c>
      <c r="D109" s="49"/>
      <c r="E109" s="49"/>
      <c r="F109" s="49"/>
      <c r="G109" s="49"/>
      <c r="H109" s="49"/>
      <c r="I109" s="49"/>
      <c r="J109" s="49"/>
      <c r="K109" s="49"/>
      <c r="L109" s="49"/>
      <c r="M109" s="49"/>
      <c r="N109" s="49"/>
      <c r="O109" s="49"/>
      <c r="P109" s="49"/>
      <c r="Q109" s="49"/>
      <c r="R109" s="49"/>
      <c r="S109" s="49"/>
      <c r="T109" s="49"/>
      <c r="U109" s="49"/>
      <c r="V109" s="49"/>
    </row>
    <row r="110" spans="1:22" customFormat="1">
      <c r="A110" s="52" t="s">
        <v>923</v>
      </c>
      <c r="B110" s="53" t="s">
        <v>924</v>
      </c>
      <c r="C110" s="52" t="s">
        <v>711</v>
      </c>
      <c r="D110" s="49"/>
      <c r="E110" s="49"/>
      <c r="F110" s="49"/>
      <c r="G110" s="49"/>
      <c r="H110" s="49"/>
      <c r="I110" s="49"/>
      <c r="J110" s="49"/>
      <c r="K110" s="49"/>
      <c r="L110" s="49"/>
      <c r="M110" s="49"/>
      <c r="N110" s="49"/>
      <c r="O110" s="49"/>
      <c r="P110" s="49"/>
      <c r="Q110" s="49"/>
      <c r="R110" s="49"/>
      <c r="S110" s="49"/>
      <c r="T110" s="49"/>
      <c r="U110" s="49"/>
      <c r="V110" s="49"/>
    </row>
    <row r="111" spans="1:22" customFormat="1">
      <c r="A111" s="52" t="s">
        <v>925</v>
      </c>
      <c r="B111" s="53" t="s">
        <v>926</v>
      </c>
      <c r="C111" s="52" t="s">
        <v>724</v>
      </c>
      <c r="D111" s="49"/>
      <c r="E111" s="49"/>
      <c r="F111" s="49"/>
      <c r="G111" s="49"/>
      <c r="H111" s="49"/>
      <c r="I111" s="49"/>
      <c r="J111" s="49"/>
      <c r="K111" s="49"/>
      <c r="L111" s="49"/>
      <c r="M111" s="49"/>
      <c r="N111" s="49"/>
      <c r="O111" s="49"/>
      <c r="P111" s="49"/>
      <c r="Q111" s="49" t="s">
        <v>523</v>
      </c>
      <c r="R111" s="49"/>
      <c r="S111" s="49"/>
      <c r="T111" s="49"/>
      <c r="U111" s="49"/>
      <c r="V111" s="49"/>
    </row>
    <row r="112" spans="1:22" customFormat="1">
      <c r="A112" s="52" t="s">
        <v>927</v>
      </c>
      <c r="B112" s="53" t="s">
        <v>928</v>
      </c>
      <c r="C112" s="52" t="s">
        <v>711</v>
      </c>
      <c r="D112" s="49"/>
      <c r="E112" s="49"/>
      <c r="F112" s="49"/>
      <c r="G112" s="49"/>
      <c r="H112" s="49"/>
      <c r="I112" s="49"/>
      <c r="J112" s="49"/>
      <c r="K112" s="49" t="s">
        <v>523</v>
      </c>
      <c r="L112" s="49"/>
      <c r="M112" s="49" t="s">
        <v>523</v>
      </c>
      <c r="N112" s="49"/>
      <c r="O112" s="49"/>
      <c r="P112" s="49"/>
      <c r="Q112" s="49"/>
      <c r="R112" s="49"/>
      <c r="S112" s="49"/>
      <c r="T112" s="49"/>
      <c r="U112" s="49"/>
      <c r="V112" s="49"/>
    </row>
    <row r="113" spans="1:16" customFormat="1">
      <c r="A113" s="52" t="s">
        <v>929</v>
      </c>
      <c r="B113" s="53" t="s">
        <v>930</v>
      </c>
      <c r="C113" s="52" t="s">
        <v>711</v>
      </c>
      <c r="D113" s="49"/>
      <c r="E113" s="49"/>
      <c r="F113" s="49"/>
      <c r="G113" s="49"/>
      <c r="H113" s="49"/>
      <c r="I113" s="49"/>
      <c r="J113" s="49"/>
      <c r="K113" s="49"/>
      <c r="L113" s="49"/>
      <c r="M113" s="49"/>
      <c r="N113" s="49"/>
      <c r="O113" s="49"/>
      <c r="P113" s="49" t="s">
        <v>523</v>
      </c>
    </row>
    <row r="114" spans="1:16" customFormat="1">
      <c r="A114" s="52" t="s">
        <v>931</v>
      </c>
      <c r="B114" s="53" t="s">
        <v>932</v>
      </c>
      <c r="C114" s="52" t="s">
        <v>711</v>
      </c>
      <c r="D114" s="49"/>
      <c r="E114" s="49"/>
      <c r="F114" s="49"/>
      <c r="G114" s="49"/>
      <c r="H114" s="49"/>
      <c r="I114" s="49"/>
      <c r="J114" s="49"/>
      <c r="K114" s="49"/>
      <c r="L114" s="49"/>
      <c r="M114" s="49"/>
      <c r="N114" s="49"/>
      <c r="O114" s="49"/>
      <c r="P114" s="49"/>
    </row>
    <row r="115" spans="1:16" customFormat="1">
      <c r="A115" s="52" t="s">
        <v>933</v>
      </c>
      <c r="B115" s="53" t="s">
        <v>934</v>
      </c>
      <c r="C115" s="52" t="s">
        <v>711</v>
      </c>
      <c r="D115" s="49"/>
      <c r="E115" s="49"/>
      <c r="F115" s="49"/>
      <c r="G115" s="49"/>
      <c r="H115" s="49"/>
      <c r="I115" s="49"/>
      <c r="J115" s="49"/>
      <c r="K115" s="49"/>
      <c r="L115" s="49"/>
      <c r="M115" s="49"/>
      <c r="N115" s="49"/>
      <c r="O115" s="49"/>
      <c r="P115" s="49"/>
    </row>
    <row r="116" spans="1:16" customFormat="1">
      <c r="A116" s="52" t="s">
        <v>935</v>
      </c>
      <c r="B116" s="53" t="s">
        <v>936</v>
      </c>
      <c r="C116" s="52" t="s">
        <v>729</v>
      </c>
      <c r="D116" s="49"/>
      <c r="E116" s="49"/>
      <c r="F116" s="49"/>
      <c r="G116" s="49"/>
      <c r="H116" s="49"/>
      <c r="I116" s="49"/>
      <c r="J116" s="49"/>
      <c r="K116" s="49"/>
      <c r="L116" s="49"/>
      <c r="M116" s="49"/>
      <c r="N116" s="49"/>
      <c r="O116" s="49"/>
      <c r="P116" s="49"/>
    </row>
    <row r="117" spans="1:16" customFormat="1">
      <c r="A117" s="52" t="s">
        <v>937</v>
      </c>
      <c r="B117" s="53" t="s">
        <v>938</v>
      </c>
      <c r="C117" s="52" t="s">
        <v>711</v>
      </c>
      <c r="D117" s="49"/>
      <c r="E117" s="49"/>
      <c r="F117" s="49"/>
      <c r="G117" s="49"/>
      <c r="H117" s="49"/>
      <c r="I117" s="49"/>
      <c r="J117" s="49"/>
      <c r="K117" s="49"/>
      <c r="L117" s="49"/>
      <c r="M117" s="49"/>
      <c r="N117" s="49"/>
      <c r="O117" s="49"/>
      <c r="P117" s="49"/>
    </row>
    <row r="118" spans="1:16" customFormat="1">
      <c r="A118" s="52" t="s">
        <v>939</v>
      </c>
      <c r="B118" s="53" t="s">
        <v>940</v>
      </c>
      <c r="C118" s="52" t="s">
        <v>711</v>
      </c>
      <c r="D118" s="49"/>
      <c r="E118" s="49"/>
      <c r="F118" s="49"/>
      <c r="G118" s="49"/>
      <c r="H118" s="49"/>
      <c r="I118" s="49"/>
      <c r="J118" s="49"/>
      <c r="K118" s="49"/>
      <c r="L118" s="49"/>
      <c r="M118" s="49"/>
      <c r="N118" s="49"/>
      <c r="O118" s="49"/>
      <c r="P118" s="49"/>
    </row>
    <row r="119" spans="1:16" customFormat="1">
      <c r="A119" s="52" t="s">
        <v>941</v>
      </c>
      <c r="B119" s="53" t="s">
        <v>942</v>
      </c>
      <c r="C119" s="52" t="s">
        <v>711</v>
      </c>
      <c r="D119" s="49"/>
      <c r="E119" s="49"/>
      <c r="F119" s="49"/>
      <c r="G119" s="49"/>
      <c r="H119" s="49"/>
      <c r="I119" s="49"/>
      <c r="J119" s="49"/>
      <c r="K119" s="49"/>
      <c r="L119" s="49"/>
      <c r="M119" s="49"/>
      <c r="N119" s="49"/>
      <c r="O119" s="49"/>
      <c r="P119" s="49"/>
    </row>
    <row r="120" spans="1:16" customFormat="1">
      <c r="A120" s="52" t="s">
        <v>943</v>
      </c>
      <c r="B120" s="53" t="s">
        <v>944</v>
      </c>
      <c r="C120" s="52" t="s">
        <v>711</v>
      </c>
      <c r="D120" s="49"/>
      <c r="E120" s="49"/>
      <c r="F120" s="49"/>
      <c r="G120" s="49"/>
      <c r="H120" s="49"/>
      <c r="I120" s="49"/>
      <c r="J120" s="49"/>
      <c r="K120" s="49"/>
      <c r="L120" s="49"/>
      <c r="M120" s="49"/>
      <c r="N120" s="49"/>
      <c r="O120" s="49"/>
      <c r="P120" s="49"/>
    </row>
    <row r="121" spans="1:16" customFormat="1">
      <c r="A121" s="52" t="s">
        <v>945</v>
      </c>
      <c r="B121" s="53" t="s">
        <v>946</v>
      </c>
      <c r="C121" s="52" t="s">
        <v>724</v>
      </c>
      <c r="D121" s="49"/>
      <c r="E121" s="49"/>
      <c r="F121" s="49"/>
      <c r="G121" s="49"/>
      <c r="H121" s="49"/>
      <c r="I121" s="49"/>
      <c r="J121" s="49"/>
      <c r="K121" s="49"/>
      <c r="L121" s="49"/>
      <c r="M121" s="49"/>
      <c r="N121" s="49"/>
      <c r="O121" s="49"/>
      <c r="P121" s="49"/>
    </row>
    <row r="122" spans="1:16" customFormat="1">
      <c r="A122" s="52" t="s">
        <v>947</v>
      </c>
      <c r="B122" s="53" t="s">
        <v>948</v>
      </c>
      <c r="C122" s="52" t="s">
        <v>711</v>
      </c>
      <c r="D122" s="49"/>
      <c r="E122" s="49"/>
      <c r="F122" s="49"/>
      <c r="G122" s="49"/>
      <c r="H122" s="49"/>
      <c r="I122" s="49"/>
      <c r="J122" s="49"/>
      <c r="K122" s="49"/>
      <c r="L122" s="49"/>
      <c r="M122" s="49"/>
      <c r="N122" s="49"/>
      <c r="O122" s="49"/>
      <c r="P122" s="49"/>
    </row>
    <row r="123" spans="1:16" customFormat="1">
      <c r="A123" s="52" t="s">
        <v>949</v>
      </c>
      <c r="B123" s="53" t="s">
        <v>738</v>
      </c>
      <c r="C123" s="52" t="s">
        <v>739</v>
      </c>
      <c r="D123" s="49"/>
      <c r="E123" s="49"/>
      <c r="F123" s="49"/>
      <c r="G123" s="49"/>
      <c r="H123" s="49"/>
      <c r="I123" s="49"/>
      <c r="J123" s="49"/>
      <c r="K123" s="49"/>
      <c r="L123" s="49"/>
      <c r="M123" s="49"/>
      <c r="N123" s="49"/>
      <c r="O123" s="49"/>
      <c r="P123" s="49"/>
    </row>
    <row r="124" spans="1:16" customFormat="1">
      <c r="A124" s="52" t="s">
        <v>950</v>
      </c>
      <c r="B124" s="53" t="s">
        <v>951</v>
      </c>
      <c r="C124" s="52" t="s">
        <v>734</v>
      </c>
      <c r="D124" s="49"/>
      <c r="E124" s="49"/>
      <c r="F124" s="49"/>
      <c r="G124" s="49"/>
      <c r="H124" s="49"/>
      <c r="I124" s="49"/>
      <c r="J124" s="49"/>
      <c r="K124" s="49"/>
      <c r="L124" s="49"/>
      <c r="M124" s="49"/>
      <c r="N124" s="49"/>
      <c r="O124" s="49"/>
      <c r="P124" s="49"/>
    </row>
    <row r="125" spans="1:16" customFormat="1">
      <c r="A125" s="52" t="s">
        <v>952</v>
      </c>
      <c r="B125" s="53" t="s">
        <v>953</v>
      </c>
      <c r="C125" s="52" t="s">
        <v>711</v>
      </c>
      <c r="D125" s="49"/>
      <c r="E125" s="49"/>
      <c r="F125" s="49"/>
      <c r="G125" s="49"/>
      <c r="H125" s="49"/>
      <c r="I125" s="49"/>
      <c r="J125" s="49"/>
      <c r="K125" s="49"/>
      <c r="L125" s="49"/>
      <c r="M125" s="49"/>
      <c r="N125" s="49"/>
      <c r="O125" s="49"/>
      <c r="P125" s="49"/>
    </row>
    <row r="126" spans="1:16" customFormat="1">
      <c r="A126" s="52" t="s">
        <v>954</v>
      </c>
      <c r="B126" s="53" t="s">
        <v>955</v>
      </c>
      <c r="C126" s="52" t="s">
        <v>711</v>
      </c>
      <c r="D126" s="49"/>
      <c r="E126" s="49"/>
      <c r="F126" s="49"/>
      <c r="G126" s="49"/>
      <c r="H126" s="49"/>
      <c r="I126" s="49"/>
      <c r="J126" s="49"/>
      <c r="K126" s="49"/>
      <c r="L126" s="49"/>
      <c r="M126" s="49"/>
      <c r="N126" s="49"/>
      <c r="O126" s="49"/>
      <c r="P126" s="49"/>
    </row>
    <row r="127" spans="1:16" customFormat="1">
      <c r="A127" s="52" t="s">
        <v>956</v>
      </c>
      <c r="B127" s="53" t="s">
        <v>957</v>
      </c>
      <c r="C127" s="52" t="s">
        <v>711</v>
      </c>
      <c r="D127" s="49"/>
      <c r="E127" s="49"/>
      <c r="F127" s="49"/>
      <c r="G127" s="49"/>
      <c r="H127" s="49"/>
      <c r="I127" s="49"/>
      <c r="J127" s="49"/>
      <c r="K127" s="49"/>
      <c r="L127" s="49"/>
      <c r="M127" s="49"/>
      <c r="N127" s="49"/>
      <c r="O127" s="49"/>
      <c r="P127" s="49"/>
    </row>
    <row r="128" spans="1:16" customFormat="1">
      <c r="A128" s="52" t="s">
        <v>958</v>
      </c>
      <c r="B128" s="53" t="s">
        <v>959</v>
      </c>
      <c r="C128" s="52" t="s">
        <v>711</v>
      </c>
      <c r="D128" s="49"/>
      <c r="E128" s="49"/>
      <c r="F128" s="49"/>
      <c r="G128" s="49"/>
      <c r="H128" s="49"/>
      <c r="I128" s="49"/>
      <c r="J128" s="49"/>
      <c r="K128" s="49"/>
      <c r="L128" s="49"/>
      <c r="M128" s="49"/>
      <c r="N128" s="49"/>
      <c r="O128" s="49"/>
      <c r="P128" s="49"/>
    </row>
    <row r="129" spans="1:3" customFormat="1">
      <c r="A129" s="52" t="s">
        <v>960</v>
      </c>
      <c r="B129" s="53" t="s">
        <v>961</v>
      </c>
      <c r="C129" s="52" t="s">
        <v>711</v>
      </c>
    </row>
    <row r="130" spans="1:3" customFormat="1">
      <c r="A130" s="52" t="s">
        <v>962</v>
      </c>
      <c r="B130" s="53" t="s">
        <v>963</v>
      </c>
      <c r="C130" s="52" t="s">
        <v>711</v>
      </c>
    </row>
    <row r="131" spans="1:3" customFormat="1">
      <c r="A131" s="52" t="s">
        <v>964</v>
      </c>
      <c r="B131" s="53" t="s">
        <v>965</v>
      </c>
      <c r="C131" s="52" t="s">
        <v>711</v>
      </c>
    </row>
    <row r="132" spans="1:3" customFormat="1">
      <c r="A132" s="52" t="s">
        <v>966</v>
      </c>
      <c r="B132" s="53" t="s">
        <v>967</v>
      </c>
      <c r="C132" s="52" t="s">
        <v>724</v>
      </c>
    </row>
    <row r="133" spans="1:3" customFormat="1">
      <c r="A133" s="52" t="s">
        <v>968</v>
      </c>
      <c r="B133" s="53" t="s">
        <v>969</v>
      </c>
      <c r="C133" s="52" t="s">
        <v>724</v>
      </c>
    </row>
    <row r="134" spans="1:3" customFormat="1">
      <c r="A134" s="52" t="s">
        <v>970</v>
      </c>
      <c r="B134" s="53" t="s">
        <v>971</v>
      </c>
      <c r="C134" s="52" t="s">
        <v>734</v>
      </c>
    </row>
    <row r="135" spans="1:3" customFormat="1">
      <c r="A135" s="52" t="s">
        <v>972</v>
      </c>
      <c r="B135" s="53" t="s">
        <v>973</v>
      </c>
      <c r="C135" s="52" t="s">
        <v>729</v>
      </c>
    </row>
    <row r="136" spans="1:3" customFormat="1">
      <c r="A136" s="52" t="s">
        <v>974</v>
      </c>
      <c r="B136" s="53" t="s">
        <v>975</v>
      </c>
      <c r="C136" s="52" t="s">
        <v>729</v>
      </c>
    </row>
    <row r="137" spans="1:3" customFormat="1">
      <c r="A137" s="52" t="s">
        <v>976</v>
      </c>
      <c r="B137" s="53" t="s">
        <v>977</v>
      </c>
      <c r="C137" s="52" t="s">
        <v>711</v>
      </c>
    </row>
    <row r="138" spans="1:3" customFormat="1">
      <c r="A138" s="52" t="s">
        <v>978</v>
      </c>
      <c r="B138" s="53" t="s">
        <v>979</v>
      </c>
      <c r="C138" s="52" t="s">
        <v>711</v>
      </c>
    </row>
    <row r="139" spans="1:3" customFormat="1">
      <c r="A139" s="52" t="s">
        <v>980</v>
      </c>
      <c r="B139" s="53" t="s">
        <v>738</v>
      </c>
      <c r="C139" s="52" t="s">
        <v>739</v>
      </c>
    </row>
    <row r="140" spans="1:3" customFormat="1">
      <c r="A140" s="52" t="s">
        <v>981</v>
      </c>
      <c r="B140" s="53" t="s">
        <v>982</v>
      </c>
      <c r="C140" s="52" t="s">
        <v>724</v>
      </c>
    </row>
    <row r="141" spans="1:3" customFormat="1">
      <c r="A141" s="52" t="s">
        <v>983</v>
      </c>
      <c r="B141" s="53" t="s">
        <v>738</v>
      </c>
      <c r="C141" s="52" t="s">
        <v>739</v>
      </c>
    </row>
    <row r="142" spans="1:3" customFormat="1">
      <c r="A142" s="52" t="s">
        <v>984</v>
      </c>
      <c r="B142" s="53" t="s">
        <v>738</v>
      </c>
      <c r="C142" s="52" t="s">
        <v>739</v>
      </c>
    </row>
    <row r="143" spans="1:3" customFormat="1">
      <c r="A143" s="52" t="s">
        <v>985</v>
      </c>
      <c r="B143" s="53" t="s">
        <v>986</v>
      </c>
      <c r="C143" s="52" t="s">
        <v>729</v>
      </c>
    </row>
    <row r="144" spans="1:3" customFormat="1">
      <c r="A144" s="52" t="s">
        <v>987</v>
      </c>
      <c r="B144" s="53" t="s">
        <v>988</v>
      </c>
      <c r="C144" s="52" t="s">
        <v>711</v>
      </c>
    </row>
    <row r="145" spans="1:23">
      <c r="A145" s="52" t="s">
        <v>989</v>
      </c>
      <c r="B145" s="53" t="s">
        <v>990</v>
      </c>
      <c r="C145" s="52" t="s">
        <v>729</v>
      </c>
    </row>
    <row r="146" spans="1:23">
      <c r="A146" s="52" t="s">
        <v>991</v>
      </c>
      <c r="B146" s="53" t="s">
        <v>992</v>
      </c>
      <c r="C146" s="52" t="s">
        <v>711</v>
      </c>
    </row>
    <row r="147" spans="1:23">
      <c r="A147" s="52" t="s">
        <v>993</v>
      </c>
      <c r="B147" s="53" t="s">
        <v>994</v>
      </c>
      <c r="C147" s="52" t="s">
        <v>711</v>
      </c>
    </row>
    <row r="148" spans="1:23">
      <c r="A148" s="52" t="s">
        <v>995</v>
      </c>
      <c r="B148" s="53" t="s">
        <v>996</v>
      </c>
      <c r="C148" s="52" t="s">
        <v>711</v>
      </c>
    </row>
    <row r="149" spans="1:23">
      <c r="A149" s="52" t="s">
        <v>997</v>
      </c>
      <c r="B149" s="53" t="s">
        <v>998</v>
      </c>
      <c r="C149" s="52" t="s">
        <v>711</v>
      </c>
    </row>
    <row r="150" spans="1:23">
      <c r="A150" s="52" t="s">
        <v>999</v>
      </c>
      <c r="B150" s="53" t="s">
        <v>1000</v>
      </c>
      <c r="C150" s="52" t="s">
        <v>724</v>
      </c>
    </row>
    <row r="151" spans="1:23">
      <c r="A151" s="52" t="s">
        <v>1001</v>
      </c>
      <c r="B151" s="53" t="s">
        <v>1002</v>
      </c>
      <c r="C151" s="52" t="s">
        <v>734</v>
      </c>
    </row>
    <row r="152" spans="1:23">
      <c r="A152" s="52" t="s">
        <v>1003</v>
      </c>
      <c r="B152" s="53" t="s">
        <v>1004</v>
      </c>
      <c r="C152" s="52" t="s">
        <v>711</v>
      </c>
    </row>
    <row r="153" spans="1:23">
      <c r="A153" s="52" t="s">
        <v>1005</v>
      </c>
      <c r="B153" s="53" t="s">
        <v>1006</v>
      </c>
      <c r="C153" s="52" t="s">
        <v>734</v>
      </c>
    </row>
    <row r="154" spans="1:23">
      <c r="A154" s="52" t="s">
        <v>1008</v>
      </c>
      <c r="B154" s="53" t="s">
        <v>1009</v>
      </c>
      <c r="C154" s="52" t="s">
        <v>711</v>
      </c>
    </row>
    <row r="155" spans="1:23">
      <c r="A155" s="52" t="s">
        <v>1010</v>
      </c>
      <c r="B155" s="53" t="s">
        <v>1011</v>
      </c>
      <c r="C155" s="52" t="s">
        <v>711</v>
      </c>
      <c r="Q155" s="49" t="s">
        <v>523</v>
      </c>
    </row>
    <row r="156" spans="1:23">
      <c r="A156" s="52" t="s">
        <v>1012</v>
      </c>
      <c r="B156" s="53" t="s">
        <v>1007</v>
      </c>
      <c r="C156" s="52" t="s">
        <v>711</v>
      </c>
    </row>
    <row r="157" spans="1:23">
      <c r="A157" s="52" t="s">
        <v>1013</v>
      </c>
      <c r="B157" s="53" t="s">
        <v>738</v>
      </c>
      <c r="C157" s="52" t="s">
        <v>739</v>
      </c>
    </row>
    <row r="158" spans="1:23">
      <c r="A158" s="52" t="s">
        <v>1014</v>
      </c>
      <c r="B158" s="53" t="s">
        <v>1015</v>
      </c>
      <c r="C158" s="52" t="s">
        <v>711</v>
      </c>
      <c r="F158" s="49" t="s">
        <v>523</v>
      </c>
      <c r="H158" s="49" t="s">
        <v>523</v>
      </c>
      <c r="J158" s="49" t="s">
        <v>523</v>
      </c>
      <c r="U158" s="49" t="s">
        <v>523</v>
      </c>
    </row>
    <row r="159" spans="1:23">
      <c r="A159" s="52" t="s">
        <v>1016</v>
      </c>
      <c r="B159" s="53" t="s">
        <v>1017</v>
      </c>
      <c r="C159" s="52" t="s">
        <v>729</v>
      </c>
      <c r="W159" s="49" t="s">
        <v>523</v>
      </c>
    </row>
    <row r="160" spans="1:23">
      <c r="A160" s="52" t="s">
        <v>1018</v>
      </c>
      <c r="B160" s="53" t="s">
        <v>1019</v>
      </c>
      <c r="C160" s="52" t="s">
        <v>711</v>
      </c>
    </row>
    <row r="161" spans="1:21" customFormat="1">
      <c r="A161" s="52" t="s">
        <v>1020</v>
      </c>
      <c r="B161" s="53" t="s">
        <v>1021</v>
      </c>
      <c r="C161" s="52" t="s">
        <v>711</v>
      </c>
      <c r="D161" s="49"/>
      <c r="E161" s="49"/>
      <c r="F161" s="49"/>
      <c r="G161" s="49"/>
      <c r="H161" s="49"/>
      <c r="I161" s="49"/>
      <c r="J161" s="49"/>
      <c r="K161" s="49"/>
      <c r="L161" s="49"/>
      <c r="M161" s="49"/>
      <c r="N161" s="49"/>
      <c r="O161" s="49"/>
      <c r="P161" s="49"/>
      <c r="Q161" s="49"/>
      <c r="R161" s="49"/>
      <c r="S161" s="49"/>
      <c r="T161" s="49"/>
      <c r="U161" s="49"/>
    </row>
    <row r="162" spans="1:21" customFormat="1">
      <c r="A162" s="52" t="s">
        <v>1022</v>
      </c>
      <c r="B162" s="53" t="s">
        <v>1023</v>
      </c>
      <c r="C162" s="52" t="s">
        <v>711</v>
      </c>
      <c r="D162" s="49"/>
      <c r="E162" s="49"/>
      <c r="F162" s="49"/>
      <c r="G162" s="49"/>
      <c r="H162" s="49"/>
      <c r="I162" s="49"/>
      <c r="J162" s="49"/>
      <c r="K162" s="49"/>
      <c r="L162" s="49"/>
      <c r="M162" s="49"/>
      <c r="N162" s="49"/>
      <c r="O162" s="49"/>
      <c r="P162" s="49"/>
      <c r="Q162" s="49"/>
      <c r="R162" s="49"/>
      <c r="S162" s="49"/>
      <c r="T162" s="49"/>
      <c r="U162" s="49" t="s">
        <v>523</v>
      </c>
    </row>
    <row r="163" spans="1:21" customFormat="1">
      <c r="A163" s="52" t="s">
        <v>1024</v>
      </c>
      <c r="B163" s="53" t="s">
        <v>1025</v>
      </c>
      <c r="C163" s="52" t="s">
        <v>711</v>
      </c>
      <c r="D163" s="49" t="s">
        <v>523</v>
      </c>
      <c r="E163" s="49" t="s">
        <v>523</v>
      </c>
      <c r="F163" s="49"/>
      <c r="G163" s="49"/>
      <c r="H163" s="49" t="s">
        <v>523</v>
      </c>
      <c r="I163" s="49"/>
      <c r="J163" s="49" t="s">
        <v>523</v>
      </c>
      <c r="K163" s="49"/>
      <c r="L163" s="49"/>
      <c r="M163" s="49"/>
      <c r="N163" s="49"/>
      <c r="O163" s="49"/>
      <c r="P163" s="49"/>
      <c r="Q163" s="49"/>
      <c r="R163" s="49"/>
      <c r="S163" s="49"/>
      <c r="T163" s="49"/>
      <c r="U163" s="49"/>
    </row>
    <row r="164" spans="1:21" customFormat="1">
      <c r="A164" s="52" t="s">
        <v>1026</v>
      </c>
      <c r="B164" s="53" t="s">
        <v>1027</v>
      </c>
      <c r="C164" s="52" t="s">
        <v>724</v>
      </c>
      <c r="D164" s="49"/>
      <c r="E164" s="49"/>
      <c r="F164" s="49"/>
      <c r="G164" s="49"/>
      <c r="H164" s="49"/>
      <c r="I164" s="49"/>
      <c r="J164" s="49"/>
      <c r="K164" s="49"/>
      <c r="L164" s="49"/>
      <c r="M164" s="49"/>
      <c r="N164" s="49"/>
      <c r="O164" s="49"/>
      <c r="P164" s="49"/>
      <c r="Q164" s="49"/>
      <c r="R164" s="49"/>
      <c r="S164" s="49"/>
      <c r="T164" s="49"/>
      <c r="U164" s="49"/>
    </row>
    <row r="165" spans="1:21" customFormat="1">
      <c r="A165" s="52" t="s">
        <v>1028</v>
      </c>
      <c r="B165" s="53" t="s">
        <v>738</v>
      </c>
      <c r="C165" s="52" t="s">
        <v>739</v>
      </c>
      <c r="D165" s="49"/>
      <c r="E165" s="49"/>
      <c r="F165" s="49"/>
      <c r="G165" s="49"/>
      <c r="H165" s="49"/>
      <c r="I165" s="49"/>
      <c r="J165" s="49"/>
      <c r="K165" s="49"/>
      <c r="L165" s="49"/>
      <c r="M165" s="49"/>
      <c r="N165" s="49"/>
      <c r="O165" s="49"/>
      <c r="P165" s="49"/>
      <c r="Q165" s="49"/>
      <c r="R165" s="49"/>
      <c r="S165" s="49"/>
      <c r="T165" s="49"/>
      <c r="U165" s="49"/>
    </row>
    <row r="166" spans="1:21" customFormat="1">
      <c r="A166" s="52" t="s">
        <v>1029</v>
      </c>
      <c r="B166" s="53" t="s">
        <v>738</v>
      </c>
      <c r="C166" s="52" t="s">
        <v>739</v>
      </c>
      <c r="D166" s="49"/>
      <c r="E166" s="49"/>
      <c r="F166" s="49"/>
      <c r="G166" s="49"/>
      <c r="H166" s="49"/>
      <c r="I166" s="49"/>
      <c r="J166" s="49"/>
      <c r="K166" s="49"/>
      <c r="L166" s="49"/>
      <c r="M166" s="49"/>
      <c r="N166" s="49"/>
      <c r="O166" s="49"/>
      <c r="P166" s="49"/>
      <c r="Q166" s="49"/>
      <c r="R166" s="49"/>
      <c r="S166" s="49"/>
      <c r="T166" s="49"/>
      <c r="U166" s="49"/>
    </row>
    <row r="167" spans="1:21" customFormat="1">
      <c r="A167" s="52" t="s">
        <v>1030</v>
      </c>
      <c r="B167" s="53" t="s">
        <v>1031</v>
      </c>
      <c r="C167" s="52" t="s">
        <v>711</v>
      </c>
      <c r="D167" s="49"/>
      <c r="E167" s="49"/>
      <c r="F167" s="49"/>
      <c r="G167" s="49"/>
      <c r="H167" s="49"/>
      <c r="I167" s="49"/>
      <c r="J167" s="49"/>
      <c r="K167" s="49"/>
      <c r="L167" s="49"/>
      <c r="M167" s="49"/>
      <c r="N167" s="49"/>
      <c r="O167" s="49"/>
      <c r="P167" s="49"/>
      <c r="Q167" s="49"/>
      <c r="R167" s="49"/>
      <c r="S167" s="49"/>
      <c r="T167" s="49"/>
      <c r="U167" s="49"/>
    </row>
    <row r="168" spans="1:21" customFormat="1">
      <c r="A168" s="52" t="s">
        <v>1032</v>
      </c>
      <c r="B168" s="53" t="s">
        <v>1033</v>
      </c>
      <c r="C168" s="52" t="s">
        <v>711</v>
      </c>
      <c r="D168" s="49"/>
      <c r="E168" s="49"/>
      <c r="F168" s="49"/>
      <c r="G168" s="49"/>
      <c r="H168" s="49"/>
      <c r="I168" s="49"/>
      <c r="J168" s="49"/>
      <c r="K168" s="49"/>
      <c r="L168" s="49"/>
      <c r="M168" s="49"/>
      <c r="N168" s="49"/>
      <c r="O168" s="49" t="s">
        <v>523</v>
      </c>
      <c r="P168" s="49"/>
      <c r="Q168" s="49"/>
      <c r="R168" s="49"/>
      <c r="S168" s="49"/>
      <c r="T168" s="49"/>
      <c r="U168" s="49"/>
    </row>
    <row r="169" spans="1:21" customFormat="1">
      <c r="A169" s="52" t="s">
        <v>1034</v>
      </c>
      <c r="B169" s="53" t="s">
        <v>1035</v>
      </c>
      <c r="C169" s="52" t="s">
        <v>711</v>
      </c>
      <c r="D169" s="49"/>
      <c r="E169" s="49"/>
      <c r="F169" s="49"/>
      <c r="G169" s="49"/>
      <c r="H169" s="49"/>
      <c r="I169" s="49"/>
      <c r="J169" s="49"/>
      <c r="K169" s="49"/>
      <c r="L169" s="49"/>
      <c r="M169" s="49"/>
      <c r="N169" s="49"/>
      <c r="O169" s="49"/>
      <c r="P169" s="49"/>
      <c r="Q169" s="49"/>
      <c r="R169" s="49"/>
      <c r="S169" s="49"/>
      <c r="T169" s="49"/>
      <c r="U169" s="49" t="s">
        <v>523</v>
      </c>
    </row>
    <row r="170" spans="1:21" customFormat="1">
      <c r="A170" s="52" t="s">
        <v>1036</v>
      </c>
      <c r="B170" s="53" t="s">
        <v>1037</v>
      </c>
      <c r="C170" s="52" t="s">
        <v>711</v>
      </c>
      <c r="D170" s="49"/>
      <c r="E170" s="49"/>
      <c r="F170" s="49"/>
      <c r="G170" s="49"/>
      <c r="H170" s="49"/>
      <c r="I170" s="49"/>
      <c r="J170" s="49"/>
      <c r="K170" s="49"/>
      <c r="L170" s="49"/>
      <c r="M170" s="49"/>
      <c r="N170" s="49"/>
      <c r="O170" s="49"/>
      <c r="P170" s="49"/>
      <c r="Q170" s="49"/>
      <c r="R170" s="49"/>
      <c r="S170" s="49"/>
      <c r="T170" s="49" t="s">
        <v>523</v>
      </c>
      <c r="U170" s="49" t="s">
        <v>523</v>
      </c>
    </row>
    <row r="171" spans="1:21" customFormat="1">
      <c r="A171" s="52" t="s">
        <v>1038</v>
      </c>
      <c r="B171" s="53" t="s">
        <v>1039</v>
      </c>
      <c r="C171" s="52" t="s">
        <v>711</v>
      </c>
      <c r="D171" s="49"/>
      <c r="E171" s="49"/>
      <c r="F171" s="49"/>
      <c r="G171" s="49"/>
      <c r="H171" s="49"/>
      <c r="I171" s="49"/>
      <c r="J171" s="49"/>
      <c r="K171" s="49"/>
      <c r="L171" s="49"/>
      <c r="M171" s="49"/>
      <c r="N171" s="49"/>
      <c r="O171" s="49"/>
      <c r="P171" s="49"/>
      <c r="Q171" s="49"/>
      <c r="R171" s="49"/>
      <c r="S171" s="49"/>
      <c r="T171" s="49"/>
      <c r="U171" s="49"/>
    </row>
    <row r="172" spans="1:21" customFormat="1">
      <c r="A172" s="52" t="s">
        <v>1040</v>
      </c>
      <c r="B172" s="53" t="s">
        <v>1041</v>
      </c>
      <c r="C172" s="52" t="s">
        <v>729</v>
      </c>
      <c r="D172" s="49"/>
      <c r="E172" s="49"/>
      <c r="F172" s="49"/>
      <c r="G172" s="49"/>
      <c r="H172" s="49"/>
      <c r="I172" s="49"/>
      <c r="J172" s="49"/>
      <c r="K172" s="49"/>
      <c r="L172" s="49"/>
      <c r="M172" s="49"/>
      <c r="N172" s="49"/>
      <c r="O172" s="49"/>
      <c r="P172" s="49"/>
      <c r="Q172" s="49"/>
      <c r="R172" s="49"/>
      <c r="S172" s="49"/>
      <c r="T172" s="49"/>
      <c r="U172" s="49" t="s">
        <v>523</v>
      </c>
    </row>
    <row r="173" spans="1:21" customFormat="1">
      <c r="A173" s="52" t="s">
        <v>1042</v>
      </c>
      <c r="B173" s="53" t="s">
        <v>1043</v>
      </c>
      <c r="C173" s="52" t="s">
        <v>729</v>
      </c>
      <c r="D173" s="49"/>
      <c r="E173" s="49"/>
      <c r="F173" s="49"/>
      <c r="G173" s="49"/>
      <c r="H173" s="49"/>
      <c r="I173" s="49"/>
      <c r="J173" s="49"/>
      <c r="K173" s="49"/>
      <c r="L173" s="49"/>
      <c r="M173" s="49"/>
      <c r="N173" s="49"/>
      <c r="O173" s="49"/>
      <c r="P173" s="49"/>
      <c r="Q173" s="49"/>
      <c r="R173" s="49"/>
      <c r="S173" s="49"/>
      <c r="T173" s="49"/>
      <c r="U173" s="49"/>
    </row>
    <row r="174" spans="1:21" customFormat="1">
      <c r="A174" s="52" t="s">
        <v>1044</v>
      </c>
      <c r="B174" s="53" t="s">
        <v>1045</v>
      </c>
      <c r="C174" s="52" t="s">
        <v>724</v>
      </c>
      <c r="D174" s="49"/>
      <c r="E174" s="49"/>
      <c r="F174" s="49"/>
      <c r="G174" s="49"/>
      <c r="H174" s="49"/>
      <c r="I174" s="49"/>
      <c r="J174" s="49"/>
      <c r="K174" s="49"/>
      <c r="L174" s="49"/>
      <c r="M174" s="49"/>
      <c r="N174" s="49"/>
      <c r="O174" s="49"/>
      <c r="P174" s="49"/>
      <c r="Q174" s="49"/>
      <c r="R174" s="49"/>
      <c r="S174" s="49"/>
      <c r="T174" s="49"/>
      <c r="U174" s="49" t="s">
        <v>523</v>
      </c>
    </row>
    <row r="175" spans="1:21" customFormat="1">
      <c r="A175" s="52" t="s">
        <v>1046</v>
      </c>
      <c r="B175" s="53" t="s">
        <v>1047</v>
      </c>
      <c r="C175" s="52" t="s">
        <v>724</v>
      </c>
      <c r="D175" s="49"/>
      <c r="E175" s="49"/>
      <c r="F175" s="49"/>
      <c r="G175" s="49"/>
      <c r="H175" s="49"/>
      <c r="I175" s="49"/>
      <c r="J175" s="49"/>
      <c r="K175" s="49"/>
      <c r="L175" s="49"/>
      <c r="M175" s="49"/>
      <c r="N175" s="49"/>
      <c r="O175" s="49"/>
      <c r="P175" s="49"/>
      <c r="Q175" s="49"/>
      <c r="R175" s="49"/>
      <c r="S175" s="49"/>
      <c r="T175" s="49" t="s">
        <v>523</v>
      </c>
      <c r="U175" s="49" t="s">
        <v>523</v>
      </c>
    </row>
    <row r="176" spans="1:21" customFormat="1">
      <c r="A176" s="52" t="s">
        <v>1048</v>
      </c>
      <c r="B176" s="53" t="s">
        <v>1049</v>
      </c>
      <c r="C176" s="52" t="s">
        <v>711</v>
      </c>
      <c r="D176" s="49"/>
      <c r="E176" s="49"/>
      <c r="F176" s="49"/>
      <c r="G176" s="49"/>
      <c r="H176" s="49"/>
      <c r="I176" s="49"/>
      <c r="J176" s="49"/>
      <c r="K176" s="49"/>
      <c r="L176" s="49"/>
      <c r="M176" s="49"/>
      <c r="N176" s="49"/>
      <c r="O176" s="49"/>
      <c r="P176" s="49"/>
      <c r="Q176" s="49"/>
      <c r="R176" s="49"/>
      <c r="S176" s="49"/>
      <c r="T176" s="49"/>
      <c r="U176" s="49" t="s">
        <v>523</v>
      </c>
    </row>
    <row r="177" spans="1:21" customFormat="1">
      <c r="A177" s="52" t="s">
        <v>1050</v>
      </c>
      <c r="B177" s="53" t="s">
        <v>1051</v>
      </c>
      <c r="C177" s="52" t="s">
        <v>729</v>
      </c>
      <c r="D177" s="49"/>
      <c r="E177" s="49"/>
      <c r="F177" s="49"/>
      <c r="G177" s="49"/>
      <c r="H177" s="49"/>
      <c r="I177" s="49"/>
      <c r="J177" s="49"/>
      <c r="K177" s="49"/>
      <c r="L177" s="49"/>
      <c r="M177" s="49"/>
      <c r="N177" s="49"/>
      <c r="O177" s="49"/>
      <c r="P177" s="49" t="s">
        <v>523</v>
      </c>
      <c r="Q177" s="49"/>
      <c r="R177" s="49"/>
      <c r="S177" s="49"/>
      <c r="T177" s="49"/>
      <c r="U177" s="49"/>
    </row>
    <row r="178" spans="1:21" customFormat="1">
      <c r="A178" s="52" t="s">
        <v>1052</v>
      </c>
      <c r="B178" s="53" t="s">
        <v>1053</v>
      </c>
      <c r="C178" s="52" t="s">
        <v>729</v>
      </c>
      <c r="D178" s="49"/>
      <c r="E178" s="49"/>
      <c r="F178" s="49"/>
      <c r="G178" s="49"/>
      <c r="H178" s="49"/>
      <c r="I178" s="49"/>
      <c r="J178" s="49"/>
      <c r="K178" s="49"/>
      <c r="L178" s="49"/>
      <c r="M178" s="49"/>
      <c r="N178" s="49"/>
      <c r="O178" s="49"/>
      <c r="P178" s="49"/>
      <c r="Q178" s="49"/>
      <c r="R178" s="49"/>
      <c r="S178" s="49"/>
      <c r="T178" s="49"/>
      <c r="U178" s="49"/>
    </row>
    <row r="179" spans="1:21" customFormat="1">
      <c r="A179" s="52" t="s">
        <v>1054</v>
      </c>
      <c r="B179" s="53" t="s">
        <v>1055</v>
      </c>
      <c r="C179" s="52" t="s">
        <v>729</v>
      </c>
      <c r="D179" s="49"/>
      <c r="E179" s="49"/>
      <c r="F179" s="49"/>
      <c r="G179" s="49"/>
      <c r="H179" s="49"/>
      <c r="I179" s="49"/>
      <c r="J179" s="49"/>
      <c r="K179" s="49"/>
      <c r="L179" s="49"/>
      <c r="M179" s="49"/>
      <c r="N179" s="49"/>
      <c r="O179" s="49"/>
      <c r="P179" s="49"/>
      <c r="Q179" s="49"/>
      <c r="R179" s="49"/>
      <c r="S179" s="49"/>
      <c r="T179" s="49"/>
      <c r="U179" s="49" t="s">
        <v>523</v>
      </c>
    </row>
    <row r="180" spans="1:21" customFormat="1">
      <c r="A180" s="52" t="s">
        <v>1056</v>
      </c>
      <c r="B180" s="53" t="s">
        <v>1057</v>
      </c>
      <c r="C180" s="52" t="s">
        <v>729</v>
      </c>
      <c r="D180" s="49"/>
      <c r="E180" s="49"/>
      <c r="F180" s="49"/>
      <c r="G180" s="49"/>
      <c r="H180" s="49"/>
      <c r="I180" s="49"/>
      <c r="J180" s="49"/>
      <c r="K180" s="49"/>
      <c r="L180" s="49"/>
      <c r="M180" s="49"/>
      <c r="N180" s="49"/>
      <c r="O180" s="49"/>
      <c r="P180" s="49"/>
      <c r="Q180" s="49"/>
      <c r="R180" s="49"/>
      <c r="S180" s="49"/>
      <c r="T180" s="49"/>
      <c r="U180" s="49" t="s">
        <v>523</v>
      </c>
    </row>
    <row r="181" spans="1:21" customFormat="1">
      <c r="A181" s="52" t="s">
        <v>1058</v>
      </c>
      <c r="B181" s="53" t="s">
        <v>1059</v>
      </c>
      <c r="C181" s="52" t="s">
        <v>729</v>
      </c>
      <c r="D181" s="49"/>
      <c r="E181" s="49"/>
      <c r="F181" s="49"/>
      <c r="G181" s="49"/>
      <c r="H181" s="49"/>
      <c r="I181" s="49"/>
      <c r="J181" s="49"/>
      <c r="K181" s="49"/>
      <c r="L181" s="49"/>
      <c r="M181" s="49"/>
      <c r="N181" s="49"/>
      <c r="O181" s="49"/>
      <c r="P181" s="49"/>
      <c r="Q181" s="49"/>
      <c r="R181" s="49"/>
      <c r="S181" s="49"/>
      <c r="T181" s="49"/>
      <c r="U181" s="49"/>
    </row>
    <row r="182" spans="1:21" customFormat="1">
      <c r="A182" s="52" t="s">
        <v>1060</v>
      </c>
      <c r="B182" s="53" t="s">
        <v>1061</v>
      </c>
      <c r="C182" s="52" t="s">
        <v>711</v>
      </c>
      <c r="D182" s="49"/>
      <c r="E182" s="49"/>
      <c r="F182" s="49"/>
      <c r="G182" s="49"/>
      <c r="H182" s="49"/>
      <c r="I182" s="49"/>
      <c r="J182" s="49"/>
      <c r="K182" s="49"/>
      <c r="L182" s="49"/>
      <c r="M182" s="49"/>
      <c r="N182" s="49"/>
      <c r="O182" s="49"/>
      <c r="P182" s="49"/>
      <c r="Q182" s="49"/>
      <c r="R182" s="49"/>
      <c r="S182" s="49"/>
      <c r="T182" s="49"/>
      <c r="U182" s="49"/>
    </row>
    <row r="183" spans="1:21" customFormat="1">
      <c r="A183" s="52" t="s">
        <v>1062</v>
      </c>
      <c r="B183" s="53" t="s">
        <v>1063</v>
      </c>
      <c r="C183" s="52" t="s">
        <v>711</v>
      </c>
      <c r="D183" s="49"/>
      <c r="E183" s="49"/>
      <c r="F183" s="49"/>
      <c r="G183" s="49"/>
      <c r="H183" s="49"/>
      <c r="I183" s="49"/>
      <c r="J183" s="49"/>
      <c r="K183" s="49"/>
      <c r="L183" s="49"/>
      <c r="M183" s="49"/>
      <c r="N183" s="49"/>
      <c r="O183" s="49"/>
      <c r="P183" s="49"/>
      <c r="Q183" s="49"/>
      <c r="R183" s="49"/>
      <c r="S183" s="49"/>
      <c r="T183" s="49"/>
      <c r="U183" s="49"/>
    </row>
    <row r="184" spans="1:21" customFormat="1">
      <c r="A184" s="52" t="s">
        <v>1064</v>
      </c>
      <c r="B184" s="53" t="s">
        <v>1065</v>
      </c>
      <c r="C184" s="52" t="s">
        <v>711</v>
      </c>
      <c r="D184" s="49"/>
      <c r="E184" s="49"/>
      <c r="F184" s="49"/>
      <c r="G184" s="49"/>
      <c r="H184" s="49"/>
      <c r="I184" s="49"/>
      <c r="J184" s="49"/>
      <c r="K184" s="49"/>
      <c r="L184" s="49"/>
      <c r="M184" s="49"/>
      <c r="N184" s="49"/>
      <c r="O184" s="49"/>
      <c r="P184" s="49"/>
      <c r="Q184" s="49"/>
      <c r="R184" s="49"/>
      <c r="S184" s="49"/>
      <c r="T184" s="49"/>
      <c r="U184" s="49"/>
    </row>
    <row r="185" spans="1:21" customFormat="1">
      <c r="A185" s="52" t="s">
        <v>1066</v>
      </c>
      <c r="B185" s="53" t="s">
        <v>1067</v>
      </c>
      <c r="C185" s="52" t="s">
        <v>711</v>
      </c>
      <c r="D185" s="49"/>
      <c r="E185" s="49"/>
      <c r="F185" s="49"/>
      <c r="G185" s="49"/>
      <c r="H185" s="49"/>
      <c r="I185" s="49"/>
      <c r="J185" s="49"/>
      <c r="K185" s="49"/>
      <c r="L185" s="49"/>
      <c r="M185" s="49"/>
      <c r="N185" s="49"/>
      <c r="O185" s="49"/>
      <c r="P185" s="49"/>
      <c r="Q185" s="49"/>
      <c r="R185" s="49"/>
      <c r="S185" s="49"/>
      <c r="T185" s="49"/>
      <c r="U185" s="49"/>
    </row>
    <row r="186" spans="1:21" customFormat="1">
      <c r="A186" s="52" t="s">
        <v>1068</v>
      </c>
      <c r="B186" s="53" t="s">
        <v>1069</v>
      </c>
      <c r="C186" s="52" t="s">
        <v>711</v>
      </c>
      <c r="D186" s="49"/>
      <c r="E186" s="49"/>
      <c r="F186" s="49"/>
      <c r="G186" s="49"/>
      <c r="H186" s="49"/>
      <c r="I186" s="49"/>
      <c r="J186" s="49"/>
      <c r="K186" s="49"/>
      <c r="L186" s="49"/>
      <c r="M186" s="49"/>
      <c r="N186" s="49"/>
      <c r="O186" s="49"/>
      <c r="P186" s="49"/>
      <c r="Q186" s="49"/>
      <c r="R186" s="49"/>
      <c r="S186" s="49"/>
      <c r="T186" s="49"/>
      <c r="U186" s="49"/>
    </row>
    <row r="187" spans="1:21" customFormat="1">
      <c r="A187" s="52" t="s">
        <v>1070</v>
      </c>
      <c r="B187" s="53" t="s">
        <v>1071</v>
      </c>
      <c r="C187" s="52" t="s">
        <v>729</v>
      </c>
      <c r="D187" s="49"/>
      <c r="E187" s="49"/>
      <c r="F187" s="49"/>
      <c r="G187" s="49"/>
      <c r="H187" s="49"/>
      <c r="I187" s="49"/>
      <c r="J187" s="49"/>
      <c r="K187" s="49"/>
      <c r="L187" s="49"/>
      <c r="M187" s="49"/>
      <c r="N187" s="49"/>
      <c r="O187" s="49"/>
      <c r="P187" s="49"/>
      <c r="Q187" s="49"/>
      <c r="R187" s="49"/>
      <c r="S187" s="49"/>
      <c r="T187" s="49"/>
      <c r="U187" s="49"/>
    </row>
    <row r="188" spans="1:21" customFormat="1">
      <c r="A188" s="52" t="s">
        <v>1072</v>
      </c>
      <c r="B188" s="53" t="s">
        <v>1073</v>
      </c>
      <c r="C188" s="52" t="s">
        <v>711</v>
      </c>
      <c r="D188" s="49"/>
      <c r="E188" s="49"/>
      <c r="F188" s="49"/>
      <c r="G188" s="49"/>
      <c r="H188" s="49"/>
      <c r="I188" s="49"/>
      <c r="J188" s="49"/>
      <c r="K188" s="49"/>
      <c r="L188" s="49"/>
      <c r="M188" s="49"/>
      <c r="N188" s="49"/>
      <c r="O188" s="49" t="s">
        <v>523</v>
      </c>
      <c r="P188" s="49"/>
      <c r="Q188" s="49"/>
      <c r="R188" s="49"/>
      <c r="S188" s="49"/>
      <c r="T188" s="49"/>
      <c r="U188" s="49"/>
    </row>
    <row r="189" spans="1:21" customFormat="1">
      <c r="A189" s="52" t="s">
        <v>1074</v>
      </c>
      <c r="B189" s="53" t="s">
        <v>1075</v>
      </c>
      <c r="C189" s="52" t="s">
        <v>711</v>
      </c>
      <c r="D189" s="49"/>
      <c r="E189" s="49"/>
      <c r="F189" s="49"/>
      <c r="G189" s="49"/>
      <c r="H189" s="49"/>
      <c r="I189" s="49"/>
      <c r="J189" s="49"/>
      <c r="K189" s="49"/>
      <c r="L189" s="49"/>
      <c r="M189" s="49"/>
      <c r="N189" s="49"/>
      <c r="O189" s="49" t="s">
        <v>523</v>
      </c>
      <c r="P189" s="49" t="s">
        <v>523</v>
      </c>
      <c r="Q189" s="49"/>
      <c r="R189" s="49" t="s">
        <v>523</v>
      </c>
      <c r="S189" s="49"/>
      <c r="T189" s="49"/>
      <c r="U189" s="49"/>
    </row>
    <row r="190" spans="1:21" customFormat="1">
      <c r="A190" s="52" t="s">
        <v>1076</v>
      </c>
      <c r="B190" s="53" t="s">
        <v>738</v>
      </c>
      <c r="C190" s="52" t="s">
        <v>739</v>
      </c>
      <c r="D190" s="49"/>
      <c r="E190" s="49"/>
      <c r="F190" s="49"/>
      <c r="G190" s="49"/>
      <c r="H190" s="49"/>
      <c r="I190" s="49"/>
      <c r="J190" s="49"/>
      <c r="K190" s="49"/>
      <c r="L190" s="49"/>
      <c r="M190" s="49"/>
      <c r="N190" s="49"/>
      <c r="O190" s="49"/>
      <c r="P190" s="49"/>
      <c r="Q190" s="49"/>
      <c r="R190" s="49"/>
      <c r="S190" s="49"/>
      <c r="T190" s="49"/>
      <c r="U190" s="49"/>
    </row>
    <row r="191" spans="1:21" customFormat="1">
      <c r="A191" s="52" t="s">
        <v>1077</v>
      </c>
      <c r="B191" s="53" t="s">
        <v>1078</v>
      </c>
      <c r="C191" s="52" t="s">
        <v>724</v>
      </c>
      <c r="D191" s="49"/>
      <c r="E191" s="49"/>
      <c r="F191" s="49"/>
      <c r="G191" s="49"/>
      <c r="H191" s="49"/>
      <c r="I191" s="49"/>
      <c r="J191" s="49"/>
      <c r="K191" s="49"/>
      <c r="L191" s="49"/>
      <c r="M191" s="49"/>
      <c r="N191" s="49"/>
      <c r="O191" s="49"/>
      <c r="P191" s="49"/>
      <c r="Q191" s="49"/>
      <c r="R191" s="49"/>
      <c r="S191" s="49"/>
      <c r="T191" s="49"/>
      <c r="U191" s="49"/>
    </row>
    <row r="192" spans="1:21" customFormat="1">
      <c r="A192" s="52" t="s">
        <v>1079</v>
      </c>
      <c r="B192" s="53" t="s">
        <v>1080</v>
      </c>
      <c r="C192" s="52" t="s">
        <v>729</v>
      </c>
      <c r="D192" s="49"/>
      <c r="E192" s="49"/>
      <c r="F192" s="49"/>
      <c r="G192" s="49"/>
      <c r="H192" s="49"/>
      <c r="I192" s="49"/>
      <c r="J192" s="49"/>
      <c r="K192" s="49"/>
      <c r="L192" s="49"/>
      <c r="M192" s="49"/>
      <c r="N192" s="49"/>
      <c r="O192" s="49"/>
      <c r="P192" s="49"/>
      <c r="Q192" s="49"/>
      <c r="R192" s="49"/>
      <c r="S192" s="49"/>
      <c r="T192" s="49"/>
      <c r="U192" s="49"/>
    </row>
    <row r="193" spans="1:19" customFormat="1">
      <c r="A193" s="52" t="s">
        <v>1081</v>
      </c>
      <c r="B193" s="53" t="s">
        <v>1082</v>
      </c>
      <c r="C193" s="52" t="s">
        <v>711</v>
      </c>
      <c r="D193" s="49"/>
      <c r="E193" s="49"/>
      <c r="F193" s="49"/>
      <c r="G193" s="49"/>
      <c r="H193" s="49"/>
      <c r="I193" s="49"/>
      <c r="J193" s="49"/>
      <c r="K193" s="49"/>
      <c r="L193" s="49"/>
      <c r="M193" s="49"/>
      <c r="N193" s="49"/>
      <c r="O193" s="49"/>
      <c r="P193" s="49"/>
      <c r="Q193" s="49"/>
      <c r="R193" s="49"/>
      <c r="S193" s="49"/>
    </row>
    <row r="194" spans="1:19" customFormat="1">
      <c r="A194" s="52" t="s">
        <v>1083</v>
      </c>
      <c r="B194" s="53" t="s">
        <v>1084</v>
      </c>
      <c r="C194" s="52" t="s">
        <v>711</v>
      </c>
      <c r="D194" s="49"/>
      <c r="E194" s="49"/>
      <c r="F194" s="49"/>
      <c r="G194" s="49"/>
      <c r="H194" s="49"/>
      <c r="I194" s="49"/>
      <c r="J194" s="49"/>
      <c r="K194" s="49"/>
      <c r="L194" s="49"/>
      <c r="M194" s="49"/>
      <c r="N194" s="49"/>
      <c r="O194" s="49"/>
      <c r="P194" s="49"/>
      <c r="Q194" s="49"/>
      <c r="R194" s="49"/>
      <c r="S194" s="49"/>
    </row>
    <row r="195" spans="1:19" customFormat="1">
      <c r="A195" s="52" t="s">
        <v>1085</v>
      </c>
      <c r="B195" s="53" t="s">
        <v>738</v>
      </c>
      <c r="C195" s="52" t="s">
        <v>739</v>
      </c>
      <c r="D195" s="49"/>
      <c r="E195" s="49"/>
      <c r="F195" s="49"/>
      <c r="G195" s="49"/>
      <c r="H195" s="49"/>
      <c r="I195" s="49"/>
      <c r="J195" s="49"/>
      <c r="K195" s="49"/>
      <c r="L195" s="49"/>
      <c r="M195" s="49"/>
      <c r="N195" s="49"/>
      <c r="O195" s="49"/>
      <c r="P195" s="49"/>
      <c r="Q195" s="49"/>
      <c r="R195" s="49"/>
      <c r="S195" s="49"/>
    </row>
    <row r="196" spans="1:19" customFormat="1">
      <c r="A196" s="52" t="s">
        <v>1086</v>
      </c>
      <c r="B196" s="53" t="s">
        <v>1087</v>
      </c>
      <c r="C196" s="52" t="s">
        <v>711</v>
      </c>
      <c r="D196" s="49"/>
      <c r="E196" s="49"/>
      <c r="F196" s="49"/>
      <c r="G196" s="49"/>
      <c r="H196" s="49" t="s">
        <v>523</v>
      </c>
      <c r="I196" s="49"/>
      <c r="J196" s="49" t="s">
        <v>523</v>
      </c>
      <c r="K196" s="49"/>
      <c r="L196" s="49"/>
      <c r="M196" s="49"/>
      <c r="N196" s="49"/>
      <c r="O196" s="49"/>
      <c r="P196" s="49"/>
      <c r="Q196" s="49"/>
      <c r="R196" s="49"/>
      <c r="S196" s="49"/>
    </row>
    <row r="197" spans="1:19" customFormat="1">
      <c r="A197" s="52" t="s">
        <v>1088</v>
      </c>
      <c r="B197" s="53" t="s">
        <v>1089</v>
      </c>
      <c r="C197" s="52" t="s">
        <v>729</v>
      </c>
      <c r="D197" s="49"/>
      <c r="E197" s="49"/>
      <c r="F197" s="49"/>
      <c r="G197" s="49"/>
      <c r="H197" s="49"/>
      <c r="I197" s="49"/>
      <c r="J197" s="49"/>
      <c r="K197" s="49"/>
      <c r="L197" s="49"/>
      <c r="M197" s="49"/>
      <c r="N197" s="49"/>
      <c r="O197" s="49"/>
      <c r="P197" s="49"/>
      <c r="Q197" s="49" t="s">
        <v>523</v>
      </c>
      <c r="R197" s="49"/>
      <c r="S197" s="49"/>
    </row>
    <row r="198" spans="1:19" customFormat="1">
      <c r="A198" s="52" t="s">
        <v>1090</v>
      </c>
      <c r="B198" s="53" t="s">
        <v>1091</v>
      </c>
      <c r="C198" s="52" t="s">
        <v>711</v>
      </c>
      <c r="D198" s="49" t="s">
        <v>523</v>
      </c>
      <c r="E198" s="49"/>
      <c r="F198" s="49"/>
      <c r="G198" s="49"/>
      <c r="H198" s="49"/>
      <c r="I198" s="49"/>
      <c r="J198" s="49"/>
      <c r="K198" s="49"/>
      <c r="L198" s="49"/>
      <c r="M198" s="49"/>
      <c r="N198" s="49"/>
      <c r="O198" s="49"/>
      <c r="P198" s="49"/>
      <c r="Q198" s="49"/>
      <c r="R198" s="49" t="s">
        <v>523</v>
      </c>
      <c r="S198" s="49" t="s">
        <v>523</v>
      </c>
    </row>
    <row r="199" spans="1:19" customFormat="1">
      <c r="A199" s="52" t="s">
        <v>1092</v>
      </c>
      <c r="B199" s="53" t="s">
        <v>1093</v>
      </c>
      <c r="C199" s="52" t="s">
        <v>724</v>
      </c>
      <c r="D199" s="49"/>
      <c r="E199" s="49" t="s">
        <v>523</v>
      </c>
      <c r="F199" s="49"/>
      <c r="G199" s="49"/>
      <c r="H199" s="49"/>
      <c r="I199" s="49"/>
      <c r="J199" s="49"/>
      <c r="K199" s="49"/>
      <c r="L199" s="49"/>
      <c r="M199" s="49"/>
      <c r="N199" s="49"/>
      <c r="O199" s="49"/>
      <c r="P199" s="49"/>
      <c r="Q199" s="49"/>
      <c r="R199" s="49"/>
      <c r="S199" s="49"/>
    </row>
    <row r="200" spans="1:19" customFormat="1">
      <c r="A200" s="52" t="s">
        <v>1094</v>
      </c>
      <c r="B200" s="53" t="s">
        <v>1095</v>
      </c>
      <c r="C200" s="52" t="s">
        <v>711</v>
      </c>
      <c r="D200" s="49"/>
      <c r="E200" s="49"/>
      <c r="F200" s="49"/>
      <c r="G200" s="49"/>
      <c r="H200" s="49"/>
      <c r="I200" s="49"/>
      <c r="J200" s="49"/>
      <c r="K200" s="49"/>
      <c r="L200" s="49"/>
      <c r="M200" s="49"/>
      <c r="N200" s="49"/>
      <c r="O200" s="49"/>
      <c r="P200" s="49"/>
      <c r="Q200" s="49"/>
      <c r="R200" s="49"/>
      <c r="S200" s="49"/>
    </row>
    <row r="201" spans="1:19" customFormat="1">
      <c r="A201" s="52" t="s">
        <v>1096</v>
      </c>
      <c r="B201" s="53" t="s">
        <v>1097</v>
      </c>
      <c r="C201" s="52" t="s">
        <v>711</v>
      </c>
      <c r="D201" s="49"/>
      <c r="E201" s="49"/>
      <c r="F201" s="49"/>
      <c r="G201" s="49"/>
      <c r="H201" s="49"/>
      <c r="I201" s="49"/>
      <c r="J201" s="49"/>
      <c r="K201" s="49"/>
      <c r="L201" s="49" t="s">
        <v>523</v>
      </c>
      <c r="M201" s="49"/>
      <c r="N201" s="49"/>
      <c r="O201" s="49"/>
      <c r="P201" s="49"/>
      <c r="Q201" s="49"/>
      <c r="R201" s="49"/>
      <c r="S201" s="49"/>
    </row>
    <row r="202" spans="1:19" customFormat="1">
      <c r="A202" s="52" t="s">
        <v>1098</v>
      </c>
      <c r="B202" s="53" t="s">
        <v>1099</v>
      </c>
      <c r="C202" s="52" t="s">
        <v>711</v>
      </c>
      <c r="D202" s="49"/>
      <c r="E202" s="49"/>
      <c r="F202" s="49"/>
      <c r="G202" s="49"/>
      <c r="H202" s="49"/>
      <c r="I202" s="49"/>
      <c r="J202" s="49"/>
      <c r="K202" s="49"/>
      <c r="L202" s="49" t="s">
        <v>523</v>
      </c>
      <c r="M202" s="49"/>
      <c r="N202" s="49"/>
      <c r="O202" s="49"/>
      <c r="P202" s="49"/>
      <c r="Q202" s="49"/>
      <c r="R202" s="49"/>
      <c r="S202" s="49"/>
    </row>
    <row r="203" spans="1:19" customFormat="1">
      <c r="A203" s="52" t="s">
        <v>1100</v>
      </c>
      <c r="B203" s="53" t="s">
        <v>1101</v>
      </c>
      <c r="C203" s="52" t="s">
        <v>711</v>
      </c>
      <c r="D203" s="49"/>
      <c r="E203" s="49"/>
      <c r="F203" s="49"/>
      <c r="G203" s="49"/>
      <c r="H203" s="49"/>
      <c r="I203" s="49"/>
      <c r="J203" s="49"/>
      <c r="K203" s="49"/>
      <c r="L203" s="49" t="s">
        <v>523</v>
      </c>
      <c r="M203" s="49"/>
      <c r="N203" s="49"/>
      <c r="O203" s="49"/>
      <c r="P203" s="49"/>
      <c r="Q203" s="49"/>
      <c r="R203" s="49"/>
      <c r="S203" s="49"/>
    </row>
    <row r="204" spans="1:19" customFormat="1">
      <c r="A204" s="52" t="s">
        <v>1102</v>
      </c>
      <c r="B204" s="53" t="s">
        <v>1103</v>
      </c>
      <c r="C204" s="52" t="s">
        <v>711</v>
      </c>
      <c r="D204" s="49"/>
      <c r="E204" s="49"/>
      <c r="F204" s="49"/>
      <c r="G204" s="49"/>
      <c r="H204" s="49"/>
      <c r="I204" s="49"/>
      <c r="J204" s="49"/>
      <c r="K204" s="49"/>
      <c r="L204" s="49"/>
      <c r="M204" s="49"/>
      <c r="N204" s="49"/>
      <c r="O204" s="49"/>
      <c r="P204" s="49"/>
      <c r="Q204" s="49"/>
      <c r="R204" s="49"/>
      <c r="S204" s="49" t="s">
        <v>523</v>
      </c>
    </row>
    <row r="205" spans="1:19" customFormat="1">
      <c r="A205" s="52" t="s">
        <v>1104</v>
      </c>
      <c r="B205" s="53" t="s">
        <v>1105</v>
      </c>
      <c r="C205" s="52" t="s">
        <v>711</v>
      </c>
      <c r="D205" s="49"/>
      <c r="E205" s="49"/>
      <c r="F205" s="49"/>
      <c r="G205" s="49"/>
      <c r="H205" s="49"/>
      <c r="I205" s="49"/>
      <c r="J205" s="49"/>
      <c r="K205" s="49"/>
      <c r="L205" s="49"/>
      <c r="M205" s="49"/>
      <c r="N205" s="49" t="s">
        <v>523</v>
      </c>
      <c r="O205" s="49"/>
      <c r="P205" s="49"/>
      <c r="Q205" s="49"/>
      <c r="R205" s="49"/>
      <c r="S205" s="49"/>
    </row>
    <row r="206" spans="1:19" customFormat="1">
      <c r="A206" s="52" t="s">
        <v>1106</v>
      </c>
      <c r="B206" s="53" t="s">
        <v>1107</v>
      </c>
      <c r="C206" s="52" t="s">
        <v>729</v>
      </c>
      <c r="D206" s="49"/>
      <c r="E206" s="49"/>
      <c r="F206" s="49"/>
      <c r="G206" s="49"/>
      <c r="H206" s="49"/>
      <c r="I206" s="49"/>
      <c r="J206" s="49"/>
      <c r="K206" s="49"/>
      <c r="L206" s="49"/>
      <c r="M206" s="49"/>
      <c r="N206" s="49"/>
      <c r="O206" s="49"/>
      <c r="P206" s="49"/>
      <c r="Q206" s="49"/>
      <c r="R206" s="49"/>
      <c r="S206" s="49"/>
    </row>
    <row r="207" spans="1:19" customFormat="1">
      <c r="A207" s="52" t="s">
        <v>1108</v>
      </c>
      <c r="B207" s="53" t="s">
        <v>1109</v>
      </c>
      <c r="C207" s="52" t="s">
        <v>729</v>
      </c>
      <c r="D207" s="49"/>
      <c r="E207" s="49"/>
      <c r="F207" s="49"/>
      <c r="G207" s="49"/>
      <c r="H207" s="49"/>
      <c r="I207" s="49"/>
      <c r="J207" s="49"/>
      <c r="K207" s="49"/>
      <c r="L207" s="49"/>
      <c r="M207" s="49"/>
      <c r="N207" s="49"/>
      <c r="O207" s="49"/>
      <c r="P207" s="49"/>
      <c r="Q207" s="49"/>
      <c r="R207" s="49"/>
      <c r="S207" s="49"/>
    </row>
    <row r="208" spans="1:19" customFormat="1">
      <c r="A208" s="52" t="s">
        <v>1110</v>
      </c>
      <c r="B208" s="53" t="s">
        <v>1111</v>
      </c>
      <c r="C208" s="52" t="s">
        <v>729</v>
      </c>
      <c r="D208" s="49"/>
      <c r="E208" s="49"/>
      <c r="F208" s="49"/>
      <c r="G208" s="49"/>
      <c r="H208" s="49"/>
      <c r="I208" s="49"/>
      <c r="J208" s="49"/>
      <c r="K208" s="49"/>
      <c r="L208" s="49"/>
      <c r="M208" s="49"/>
      <c r="N208" s="49"/>
      <c r="O208" s="49"/>
      <c r="P208" s="49"/>
      <c r="Q208" s="49"/>
      <c r="R208" s="49"/>
      <c r="S208" s="49"/>
    </row>
    <row r="209" spans="1:21" customFormat="1">
      <c r="A209" s="52" t="s">
        <v>1112</v>
      </c>
      <c r="B209" s="53" t="s">
        <v>1113</v>
      </c>
      <c r="C209" s="52" t="s">
        <v>711</v>
      </c>
      <c r="D209" s="49"/>
      <c r="E209" s="49"/>
      <c r="F209" s="49"/>
      <c r="G209" s="49"/>
      <c r="H209" s="49"/>
      <c r="I209" s="49"/>
      <c r="J209" s="49"/>
      <c r="K209" s="49"/>
      <c r="L209" s="49"/>
      <c r="M209" s="49"/>
      <c r="N209" s="49"/>
      <c r="O209" s="49"/>
      <c r="P209" s="49" t="s">
        <v>523</v>
      </c>
      <c r="Q209" s="49"/>
      <c r="R209" s="49"/>
      <c r="S209" s="49"/>
      <c r="T209" s="49"/>
      <c r="U209" s="49"/>
    </row>
    <row r="210" spans="1:21" customFormat="1">
      <c r="A210" s="52" t="s">
        <v>1114</v>
      </c>
      <c r="B210" s="53" t="s">
        <v>1115</v>
      </c>
      <c r="C210" s="52" t="s">
        <v>729</v>
      </c>
      <c r="D210" s="49"/>
      <c r="E210" s="49"/>
      <c r="F210" s="49"/>
      <c r="G210" s="49"/>
      <c r="H210" s="49"/>
      <c r="I210" s="49"/>
      <c r="J210" s="49"/>
      <c r="K210" s="49"/>
      <c r="L210" s="49"/>
      <c r="M210" s="49"/>
      <c r="N210" s="49"/>
      <c r="O210" s="49"/>
      <c r="P210" s="49"/>
      <c r="Q210" s="49"/>
      <c r="R210" s="49"/>
      <c r="S210" s="49"/>
      <c r="T210" s="49"/>
      <c r="U210" s="49"/>
    </row>
    <row r="211" spans="1:21" customFormat="1">
      <c r="A211" s="52" t="s">
        <v>1116</v>
      </c>
      <c r="B211" s="53" t="s">
        <v>1117</v>
      </c>
      <c r="C211" s="52" t="s">
        <v>729</v>
      </c>
      <c r="D211" s="49"/>
      <c r="E211" s="49"/>
      <c r="F211" s="49"/>
      <c r="G211" s="49"/>
      <c r="H211" s="49"/>
      <c r="I211" s="49"/>
      <c r="J211" s="49"/>
      <c r="K211" s="49"/>
      <c r="L211" s="49"/>
      <c r="M211" s="49"/>
      <c r="N211" s="49"/>
      <c r="O211" s="49"/>
      <c r="P211" s="49"/>
      <c r="Q211" s="49"/>
      <c r="R211" s="49"/>
      <c r="S211" s="49"/>
      <c r="T211" s="49"/>
      <c r="U211" s="49"/>
    </row>
    <row r="212" spans="1:21" customFormat="1">
      <c r="A212" s="52" t="s">
        <v>1118</v>
      </c>
      <c r="B212" s="53" t="s">
        <v>1119</v>
      </c>
      <c r="C212" s="52" t="s">
        <v>729</v>
      </c>
      <c r="D212" s="49"/>
      <c r="E212" s="49"/>
      <c r="F212" s="49"/>
      <c r="G212" s="49"/>
      <c r="H212" s="49"/>
      <c r="I212" s="49"/>
      <c r="J212" s="49"/>
      <c r="K212" s="49"/>
      <c r="L212" s="49"/>
      <c r="M212" s="49"/>
      <c r="N212" s="49"/>
      <c r="O212" s="49"/>
      <c r="P212" s="49" t="s">
        <v>523</v>
      </c>
      <c r="Q212" s="49"/>
      <c r="R212" s="49"/>
      <c r="S212" s="49"/>
      <c r="T212" s="49"/>
      <c r="U212" s="49"/>
    </row>
    <row r="213" spans="1:21" customFormat="1">
      <c r="A213" s="52" t="s">
        <v>1120</v>
      </c>
      <c r="B213" s="53" t="s">
        <v>1121</v>
      </c>
      <c r="C213" s="52" t="s">
        <v>729</v>
      </c>
      <c r="D213" s="49"/>
      <c r="E213" s="49"/>
      <c r="F213" s="49"/>
      <c r="G213" s="49"/>
      <c r="H213" s="49"/>
      <c r="I213" s="49"/>
      <c r="J213" s="49"/>
      <c r="K213" s="49"/>
      <c r="L213" s="49"/>
      <c r="M213" s="49"/>
      <c r="N213" s="49"/>
      <c r="O213" s="49"/>
      <c r="P213" s="49"/>
      <c r="Q213" s="49"/>
      <c r="R213" s="49"/>
      <c r="S213" s="49"/>
      <c r="T213" s="49"/>
      <c r="U213" s="49"/>
    </row>
    <row r="214" spans="1:21" customFormat="1">
      <c r="A214" s="52" t="s">
        <v>1122</v>
      </c>
      <c r="B214" s="53" t="s">
        <v>738</v>
      </c>
      <c r="C214" s="52" t="s">
        <v>739</v>
      </c>
      <c r="D214" s="49"/>
      <c r="E214" s="49"/>
      <c r="F214" s="49"/>
      <c r="G214" s="49"/>
      <c r="H214" s="49"/>
      <c r="I214" s="49"/>
      <c r="J214" s="49"/>
      <c r="K214" s="49"/>
      <c r="L214" s="49"/>
      <c r="M214" s="49"/>
      <c r="N214" s="49"/>
      <c r="O214" s="49"/>
      <c r="P214" s="49"/>
      <c r="Q214" s="49"/>
      <c r="R214" s="49"/>
      <c r="S214" s="49"/>
      <c r="T214" s="49"/>
      <c r="U214" s="49"/>
    </row>
    <row r="215" spans="1:21" customFormat="1">
      <c r="A215" s="52" t="s">
        <v>1123</v>
      </c>
      <c r="B215" s="53" t="s">
        <v>1124</v>
      </c>
      <c r="C215" s="52" t="s">
        <v>729</v>
      </c>
      <c r="D215" s="49"/>
      <c r="E215" s="49" t="s">
        <v>523</v>
      </c>
      <c r="F215" s="49" t="s">
        <v>523</v>
      </c>
      <c r="G215" s="49"/>
      <c r="H215" s="49" t="s">
        <v>523</v>
      </c>
      <c r="I215" s="49"/>
      <c r="J215" s="49" t="s">
        <v>523</v>
      </c>
      <c r="K215" s="49"/>
      <c r="L215" s="49"/>
      <c r="M215" s="49"/>
      <c r="N215" s="49"/>
      <c r="O215" s="49"/>
      <c r="P215" s="49"/>
      <c r="Q215" s="49"/>
      <c r="R215" s="49"/>
      <c r="S215" s="49"/>
      <c r="T215" s="49"/>
      <c r="U215" s="49"/>
    </row>
    <row r="216" spans="1:21" customFormat="1">
      <c r="A216" s="52" t="s">
        <v>1125</v>
      </c>
      <c r="B216" s="53" t="s">
        <v>1126</v>
      </c>
      <c r="C216" s="52" t="s">
        <v>729</v>
      </c>
      <c r="D216" s="49"/>
      <c r="E216" s="49"/>
      <c r="F216" s="49"/>
      <c r="G216" s="49"/>
      <c r="H216" s="49"/>
      <c r="I216" s="49"/>
      <c r="J216" s="49"/>
      <c r="K216" s="49"/>
      <c r="L216" s="49"/>
      <c r="M216" s="49"/>
      <c r="N216" s="49"/>
      <c r="O216" s="49"/>
      <c r="P216" s="49"/>
      <c r="Q216" s="49"/>
      <c r="R216" s="49"/>
      <c r="S216" s="49"/>
      <c r="T216" s="49"/>
      <c r="U216" s="49"/>
    </row>
    <row r="217" spans="1:21" customFormat="1">
      <c r="A217" s="52" t="s">
        <v>1127</v>
      </c>
      <c r="B217" s="53" t="s">
        <v>1128</v>
      </c>
      <c r="C217" s="52" t="s">
        <v>729</v>
      </c>
      <c r="D217" s="49"/>
      <c r="E217" s="49"/>
      <c r="F217" s="49"/>
      <c r="G217" s="49"/>
      <c r="H217" s="49"/>
      <c r="I217" s="49"/>
      <c r="J217" s="49"/>
      <c r="K217" s="49"/>
      <c r="L217" s="49"/>
      <c r="M217" s="49"/>
      <c r="N217" s="49"/>
      <c r="O217" s="49"/>
      <c r="P217" s="49"/>
      <c r="Q217" s="49"/>
      <c r="R217" s="49"/>
      <c r="S217" s="49"/>
      <c r="T217" s="49"/>
      <c r="U217" s="49"/>
    </row>
    <row r="218" spans="1:21" customFormat="1">
      <c r="A218" s="52" t="s">
        <v>1129</v>
      </c>
      <c r="B218" s="53" t="s">
        <v>1130</v>
      </c>
      <c r="C218" s="52" t="s">
        <v>729</v>
      </c>
      <c r="D218" s="49"/>
      <c r="E218" s="49"/>
      <c r="F218" s="49"/>
      <c r="G218" s="49"/>
      <c r="H218" s="49"/>
      <c r="I218" s="49"/>
      <c r="J218" s="49"/>
      <c r="K218" s="49"/>
      <c r="L218" s="49"/>
      <c r="M218" s="49"/>
      <c r="N218" s="49"/>
      <c r="O218" s="49"/>
      <c r="P218" s="49"/>
      <c r="Q218" s="49"/>
      <c r="R218" s="49"/>
      <c r="S218" s="49"/>
      <c r="T218" s="49"/>
      <c r="U218" s="49"/>
    </row>
    <row r="219" spans="1:21" customFormat="1">
      <c r="A219" s="52" t="s">
        <v>1131</v>
      </c>
      <c r="B219" s="53" t="s">
        <v>1132</v>
      </c>
      <c r="C219" s="52" t="s">
        <v>729</v>
      </c>
      <c r="D219" s="49"/>
      <c r="E219" s="49"/>
      <c r="F219" s="49"/>
      <c r="G219" s="49"/>
      <c r="H219" s="49"/>
      <c r="I219" s="49"/>
      <c r="J219" s="49"/>
      <c r="K219" s="49"/>
      <c r="L219" s="49"/>
      <c r="M219" s="49"/>
      <c r="N219" s="49"/>
      <c r="O219" s="49"/>
      <c r="P219" s="49"/>
      <c r="Q219" s="49"/>
      <c r="R219" s="49"/>
      <c r="S219" s="49"/>
      <c r="T219" s="49"/>
      <c r="U219" s="49"/>
    </row>
    <row r="220" spans="1:21" customFormat="1">
      <c r="A220" s="52" t="s">
        <v>1133</v>
      </c>
      <c r="B220" s="53" t="s">
        <v>1134</v>
      </c>
      <c r="C220" s="52" t="s">
        <v>711</v>
      </c>
      <c r="D220" s="49"/>
      <c r="E220" s="49"/>
      <c r="F220" s="49"/>
      <c r="G220" s="49"/>
      <c r="H220" s="49"/>
      <c r="I220" s="49"/>
      <c r="J220" s="49"/>
      <c r="K220" s="49"/>
      <c r="L220" s="49"/>
      <c r="M220" s="49"/>
      <c r="N220" s="49"/>
      <c r="O220" s="49"/>
      <c r="P220" s="49"/>
      <c r="Q220" s="49"/>
      <c r="R220" s="49"/>
      <c r="S220" s="49"/>
      <c r="T220" s="49"/>
      <c r="U220" s="49" t="s">
        <v>523</v>
      </c>
    </row>
    <row r="221" spans="1:21" customFormat="1">
      <c r="A221" s="52" t="s">
        <v>1135</v>
      </c>
      <c r="B221" s="53" t="s">
        <v>1136</v>
      </c>
      <c r="C221" s="52" t="s">
        <v>729</v>
      </c>
      <c r="D221" s="49"/>
      <c r="E221" s="49"/>
      <c r="F221" s="49"/>
      <c r="G221" s="49"/>
      <c r="H221" s="49"/>
      <c r="I221" s="49"/>
      <c r="J221" s="49"/>
      <c r="K221" s="49"/>
      <c r="L221" s="49"/>
      <c r="M221" s="49"/>
      <c r="N221" s="49"/>
      <c r="O221" s="49"/>
      <c r="P221" s="49"/>
      <c r="Q221" s="49"/>
      <c r="R221" s="49" t="s">
        <v>523</v>
      </c>
      <c r="S221" s="49"/>
      <c r="T221" s="49"/>
      <c r="U221" s="49"/>
    </row>
    <row r="222" spans="1:21" customFormat="1">
      <c r="A222" s="52" t="s">
        <v>1137</v>
      </c>
      <c r="B222" s="53" t="s">
        <v>1138</v>
      </c>
      <c r="C222" s="52" t="s">
        <v>729</v>
      </c>
      <c r="D222" s="49"/>
      <c r="E222" s="49"/>
      <c r="F222" s="49"/>
      <c r="G222" s="49"/>
      <c r="H222" s="49"/>
      <c r="I222" s="49"/>
      <c r="J222" s="49"/>
      <c r="K222" s="49"/>
      <c r="L222" s="49" t="s">
        <v>523</v>
      </c>
      <c r="M222" s="49"/>
      <c r="N222" s="49"/>
      <c r="O222" s="49"/>
      <c r="P222" s="49" t="s">
        <v>523</v>
      </c>
      <c r="Q222" s="49"/>
      <c r="R222" s="49"/>
      <c r="S222" s="49"/>
      <c r="T222" s="49"/>
      <c r="U222" s="49"/>
    </row>
    <row r="223" spans="1:21" customFormat="1">
      <c r="A223" s="52" t="s">
        <v>1139</v>
      </c>
      <c r="B223" s="53" t="s">
        <v>1140</v>
      </c>
      <c r="C223" s="52" t="s">
        <v>729</v>
      </c>
      <c r="D223" s="49"/>
      <c r="E223" s="49"/>
      <c r="F223" s="49"/>
      <c r="G223" s="49"/>
      <c r="H223" s="49"/>
      <c r="I223" s="49"/>
      <c r="J223" s="49"/>
      <c r="K223" s="49"/>
      <c r="L223" s="49"/>
      <c r="M223" s="49"/>
      <c r="N223" s="49"/>
      <c r="O223" s="49"/>
      <c r="P223" s="49"/>
      <c r="Q223" s="49"/>
      <c r="R223" s="49"/>
      <c r="S223" s="49"/>
      <c r="T223" s="49"/>
      <c r="U223" s="49"/>
    </row>
    <row r="224" spans="1:21" customFormat="1">
      <c r="A224" s="52" t="s">
        <v>1141</v>
      </c>
      <c r="B224" s="53" t="s">
        <v>1142</v>
      </c>
      <c r="C224" s="52" t="s">
        <v>729</v>
      </c>
      <c r="D224" s="49"/>
      <c r="E224" s="49"/>
      <c r="F224" s="49"/>
      <c r="G224" s="49"/>
      <c r="H224" s="49"/>
      <c r="I224" s="49"/>
      <c r="J224" s="49"/>
      <c r="K224" s="49"/>
      <c r="L224" s="49"/>
      <c r="M224" s="49"/>
      <c r="N224" s="49"/>
      <c r="O224" s="49"/>
      <c r="P224" s="49"/>
      <c r="Q224" s="49"/>
      <c r="R224" s="49"/>
      <c r="S224" s="49"/>
      <c r="T224" s="49"/>
      <c r="U224" s="49"/>
    </row>
    <row r="225" spans="1:23">
      <c r="A225" s="52" t="s">
        <v>1143</v>
      </c>
      <c r="B225" s="53" t="s">
        <v>1144</v>
      </c>
      <c r="C225" s="52" t="s">
        <v>729</v>
      </c>
    </row>
    <row r="226" spans="1:23">
      <c r="A226" s="52" t="s">
        <v>1145</v>
      </c>
      <c r="B226" s="53" t="s">
        <v>1146</v>
      </c>
      <c r="C226" s="52" t="s">
        <v>711</v>
      </c>
    </row>
    <row r="227" spans="1:23">
      <c r="A227" s="52" t="s">
        <v>1147</v>
      </c>
      <c r="B227" s="53" t="s">
        <v>1148</v>
      </c>
      <c r="C227" s="52" t="s">
        <v>711</v>
      </c>
      <c r="H227" s="49" t="s">
        <v>523</v>
      </c>
      <c r="J227" s="49" t="s">
        <v>523</v>
      </c>
    </row>
    <row r="228" spans="1:23">
      <c r="A228" s="52" t="s">
        <v>1149</v>
      </c>
      <c r="B228" s="53" t="s">
        <v>1150</v>
      </c>
      <c r="C228" s="52" t="s">
        <v>711</v>
      </c>
    </row>
    <row r="229" spans="1:23">
      <c r="A229" s="52" t="s">
        <v>1151</v>
      </c>
      <c r="B229" s="53" t="s">
        <v>1152</v>
      </c>
      <c r="C229" s="52" t="s">
        <v>711</v>
      </c>
      <c r="D229" s="49" t="s">
        <v>523</v>
      </c>
      <c r="E229" s="49" t="s">
        <v>523</v>
      </c>
      <c r="F229" s="49" t="s">
        <v>523</v>
      </c>
      <c r="G229" s="49" t="s">
        <v>523</v>
      </c>
      <c r="H229" s="49" t="s">
        <v>523</v>
      </c>
      <c r="I229" s="49" t="s">
        <v>523</v>
      </c>
      <c r="J229" s="49" t="s">
        <v>523</v>
      </c>
      <c r="L229" s="49" t="s">
        <v>523</v>
      </c>
      <c r="N229" s="49" t="s">
        <v>523</v>
      </c>
      <c r="O229" s="49" t="s">
        <v>523</v>
      </c>
      <c r="P229" s="49" t="s">
        <v>523</v>
      </c>
      <c r="Q229" s="49" t="s">
        <v>523</v>
      </c>
      <c r="R229" s="49" t="s">
        <v>523</v>
      </c>
      <c r="S229" s="49" t="s">
        <v>523</v>
      </c>
    </row>
    <row r="230" spans="1:23">
      <c r="A230" s="52" t="s">
        <v>1153</v>
      </c>
      <c r="B230" s="53" t="s">
        <v>1154</v>
      </c>
      <c r="C230" s="52" t="s">
        <v>711</v>
      </c>
    </row>
    <row r="231" spans="1:23">
      <c r="A231" s="52" t="s">
        <v>1155</v>
      </c>
      <c r="B231" s="53" t="s">
        <v>1156</v>
      </c>
      <c r="C231" s="52" t="s">
        <v>711</v>
      </c>
      <c r="W231" s="49" t="s">
        <v>523</v>
      </c>
    </row>
    <row r="232" spans="1:23">
      <c r="A232" s="52" t="s">
        <v>1157</v>
      </c>
      <c r="B232" s="53" t="s">
        <v>1158</v>
      </c>
      <c r="C232" s="52" t="s">
        <v>711</v>
      </c>
      <c r="F232" s="49" t="s">
        <v>523</v>
      </c>
    </row>
    <row r="233" spans="1:23">
      <c r="A233" s="52" t="s">
        <v>1159</v>
      </c>
      <c r="B233" s="53" t="s">
        <v>1160</v>
      </c>
      <c r="C233" s="52" t="s">
        <v>724</v>
      </c>
    </row>
    <row r="234" spans="1:23">
      <c r="A234" s="52" t="s">
        <v>1161</v>
      </c>
      <c r="B234" s="53" t="s">
        <v>738</v>
      </c>
      <c r="C234" s="52" t="s">
        <v>739</v>
      </c>
    </row>
    <row r="235" spans="1:23">
      <c r="A235" s="52" t="s">
        <v>1162</v>
      </c>
      <c r="B235" s="53" t="s">
        <v>1163</v>
      </c>
      <c r="C235" s="52" t="s">
        <v>711</v>
      </c>
      <c r="U235" s="49" t="s">
        <v>523</v>
      </c>
    </row>
    <row r="236" spans="1:23">
      <c r="A236" s="52" t="s">
        <v>1164</v>
      </c>
      <c r="B236" s="53" t="s">
        <v>1165</v>
      </c>
      <c r="C236" s="52" t="s">
        <v>724</v>
      </c>
      <c r="U236" s="49" t="s">
        <v>523</v>
      </c>
    </row>
    <row r="237" spans="1:23">
      <c r="A237" s="52" t="s">
        <v>1166</v>
      </c>
      <c r="B237" s="53" t="s">
        <v>1167</v>
      </c>
      <c r="C237" s="52" t="s">
        <v>724</v>
      </c>
    </row>
    <row r="238" spans="1:23">
      <c r="A238" s="52" t="s">
        <v>1168</v>
      </c>
      <c r="B238" s="53" t="s">
        <v>1169</v>
      </c>
      <c r="C238" s="52" t="s">
        <v>729</v>
      </c>
    </row>
    <row r="239" spans="1:23">
      <c r="A239" s="52" t="s">
        <v>1170</v>
      </c>
      <c r="B239" s="53" t="s">
        <v>1171</v>
      </c>
      <c r="C239" s="52" t="s">
        <v>729</v>
      </c>
    </row>
    <row r="240" spans="1:23">
      <c r="A240" s="52" t="s">
        <v>1172</v>
      </c>
      <c r="B240" s="53" t="s">
        <v>1173</v>
      </c>
      <c r="C240" s="52" t="s">
        <v>729</v>
      </c>
      <c r="U240" s="49" t="s">
        <v>523</v>
      </c>
    </row>
    <row r="241" spans="1:23">
      <c r="A241" s="52" t="s">
        <v>1174</v>
      </c>
      <c r="B241" s="53" t="s">
        <v>1175</v>
      </c>
      <c r="C241" s="52" t="s">
        <v>711</v>
      </c>
      <c r="U241" s="49" t="s">
        <v>523</v>
      </c>
    </row>
    <row r="242" spans="1:23">
      <c r="A242" s="52" t="s">
        <v>1176</v>
      </c>
      <c r="B242" s="53" t="s">
        <v>1177</v>
      </c>
      <c r="C242" s="52" t="s">
        <v>729</v>
      </c>
    </row>
    <row r="243" spans="1:23">
      <c r="A243" s="52" t="s">
        <v>1178</v>
      </c>
      <c r="B243" s="53" t="s">
        <v>1179</v>
      </c>
      <c r="C243" s="52" t="s">
        <v>711</v>
      </c>
    </row>
    <row r="244" spans="1:23">
      <c r="A244" s="52" t="s">
        <v>1180</v>
      </c>
      <c r="B244" s="53" t="s">
        <v>1181</v>
      </c>
      <c r="C244" s="52" t="s">
        <v>711</v>
      </c>
    </row>
    <row r="245" spans="1:23">
      <c r="A245" s="52" t="s">
        <v>1182</v>
      </c>
      <c r="B245" s="53" t="s">
        <v>1183</v>
      </c>
      <c r="C245" s="52" t="s">
        <v>711</v>
      </c>
    </row>
    <row r="246" spans="1:23">
      <c r="A246" s="52" t="s">
        <v>1184</v>
      </c>
      <c r="B246" s="53" t="s">
        <v>1185</v>
      </c>
      <c r="C246" s="52" t="s">
        <v>711</v>
      </c>
    </row>
    <row r="247" spans="1:23">
      <c r="A247" s="52" t="s">
        <v>1186</v>
      </c>
      <c r="B247" s="53" t="s">
        <v>1187</v>
      </c>
      <c r="C247" s="52" t="s">
        <v>711</v>
      </c>
      <c r="D247" s="49" t="s">
        <v>523</v>
      </c>
      <c r="E247" s="49" t="s">
        <v>523</v>
      </c>
    </row>
    <row r="248" spans="1:23">
      <c r="A248" s="52" t="s">
        <v>1188</v>
      </c>
      <c r="B248" s="53" t="s">
        <v>1189</v>
      </c>
      <c r="C248" s="52" t="s">
        <v>711</v>
      </c>
      <c r="W248" s="49" t="s">
        <v>523</v>
      </c>
    </row>
    <row r="249" spans="1:23">
      <c r="A249" s="52" t="s">
        <v>1190</v>
      </c>
      <c r="B249" s="53" t="s">
        <v>1191</v>
      </c>
      <c r="C249" s="52" t="s">
        <v>711</v>
      </c>
    </row>
    <row r="250" spans="1:23">
      <c r="A250" s="52" t="s">
        <v>1192</v>
      </c>
      <c r="B250" s="53" t="s">
        <v>1193</v>
      </c>
      <c r="C250" s="52" t="s">
        <v>711</v>
      </c>
    </row>
    <row r="251" spans="1:23">
      <c r="A251" s="52" t="s">
        <v>1194</v>
      </c>
      <c r="B251" s="53" t="s">
        <v>1195</v>
      </c>
      <c r="C251" s="52" t="s">
        <v>711</v>
      </c>
    </row>
    <row r="252" spans="1:23">
      <c r="A252" s="52" t="s">
        <v>1196</v>
      </c>
      <c r="B252" s="53" t="s">
        <v>1197</v>
      </c>
      <c r="C252" s="52" t="s">
        <v>711</v>
      </c>
    </row>
    <row r="253" spans="1:23">
      <c r="A253" s="52" t="s">
        <v>1198</v>
      </c>
      <c r="B253" s="53" t="s">
        <v>1199</v>
      </c>
      <c r="C253" s="52" t="s">
        <v>711</v>
      </c>
    </row>
    <row r="254" spans="1:23">
      <c r="A254" s="52" t="s">
        <v>1200</v>
      </c>
      <c r="B254" s="53" t="s">
        <v>1201</v>
      </c>
      <c r="C254" s="52" t="s">
        <v>711</v>
      </c>
    </row>
    <row r="255" spans="1:23">
      <c r="A255" s="52" t="s">
        <v>1202</v>
      </c>
      <c r="B255" s="53" t="s">
        <v>1203</v>
      </c>
      <c r="C255" s="52" t="s">
        <v>711</v>
      </c>
      <c r="T255" s="49" t="s">
        <v>523</v>
      </c>
    </row>
    <row r="256" spans="1:23">
      <c r="A256" s="52" t="s">
        <v>1204</v>
      </c>
      <c r="B256" s="53" t="s">
        <v>1205</v>
      </c>
      <c r="C256" s="52" t="s">
        <v>711</v>
      </c>
      <c r="T256" s="49" t="s">
        <v>523</v>
      </c>
      <c r="W256" s="49" t="s">
        <v>523</v>
      </c>
    </row>
    <row r="257" spans="1:20" customFormat="1">
      <c r="A257" s="52" t="s">
        <v>1206</v>
      </c>
      <c r="B257" s="53" t="s">
        <v>1207</v>
      </c>
      <c r="C257" s="52" t="s">
        <v>711</v>
      </c>
      <c r="D257" s="49"/>
      <c r="E257" s="49"/>
      <c r="F257" s="49"/>
      <c r="G257" s="49"/>
      <c r="H257" s="49"/>
      <c r="I257" s="49"/>
      <c r="J257" s="49"/>
      <c r="K257" s="49"/>
      <c r="L257" s="49"/>
      <c r="M257" s="49"/>
      <c r="N257" s="49"/>
      <c r="O257" s="49"/>
      <c r="P257" s="49"/>
      <c r="Q257" s="49"/>
      <c r="R257" s="49"/>
      <c r="S257" s="49"/>
      <c r="T257" s="49"/>
    </row>
    <row r="258" spans="1:20" customFormat="1">
      <c r="A258" s="52" t="s">
        <v>1208</v>
      </c>
      <c r="B258" s="53" t="s">
        <v>1209</v>
      </c>
      <c r="C258" s="52" t="s">
        <v>711</v>
      </c>
      <c r="D258" s="49"/>
      <c r="E258" s="49"/>
      <c r="F258" s="49"/>
      <c r="G258" s="49"/>
      <c r="H258" s="49"/>
      <c r="I258" s="49"/>
      <c r="J258" s="49"/>
      <c r="K258" s="49"/>
      <c r="L258" s="49"/>
      <c r="M258" s="49"/>
      <c r="N258" s="49"/>
      <c r="O258" s="49"/>
      <c r="P258" s="49"/>
      <c r="Q258" s="49"/>
      <c r="R258" s="49"/>
      <c r="S258" s="49"/>
      <c r="T258" s="49" t="s">
        <v>523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32" hidden="1" customWidth="1"/>
    <col min="2" max="2" width="15.83203125" style="27" customWidth="1"/>
    <col min="3" max="3" width="15.6640625" style="27" customWidth="1"/>
    <col min="4" max="4" width="40.83203125" customWidth="1"/>
    <col min="5" max="175" width="40.83203125" style="19" customWidth="1"/>
    <col min="176" max="16384" width="10.83203125" style="19"/>
  </cols>
  <sheetData>
    <row r="1" spans="1:174" ht="15">
      <c r="A1" s="23"/>
      <c r="B1" s="22"/>
      <c r="C1" s="22"/>
      <c r="D1" s="28" t="s">
        <v>218</v>
      </c>
      <c r="E1" s="28" t="s">
        <v>218</v>
      </c>
      <c r="F1" s="28" t="s">
        <v>218</v>
      </c>
      <c r="G1" s="28" t="s">
        <v>218</v>
      </c>
      <c r="H1" s="28" t="s">
        <v>218</v>
      </c>
      <c r="I1" s="28" t="s">
        <v>218</v>
      </c>
      <c r="J1" s="28" t="s">
        <v>218</v>
      </c>
      <c r="K1" s="28" t="s">
        <v>218</v>
      </c>
      <c r="L1" s="28" t="s">
        <v>218</v>
      </c>
      <c r="M1" s="28" t="s">
        <v>218</v>
      </c>
      <c r="N1" s="28" t="s">
        <v>218</v>
      </c>
      <c r="O1" s="28" t="s">
        <v>218</v>
      </c>
      <c r="P1" s="28" t="s">
        <v>218</v>
      </c>
      <c r="Q1" s="28" t="s">
        <v>218</v>
      </c>
      <c r="R1" s="28" t="s">
        <v>218</v>
      </c>
      <c r="S1" s="28" t="s">
        <v>218</v>
      </c>
      <c r="T1" s="28" t="s">
        <v>218</v>
      </c>
      <c r="U1" s="28" t="s">
        <v>218</v>
      </c>
      <c r="V1" s="28" t="s">
        <v>218</v>
      </c>
      <c r="W1" s="28" t="s">
        <v>218</v>
      </c>
      <c r="X1" s="28" t="s">
        <v>218</v>
      </c>
      <c r="Y1" s="28" t="s">
        <v>218</v>
      </c>
      <c r="Z1" s="28" t="s">
        <v>218</v>
      </c>
      <c r="AA1" s="28" t="s">
        <v>218</v>
      </c>
      <c r="AB1" s="28" t="s">
        <v>218</v>
      </c>
      <c r="AC1" s="28" t="s">
        <v>218</v>
      </c>
      <c r="AD1" s="28" t="s">
        <v>218</v>
      </c>
      <c r="AE1" s="28" t="s">
        <v>218</v>
      </c>
      <c r="AF1" s="28" t="s">
        <v>218</v>
      </c>
      <c r="AG1" s="28" t="s">
        <v>218</v>
      </c>
      <c r="AH1" s="28" t="s">
        <v>218</v>
      </c>
      <c r="AI1" s="28" t="s">
        <v>218</v>
      </c>
      <c r="AJ1" s="28" t="s">
        <v>218</v>
      </c>
      <c r="AK1" s="28" t="s">
        <v>218</v>
      </c>
      <c r="AL1" s="28" t="s">
        <v>218</v>
      </c>
      <c r="AM1" s="28" t="s">
        <v>218</v>
      </c>
      <c r="AN1" s="28" t="s">
        <v>218</v>
      </c>
      <c r="AO1" s="28" t="s">
        <v>218</v>
      </c>
      <c r="AP1" s="28" t="s">
        <v>218</v>
      </c>
      <c r="AQ1" s="28" t="s">
        <v>218</v>
      </c>
      <c r="AR1" s="28" t="s">
        <v>218</v>
      </c>
      <c r="AS1" s="28" t="s">
        <v>218</v>
      </c>
      <c r="AT1" s="28" t="s">
        <v>218</v>
      </c>
      <c r="AU1" s="28" t="s">
        <v>218</v>
      </c>
      <c r="AV1" s="28" t="s">
        <v>218</v>
      </c>
      <c r="AW1" s="28" t="s">
        <v>218</v>
      </c>
      <c r="AX1" s="28" t="s">
        <v>218</v>
      </c>
      <c r="AY1" s="28" t="s">
        <v>218</v>
      </c>
      <c r="AZ1" s="28" t="s">
        <v>218</v>
      </c>
      <c r="BA1" s="28" t="s">
        <v>218</v>
      </c>
      <c r="BB1" s="28" t="s">
        <v>218</v>
      </c>
      <c r="BC1" s="28" t="s">
        <v>218</v>
      </c>
      <c r="BD1" s="28" t="s">
        <v>218</v>
      </c>
      <c r="BE1" s="28" t="s">
        <v>218</v>
      </c>
      <c r="BF1" s="28" t="s">
        <v>218</v>
      </c>
      <c r="BG1" s="28" t="s">
        <v>218</v>
      </c>
      <c r="BH1" s="28" t="s">
        <v>218</v>
      </c>
      <c r="BI1" s="28" t="s">
        <v>218</v>
      </c>
      <c r="BJ1" s="28" t="s">
        <v>218</v>
      </c>
      <c r="BK1" s="28" t="s">
        <v>218</v>
      </c>
      <c r="BL1" s="28" t="s">
        <v>218</v>
      </c>
      <c r="BM1" s="28" t="s">
        <v>218</v>
      </c>
      <c r="BN1" s="28" t="s">
        <v>218</v>
      </c>
      <c r="BO1" s="28" t="s">
        <v>218</v>
      </c>
      <c r="BP1" s="28" t="s">
        <v>218</v>
      </c>
      <c r="BQ1" s="28" t="s">
        <v>218</v>
      </c>
      <c r="BR1" s="28" t="s">
        <v>218</v>
      </c>
      <c r="BS1" s="28" t="s">
        <v>218</v>
      </c>
      <c r="BT1" s="28" t="s">
        <v>218</v>
      </c>
      <c r="BU1" s="28" t="s">
        <v>218</v>
      </c>
      <c r="BV1" s="28" t="s">
        <v>218</v>
      </c>
      <c r="BW1" s="28" t="s">
        <v>218</v>
      </c>
      <c r="BX1" s="28" t="s">
        <v>218</v>
      </c>
      <c r="BY1" s="28" t="s">
        <v>218</v>
      </c>
      <c r="BZ1" s="28" t="s">
        <v>218</v>
      </c>
      <c r="CA1" s="28" t="s">
        <v>219</v>
      </c>
      <c r="CB1" s="28" t="s">
        <v>219</v>
      </c>
      <c r="CC1" s="28" t="s">
        <v>219</v>
      </c>
      <c r="CD1" s="28" t="s">
        <v>219</v>
      </c>
      <c r="CE1" s="28" t="s">
        <v>219</v>
      </c>
      <c r="CF1" s="28" t="s">
        <v>219</v>
      </c>
      <c r="CG1" s="28" t="s">
        <v>219</v>
      </c>
      <c r="CH1" s="28" t="s">
        <v>219</v>
      </c>
      <c r="CI1" s="28" t="s">
        <v>219</v>
      </c>
      <c r="CJ1" s="28" t="s">
        <v>219</v>
      </c>
      <c r="CK1" s="28" t="s">
        <v>219</v>
      </c>
      <c r="CL1" s="28" t="s">
        <v>219</v>
      </c>
      <c r="CM1" s="28" t="s">
        <v>219</v>
      </c>
      <c r="CN1" s="28" t="s">
        <v>219</v>
      </c>
      <c r="CO1" s="28" t="s">
        <v>219</v>
      </c>
      <c r="CP1" s="28" t="s">
        <v>219</v>
      </c>
      <c r="CQ1" s="28" t="s">
        <v>219</v>
      </c>
      <c r="CR1" s="28" t="s">
        <v>219</v>
      </c>
      <c r="CS1" s="28" t="s">
        <v>219</v>
      </c>
      <c r="CT1" s="28" t="s">
        <v>219</v>
      </c>
      <c r="CU1" s="28" t="s">
        <v>219</v>
      </c>
      <c r="CV1" s="28" t="s">
        <v>219</v>
      </c>
      <c r="CW1" s="28" t="s">
        <v>219</v>
      </c>
      <c r="CX1" s="28" t="s">
        <v>219</v>
      </c>
      <c r="CY1" s="28" t="s">
        <v>219</v>
      </c>
      <c r="CZ1" s="28" t="s">
        <v>219</v>
      </c>
      <c r="DA1" s="28" t="s">
        <v>219</v>
      </c>
      <c r="DB1" s="28" t="s">
        <v>219</v>
      </c>
      <c r="DC1" s="28" t="s">
        <v>220</v>
      </c>
      <c r="DD1" s="28" t="s">
        <v>220</v>
      </c>
      <c r="DE1" s="28" t="s">
        <v>220</v>
      </c>
      <c r="DF1" s="28" t="s">
        <v>220</v>
      </c>
      <c r="DG1" s="28" t="s">
        <v>220</v>
      </c>
      <c r="DH1" s="28" t="s">
        <v>220</v>
      </c>
      <c r="DI1" s="28" t="s">
        <v>220</v>
      </c>
      <c r="DJ1" s="28" t="s">
        <v>220</v>
      </c>
      <c r="DK1" s="28" t="s">
        <v>220</v>
      </c>
      <c r="DL1" s="28" t="s">
        <v>219</v>
      </c>
      <c r="DM1" s="28" t="s">
        <v>219</v>
      </c>
      <c r="DN1" s="28" t="s">
        <v>219</v>
      </c>
      <c r="DO1" s="28" t="s">
        <v>219</v>
      </c>
      <c r="DP1" s="28" t="s">
        <v>219</v>
      </c>
      <c r="DQ1" s="28" t="s">
        <v>219</v>
      </c>
      <c r="DR1" s="28" t="s">
        <v>219</v>
      </c>
      <c r="DS1" s="28" t="s">
        <v>219</v>
      </c>
      <c r="DT1" s="28" t="s">
        <v>219</v>
      </c>
      <c r="DU1" s="28" t="s">
        <v>219</v>
      </c>
      <c r="DV1" s="28" t="s">
        <v>220</v>
      </c>
      <c r="DW1" s="28" t="s">
        <v>220</v>
      </c>
      <c r="DX1" s="28" t="s">
        <v>220</v>
      </c>
      <c r="DY1" s="28" t="s">
        <v>220</v>
      </c>
      <c r="DZ1" s="28" t="s">
        <v>220</v>
      </c>
      <c r="EA1" s="28" t="s">
        <v>220</v>
      </c>
      <c r="EB1" s="28" t="s">
        <v>220</v>
      </c>
      <c r="EC1" s="28" t="s">
        <v>220</v>
      </c>
      <c r="ED1" s="28" t="s">
        <v>220</v>
      </c>
      <c r="EE1" s="28" t="s">
        <v>220</v>
      </c>
      <c r="EF1" s="28" t="s">
        <v>220</v>
      </c>
      <c r="EG1" s="28" t="s">
        <v>220</v>
      </c>
      <c r="EH1" s="28" t="s">
        <v>220</v>
      </c>
      <c r="EI1" s="28" t="s">
        <v>220</v>
      </c>
      <c r="EJ1" s="28" t="s">
        <v>220</v>
      </c>
      <c r="EK1" s="28" t="s">
        <v>220</v>
      </c>
      <c r="EL1" s="28" t="s">
        <v>220</v>
      </c>
      <c r="EM1" s="28" t="s">
        <v>220</v>
      </c>
      <c r="EN1" s="28" t="s">
        <v>220</v>
      </c>
      <c r="EO1" s="28" t="s">
        <v>220</v>
      </c>
      <c r="EP1" s="28" t="s">
        <v>220</v>
      </c>
      <c r="EQ1" s="28" t="s">
        <v>220</v>
      </c>
      <c r="ER1" s="28" t="s">
        <v>220</v>
      </c>
      <c r="ES1" s="28" t="s">
        <v>220</v>
      </c>
      <c r="ET1" s="28" t="s">
        <v>220</v>
      </c>
      <c r="EU1" s="28" t="s">
        <v>220</v>
      </c>
      <c r="EV1" s="28" t="s">
        <v>220</v>
      </c>
      <c r="EW1" s="28" t="s">
        <v>220</v>
      </c>
      <c r="EX1" s="28" t="s">
        <v>220</v>
      </c>
      <c r="EY1" s="28" t="s">
        <v>220</v>
      </c>
      <c r="EZ1" s="28" t="s">
        <v>220</v>
      </c>
      <c r="FA1" s="28" t="s">
        <v>220</v>
      </c>
      <c r="FB1" s="28" t="s">
        <v>220</v>
      </c>
      <c r="FC1" s="28" t="s">
        <v>220</v>
      </c>
      <c r="FD1" s="28" t="s">
        <v>220</v>
      </c>
      <c r="FE1" s="28" t="s">
        <v>220</v>
      </c>
      <c r="FF1" s="28" t="s">
        <v>220</v>
      </c>
      <c r="FG1" s="28" t="s">
        <v>220</v>
      </c>
      <c r="FH1" s="28" t="s">
        <v>220</v>
      </c>
      <c r="FI1" s="28" t="s">
        <v>220</v>
      </c>
      <c r="FJ1" s="28" t="s">
        <v>220</v>
      </c>
      <c r="FK1" s="28" t="s">
        <v>220</v>
      </c>
      <c r="FL1" s="28" t="s">
        <v>220</v>
      </c>
      <c r="FM1" s="28" t="s">
        <v>220</v>
      </c>
      <c r="FN1" s="28" t="s">
        <v>220</v>
      </c>
      <c r="FO1" s="28" t="s">
        <v>220</v>
      </c>
      <c r="FP1" s="28" t="s">
        <v>220</v>
      </c>
      <c r="FQ1" s="28" t="s">
        <v>220</v>
      </c>
      <c r="FR1" s="28" t="s">
        <v>220</v>
      </c>
    </row>
    <row r="2" spans="1:174" ht="15">
      <c r="A2" s="23"/>
      <c r="B2" s="22"/>
      <c r="C2" s="22"/>
      <c r="D2" s="29" t="s">
        <v>221</v>
      </c>
      <c r="E2" s="29" t="s">
        <v>222</v>
      </c>
      <c r="F2" s="29" t="s">
        <v>223</v>
      </c>
      <c r="G2" s="29" t="s">
        <v>224</v>
      </c>
      <c r="H2" s="29" t="s">
        <v>225</v>
      </c>
      <c r="I2" s="29" t="s">
        <v>226</v>
      </c>
      <c r="J2" s="29">
        <v>1.7</v>
      </c>
      <c r="K2" s="29">
        <v>1.8</v>
      </c>
      <c r="L2" s="29" t="s">
        <v>227</v>
      </c>
      <c r="M2" s="29" t="s">
        <v>228</v>
      </c>
      <c r="N2" s="29" t="s">
        <v>229</v>
      </c>
      <c r="O2" s="29" t="s">
        <v>230</v>
      </c>
      <c r="P2" s="29" t="s">
        <v>231</v>
      </c>
      <c r="Q2" s="29" t="s">
        <v>232</v>
      </c>
      <c r="R2" s="29" t="s">
        <v>233</v>
      </c>
      <c r="S2" s="29" t="s">
        <v>234</v>
      </c>
      <c r="T2" s="29" t="s">
        <v>235</v>
      </c>
      <c r="U2" s="29" t="s">
        <v>236</v>
      </c>
      <c r="V2" s="29">
        <v>3.1</v>
      </c>
      <c r="W2" s="29">
        <v>3.2</v>
      </c>
      <c r="X2" s="29">
        <v>3.3</v>
      </c>
      <c r="Y2" s="29">
        <v>3.4</v>
      </c>
      <c r="Z2" s="29">
        <v>3.5</v>
      </c>
      <c r="AA2" s="29">
        <v>3.6</v>
      </c>
      <c r="AB2" s="29">
        <v>3.7</v>
      </c>
      <c r="AC2" s="29">
        <v>4.0999999999999996</v>
      </c>
      <c r="AD2" s="29">
        <v>4.2</v>
      </c>
      <c r="AE2" s="29">
        <v>4.3</v>
      </c>
      <c r="AF2" s="29">
        <v>4.4000000000000004</v>
      </c>
      <c r="AG2" s="29">
        <v>4.5</v>
      </c>
      <c r="AH2" s="29">
        <v>4.5999999999999996</v>
      </c>
      <c r="AI2" s="29">
        <v>4.7</v>
      </c>
      <c r="AJ2" s="29">
        <v>4.8</v>
      </c>
      <c r="AK2" s="29">
        <v>4.9000000000000004</v>
      </c>
      <c r="AL2" s="29">
        <v>5.0999999999999996</v>
      </c>
      <c r="AM2" s="29">
        <v>5.2</v>
      </c>
      <c r="AN2" s="29">
        <v>5.3</v>
      </c>
      <c r="AO2" s="29">
        <v>5.4</v>
      </c>
      <c r="AP2" s="29">
        <v>5.5</v>
      </c>
      <c r="AQ2" s="29" t="s">
        <v>237</v>
      </c>
      <c r="AR2" s="29" t="s">
        <v>238</v>
      </c>
      <c r="AS2" s="29" t="s">
        <v>239</v>
      </c>
      <c r="AT2" s="29" t="s">
        <v>240</v>
      </c>
      <c r="AU2" s="29" t="s">
        <v>241</v>
      </c>
      <c r="AV2" s="29" t="s">
        <v>242</v>
      </c>
      <c r="AW2" s="29">
        <v>6.7</v>
      </c>
      <c r="AX2" s="29">
        <v>6.8</v>
      </c>
      <c r="AY2" s="29" t="s">
        <v>243</v>
      </c>
      <c r="AZ2" s="29" t="s">
        <v>244</v>
      </c>
      <c r="BA2" s="29" t="s">
        <v>245</v>
      </c>
      <c r="BB2" s="29" t="s">
        <v>246</v>
      </c>
      <c r="BC2" s="29" t="s">
        <v>247</v>
      </c>
      <c r="BD2" s="29" t="s">
        <v>248</v>
      </c>
      <c r="BE2" s="29" t="s">
        <v>249</v>
      </c>
      <c r="BF2" s="29" t="s">
        <v>250</v>
      </c>
      <c r="BG2" s="29">
        <v>7.9</v>
      </c>
      <c r="BH2" s="29" t="s">
        <v>251</v>
      </c>
      <c r="BI2" s="29" t="s">
        <v>252</v>
      </c>
      <c r="BJ2" s="29" t="s">
        <v>253</v>
      </c>
      <c r="BK2" s="29" t="s">
        <v>254</v>
      </c>
      <c r="BL2" s="29" t="s">
        <v>255</v>
      </c>
      <c r="BM2" s="29" t="s">
        <v>256</v>
      </c>
      <c r="BN2" s="29" t="s">
        <v>257</v>
      </c>
      <c r="BO2" s="29">
        <v>8.6999999999999993</v>
      </c>
      <c r="BP2" s="29">
        <v>8.8000000000000007</v>
      </c>
      <c r="BQ2" s="29" t="s">
        <v>258</v>
      </c>
      <c r="BR2" s="29" t="s">
        <v>259</v>
      </c>
      <c r="BS2" s="29" t="s">
        <v>260</v>
      </c>
      <c r="BT2" s="29" t="s">
        <v>261</v>
      </c>
      <c r="BU2" s="29" t="s">
        <v>262</v>
      </c>
      <c r="BV2" s="29" t="s">
        <v>263</v>
      </c>
      <c r="BW2" s="29" t="s">
        <v>264</v>
      </c>
      <c r="BX2" s="29" t="s">
        <v>265</v>
      </c>
      <c r="BY2" s="29" t="s">
        <v>266</v>
      </c>
      <c r="BZ2" s="29">
        <v>10.5</v>
      </c>
      <c r="CA2" s="54" t="s">
        <v>267</v>
      </c>
      <c r="CB2" s="54" t="s">
        <v>268</v>
      </c>
      <c r="CC2" s="54" t="s">
        <v>269</v>
      </c>
      <c r="CD2" s="54" t="s">
        <v>270</v>
      </c>
      <c r="CE2" s="54" t="s">
        <v>271</v>
      </c>
      <c r="CF2" s="54" t="s">
        <v>272</v>
      </c>
      <c r="CG2" s="54" t="s">
        <v>273</v>
      </c>
      <c r="CH2" s="54" t="s">
        <v>274</v>
      </c>
      <c r="CI2" s="54" t="s">
        <v>275</v>
      </c>
      <c r="CJ2" s="54" t="s">
        <v>276</v>
      </c>
      <c r="CK2" s="54" t="s">
        <v>277</v>
      </c>
      <c r="CL2" s="54" t="s">
        <v>278</v>
      </c>
      <c r="CM2" s="54" t="s">
        <v>279</v>
      </c>
      <c r="CN2" s="54" t="s">
        <v>280</v>
      </c>
      <c r="CO2" s="54" t="s">
        <v>281</v>
      </c>
      <c r="CP2" s="54" t="s">
        <v>282</v>
      </c>
      <c r="CQ2" s="54" t="s">
        <v>283</v>
      </c>
      <c r="CR2" s="54">
        <v>12.11</v>
      </c>
      <c r="CS2" s="54">
        <v>12.12</v>
      </c>
      <c r="CT2" s="29" t="s">
        <v>284</v>
      </c>
      <c r="CU2" s="29" t="s">
        <v>285</v>
      </c>
      <c r="CV2" s="29" t="s">
        <v>286</v>
      </c>
      <c r="CW2" s="29" t="s">
        <v>287</v>
      </c>
      <c r="CX2" s="29" t="s">
        <v>288</v>
      </c>
      <c r="CY2" s="29" t="s">
        <v>289</v>
      </c>
      <c r="CZ2" s="29" t="s">
        <v>290</v>
      </c>
      <c r="DA2" s="29" t="s">
        <v>291</v>
      </c>
      <c r="DB2" s="29" t="s">
        <v>292</v>
      </c>
      <c r="DC2" s="28" t="s">
        <v>293</v>
      </c>
      <c r="DD2" s="28" t="s">
        <v>294</v>
      </c>
      <c r="DE2" s="28" t="s">
        <v>295</v>
      </c>
      <c r="DF2" s="28" t="s">
        <v>296</v>
      </c>
      <c r="DG2" s="28" t="s">
        <v>297</v>
      </c>
      <c r="DH2" s="28" t="s">
        <v>298</v>
      </c>
      <c r="DI2" s="28" t="s">
        <v>299</v>
      </c>
      <c r="DJ2" s="28">
        <v>14.8</v>
      </c>
      <c r="DK2" s="28">
        <v>14.9</v>
      </c>
      <c r="DL2" s="54" t="s">
        <v>300</v>
      </c>
      <c r="DM2" s="54" t="s">
        <v>301</v>
      </c>
      <c r="DN2" s="54" t="s">
        <v>302</v>
      </c>
      <c r="DO2" s="54" t="s">
        <v>303</v>
      </c>
      <c r="DP2" s="54" t="s">
        <v>304</v>
      </c>
      <c r="DQ2" s="54" t="s">
        <v>305</v>
      </c>
      <c r="DR2" s="54" t="s">
        <v>306</v>
      </c>
      <c r="DS2" s="54" t="s">
        <v>307</v>
      </c>
      <c r="DT2" s="54" t="s">
        <v>308</v>
      </c>
      <c r="DU2" s="54" t="s">
        <v>309</v>
      </c>
      <c r="DV2" s="29" t="s">
        <v>310</v>
      </c>
      <c r="DW2" s="29" t="s">
        <v>311</v>
      </c>
      <c r="DX2" s="29" t="s">
        <v>312</v>
      </c>
      <c r="DY2" s="29" t="s">
        <v>313</v>
      </c>
      <c r="DZ2" s="29" t="s">
        <v>314</v>
      </c>
      <c r="EA2" s="29" t="s">
        <v>315</v>
      </c>
      <c r="EB2" s="29" t="s">
        <v>316</v>
      </c>
      <c r="EC2" s="29" t="s">
        <v>317</v>
      </c>
      <c r="ED2" s="29" t="s">
        <v>318</v>
      </c>
      <c r="EE2" s="29" t="s">
        <v>319</v>
      </c>
      <c r="EF2" s="29" t="s">
        <v>320</v>
      </c>
      <c r="EG2" s="29" t="s">
        <v>321</v>
      </c>
      <c r="EH2" s="29" t="s">
        <v>322</v>
      </c>
      <c r="EI2" s="29" t="s">
        <v>323</v>
      </c>
      <c r="EJ2" s="29" t="s">
        <v>324</v>
      </c>
      <c r="EK2" s="29" t="s">
        <v>325</v>
      </c>
      <c r="EL2" s="29" t="s">
        <v>326</v>
      </c>
      <c r="EM2" s="29" t="s">
        <v>327</v>
      </c>
      <c r="EN2" s="29">
        <v>17.600000000000001</v>
      </c>
      <c r="EO2" s="29">
        <v>17.7</v>
      </c>
      <c r="EP2" s="29">
        <v>17.8</v>
      </c>
      <c r="EQ2" s="29">
        <v>17.899999999999999</v>
      </c>
      <c r="ER2" s="54" t="s">
        <v>328</v>
      </c>
      <c r="ES2" s="54" t="s">
        <v>329</v>
      </c>
      <c r="ET2" s="54" t="s">
        <v>330</v>
      </c>
      <c r="EU2" s="54" t="s">
        <v>331</v>
      </c>
      <c r="EV2" s="54" t="s">
        <v>332</v>
      </c>
      <c r="EW2" s="54" t="s">
        <v>333</v>
      </c>
      <c r="EX2" s="54" t="s">
        <v>334</v>
      </c>
      <c r="EY2" s="54" t="s">
        <v>335</v>
      </c>
      <c r="EZ2" s="54" t="s">
        <v>336</v>
      </c>
      <c r="FA2" s="54" t="s">
        <v>337</v>
      </c>
      <c r="FB2" s="54">
        <v>18.11</v>
      </c>
      <c r="FC2" s="29" t="s">
        <v>338</v>
      </c>
      <c r="FD2" s="29" t="s">
        <v>339</v>
      </c>
      <c r="FE2" s="29" t="s">
        <v>340</v>
      </c>
      <c r="FF2" s="29" t="s">
        <v>341</v>
      </c>
      <c r="FG2" s="29" t="s">
        <v>342</v>
      </c>
      <c r="FH2" s="29" t="s">
        <v>343</v>
      </c>
      <c r="FI2" s="29" t="s">
        <v>344</v>
      </c>
      <c r="FJ2" s="29">
        <v>19.8</v>
      </c>
      <c r="FK2" s="54" t="s">
        <v>345</v>
      </c>
      <c r="FL2" s="54" t="s">
        <v>346</v>
      </c>
      <c r="FM2" s="54" t="s">
        <v>347</v>
      </c>
      <c r="FN2" s="54" t="s">
        <v>348</v>
      </c>
      <c r="FO2" s="54" t="s">
        <v>349</v>
      </c>
      <c r="FP2" s="54" t="s">
        <v>350</v>
      </c>
      <c r="FQ2" s="54" t="s">
        <v>351</v>
      </c>
      <c r="FR2" s="54" t="s">
        <v>352</v>
      </c>
    </row>
    <row r="3" spans="1:174" s="25" customFormat="1" ht="96">
      <c r="A3" s="31" t="s">
        <v>580</v>
      </c>
      <c r="B3" s="26" t="s">
        <v>582</v>
      </c>
      <c r="C3" s="26" t="s">
        <v>587</v>
      </c>
      <c r="D3" s="65" t="s">
        <v>353</v>
      </c>
      <c r="E3" s="66" t="s">
        <v>354</v>
      </c>
      <c r="F3" s="66" t="s">
        <v>355</v>
      </c>
      <c r="G3" s="65" t="s">
        <v>356</v>
      </c>
      <c r="H3" s="65" t="s">
        <v>357</v>
      </c>
      <c r="I3" s="65" t="s">
        <v>358</v>
      </c>
      <c r="J3" s="65" t="s">
        <v>579</v>
      </c>
      <c r="K3" s="66" t="s">
        <v>359</v>
      </c>
      <c r="L3" s="30" t="s">
        <v>360</v>
      </c>
      <c r="M3" s="30" t="s">
        <v>361</v>
      </c>
      <c r="N3" s="66" t="s">
        <v>362</v>
      </c>
      <c r="O3" s="30" t="s">
        <v>363</v>
      </c>
      <c r="P3" s="30" t="s">
        <v>364</v>
      </c>
      <c r="Q3" s="30" t="s">
        <v>365</v>
      </c>
      <c r="R3" s="66" t="s">
        <v>366</v>
      </c>
      <c r="S3" s="66" t="s">
        <v>367</v>
      </c>
      <c r="T3" s="66" t="s">
        <v>368</v>
      </c>
      <c r="U3" s="66" t="s">
        <v>369</v>
      </c>
      <c r="V3" s="65" t="s">
        <v>581</v>
      </c>
      <c r="W3" s="65" t="s">
        <v>370</v>
      </c>
      <c r="X3" s="66" t="s">
        <v>371</v>
      </c>
      <c r="Y3" s="65" t="s">
        <v>372</v>
      </c>
      <c r="Z3" s="65" t="s">
        <v>373</v>
      </c>
      <c r="AA3" s="65" t="s">
        <v>374</v>
      </c>
      <c r="AB3" s="65" t="s">
        <v>375</v>
      </c>
      <c r="AC3" s="65" t="s">
        <v>376</v>
      </c>
      <c r="AD3" s="65" t="s">
        <v>377</v>
      </c>
      <c r="AE3" s="65" t="s">
        <v>378</v>
      </c>
      <c r="AF3" s="65" t="s">
        <v>379</v>
      </c>
      <c r="AG3" s="65" t="s">
        <v>380</v>
      </c>
      <c r="AH3" s="66" t="s">
        <v>583</v>
      </c>
      <c r="AI3" s="65" t="s">
        <v>381</v>
      </c>
      <c r="AJ3" s="65" t="s">
        <v>382</v>
      </c>
      <c r="AK3" s="65" t="s">
        <v>383</v>
      </c>
      <c r="AL3" s="65" t="s">
        <v>384</v>
      </c>
      <c r="AM3" s="65" t="s">
        <v>584</v>
      </c>
      <c r="AN3" s="65" t="s">
        <v>386</v>
      </c>
      <c r="AO3" s="65" t="s">
        <v>387</v>
      </c>
      <c r="AP3" s="66" t="s">
        <v>388</v>
      </c>
      <c r="AQ3" s="66" t="s">
        <v>389</v>
      </c>
      <c r="AR3" s="65" t="s">
        <v>390</v>
      </c>
      <c r="AS3" s="65" t="s">
        <v>391</v>
      </c>
      <c r="AT3" s="65" t="s">
        <v>392</v>
      </c>
      <c r="AU3" s="65" t="s">
        <v>393</v>
      </c>
      <c r="AV3" s="66" t="s">
        <v>394</v>
      </c>
      <c r="AW3" s="65" t="s">
        <v>395</v>
      </c>
      <c r="AX3" s="66" t="s">
        <v>396</v>
      </c>
      <c r="AY3" s="65" t="s">
        <v>397</v>
      </c>
      <c r="AZ3" s="65" t="s">
        <v>398</v>
      </c>
      <c r="BA3" s="66" t="s">
        <v>399</v>
      </c>
      <c r="BB3" s="65" t="s">
        <v>588</v>
      </c>
      <c r="BC3" s="66" t="s">
        <v>401</v>
      </c>
      <c r="BD3" s="65" t="s">
        <v>402</v>
      </c>
      <c r="BE3" s="66" t="s">
        <v>403</v>
      </c>
      <c r="BF3" s="65" t="s">
        <v>589</v>
      </c>
      <c r="BG3" s="65" t="s">
        <v>405</v>
      </c>
      <c r="BH3" s="66" t="s">
        <v>406</v>
      </c>
      <c r="BI3" s="65" t="s">
        <v>407</v>
      </c>
      <c r="BJ3" s="65" t="s">
        <v>408</v>
      </c>
      <c r="BK3" s="66" t="s">
        <v>590</v>
      </c>
      <c r="BL3" s="65" t="s">
        <v>410</v>
      </c>
      <c r="BM3" s="65" t="s">
        <v>411</v>
      </c>
      <c r="BN3" s="65" t="s">
        <v>412</v>
      </c>
      <c r="BO3" s="66" t="s">
        <v>413</v>
      </c>
      <c r="BP3" s="65" t="s">
        <v>414</v>
      </c>
      <c r="BQ3" s="66" t="s">
        <v>415</v>
      </c>
      <c r="BR3" s="65" t="s">
        <v>416</v>
      </c>
      <c r="BS3" s="65" t="s">
        <v>417</v>
      </c>
      <c r="BT3" s="66" t="s">
        <v>418</v>
      </c>
      <c r="BU3" s="65" t="s">
        <v>419</v>
      </c>
      <c r="BV3" s="66" t="s">
        <v>420</v>
      </c>
      <c r="BW3" s="65" t="s">
        <v>421</v>
      </c>
      <c r="BX3" s="65" t="s">
        <v>422</v>
      </c>
      <c r="BY3" s="65" t="s">
        <v>423</v>
      </c>
      <c r="BZ3" s="66" t="s">
        <v>424</v>
      </c>
      <c r="CA3" s="65" t="s">
        <v>425</v>
      </c>
      <c r="CB3" s="65" t="s">
        <v>591</v>
      </c>
      <c r="CC3" s="65" t="s">
        <v>0</v>
      </c>
      <c r="CD3" s="65" t="s">
        <v>427</v>
      </c>
      <c r="CE3" s="30" t="s">
        <v>428</v>
      </c>
      <c r="CF3" s="30" t="s">
        <v>676</v>
      </c>
      <c r="CG3" s="30" t="s">
        <v>430</v>
      </c>
      <c r="CH3" s="65" t="s">
        <v>431</v>
      </c>
      <c r="CI3" s="30" t="s">
        <v>432</v>
      </c>
      <c r="CJ3" s="30" t="s">
        <v>433</v>
      </c>
      <c r="CK3" s="30" t="s">
        <v>434</v>
      </c>
      <c r="CL3" s="30" t="s">
        <v>435</v>
      </c>
      <c r="CM3" s="30" t="s">
        <v>436</v>
      </c>
      <c r="CN3" s="30" t="s">
        <v>437</v>
      </c>
      <c r="CO3" s="30" t="s">
        <v>438</v>
      </c>
      <c r="CP3" s="30" t="s">
        <v>439</v>
      </c>
      <c r="CQ3" s="30" t="s">
        <v>440</v>
      </c>
      <c r="CR3" s="30" t="s">
        <v>441</v>
      </c>
      <c r="CS3" s="30" t="s">
        <v>442</v>
      </c>
      <c r="CT3" s="30" t="s">
        <v>443</v>
      </c>
      <c r="CU3" s="30" t="s">
        <v>678</v>
      </c>
      <c r="CV3" s="30" t="s">
        <v>445</v>
      </c>
      <c r="CW3" s="30" t="s">
        <v>446</v>
      </c>
      <c r="CX3" s="30" t="s">
        <v>447</v>
      </c>
      <c r="CY3" s="30" t="s">
        <v>448</v>
      </c>
      <c r="CZ3" s="30" t="s">
        <v>449</v>
      </c>
      <c r="DA3" s="30" t="s">
        <v>450</v>
      </c>
      <c r="DB3" s="30" t="s">
        <v>451</v>
      </c>
      <c r="DC3" s="30" t="s">
        <v>452</v>
      </c>
      <c r="DD3" s="30" t="s">
        <v>453</v>
      </c>
      <c r="DE3" s="30" t="s">
        <v>454</v>
      </c>
      <c r="DF3" s="30" t="s">
        <v>455</v>
      </c>
      <c r="DG3" s="30" t="s">
        <v>1260</v>
      </c>
      <c r="DH3" s="30" t="s">
        <v>1262</v>
      </c>
      <c r="DI3" s="30" t="s">
        <v>458</v>
      </c>
      <c r="DJ3" s="30" t="s">
        <v>459</v>
      </c>
      <c r="DK3" s="30" t="s">
        <v>460</v>
      </c>
      <c r="DL3" s="30" t="s">
        <v>461</v>
      </c>
      <c r="DM3" s="30" t="s">
        <v>462</v>
      </c>
      <c r="DN3" s="30" t="s">
        <v>463</v>
      </c>
      <c r="DO3" s="30" t="s">
        <v>464</v>
      </c>
      <c r="DP3" s="30" t="s">
        <v>465</v>
      </c>
      <c r="DQ3" s="30" t="s">
        <v>466</v>
      </c>
      <c r="DR3" s="30" t="s">
        <v>467</v>
      </c>
      <c r="DS3" s="30" t="s">
        <v>468</v>
      </c>
      <c r="DT3" s="30" t="s">
        <v>469</v>
      </c>
      <c r="DU3" s="30" t="s">
        <v>470</v>
      </c>
      <c r="DV3" s="30" t="s">
        <v>471</v>
      </c>
      <c r="DW3" s="30" t="s">
        <v>472</v>
      </c>
      <c r="DX3" s="30" t="s">
        <v>473</v>
      </c>
      <c r="DY3" s="30" t="s">
        <v>474</v>
      </c>
      <c r="DZ3" s="30" t="s">
        <v>475</v>
      </c>
      <c r="EA3" s="30" t="s">
        <v>476</v>
      </c>
      <c r="EB3" s="30" t="s">
        <v>1264</v>
      </c>
      <c r="EC3" s="30" t="s">
        <v>478</v>
      </c>
      <c r="ED3" s="30" t="s">
        <v>479</v>
      </c>
      <c r="EE3" s="30" t="s">
        <v>480</v>
      </c>
      <c r="EF3" s="30" t="s">
        <v>481</v>
      </c>
      <c r="EG3" s="30" t="s">
        <v>482</v>
      </c>
      <c r="EH3" s="30" t="s">
        <v>1</v>
      </c>
      <c r="EI3" s="30" t="s">
        <v>483</v>
      </c>
      <c r="EJ3" s="30" t="s">
        <v>484</v>
      </c>
      <c r="EK3" s="30" t="s">
        <v>1266</v>
      </c>
      <c r="EL3" s="30" t="s">
        <v>485</v>
      </c>
      <c r="EM3" s="30" t="s">
        <v>486</v>
      </c>
      <c r="EN3" s="30" t="s">
        <v>487</v>
      </c>
      <c r="EO3" s="30" t="s">
        <v>488</v>
      </c>
      <c r="EP3" s="30" t="s">
        <v>489</v>
      </c>
      <c r="EQ3" s="30" t="s">
        <v>490</v>
      </c>
      <c r="ER3" s="30" t="s">
        <v>491</v>
      </c>
      <c r="ES3" s="30" t="s">
        <v>492</v>
      </c>
      <c r="ET3" s="30" t="s">
        <v>493</v>
      </c>
      <c r="EU3" s="30" t="s">
        <v>494</v>
      </c>
      <c r="EV3" s="30" t="s">
        <v>495</v>
      </c>
      <c r="EW3" s="30" t="s">
        <v>496</v>
      </c>
      <c r="EX3" s="30" t="s">
        <v>497</v>
      </c>
      <c r="EY3" s="30" t="s">
        <v>498</v>
      </c>
      <c r="EZ3" s="30" t="s">
        <v>499</v>
      </c>
      <c r="FA3" s="30" t="s">
        <v>1267</v>
      </c>
      <c r="FB3" s="30" t="s">
        <v>501</v>
      </c>
      <c r="FC3" s="30" t="s">
        <v>502</v>
      </c>
      <c r="FD3" s="30" t="s">
        <v>503</v>
      </c>
      <c r="FE3" s="30" t="s">
        <v>504</v>
      </c>
      <c r="FF3" s="30" t="s">
        <v>1269</v>
      </c>
      <c r="FG3" s="30" t="s">
        <v>506</v>
      </c>
      <c r="FH3" s="30" t="s">
        <v>507</v>
      </c>
      <c r="FI3" s="30" t="s">
        <v>1271</v>
      </c>
      <c r="FJ3" s="30" t="s">
        <v>509</v>
      </c>
      <c r="FK3" s="30" t="s">
        <v>510</v>
      </c>
      <c r="FL3" s="30" t="s">
        <v>511</v>
      </c>
      <c r="FM3" s="30" t="s">
        <v>512</v>
      </c>
      <c r="FN3" s="30" t="s">
        <v>1273</v>
      </c>
      <c r="FO3" s="30" t="s">
        <v>1274</v>
      </c>
      <c r="FP3" s="30" t="s">
        <v>515</v>
      </c>
      <c r="FQ3" s="30" t="s">
        <v>516</v>
      </c>
      <c r="FR3" s="30" t="s">
        <v>517</v>
      </c>
    </row>
    <row r="4" spans="1:174">
      <c r="A4" s="20" t="s">
        <v>518</v>
      </c>
      <c r="B4" s="21" t="s">
        <v>519</v>
      </c>
      <c r="C4" s="20" t="s">
        <v>585</v>
      </c>
      <c r="D4" s="19"/>
    </row>
    <row r="5" spans="1:174">
      <c r="A5" s="20" t="s">
        <v>520</v>
      </c>
      <c r="B5" s="21" t="s">
        <v>519</v>
      </c>
      <c r="C5" s="20" t="s">
        <v>585</v>
      </c>
      <c r="D5" s="19"/>
    </row>
    <row r="6" spans="1:174">
      <c r="A6" s="20" t="s">
        <v>521</v>
      </c>
      <c r="B6" s="21" t="s">
        <v>519</v>
      </c>
      <c r="C6" s="20" t="s">
        <v>585</v>
      </c>
      <c r="D6" s="19"/>
    </row>
    <row r="7" spans="1:174">
      <c r="A7" s="20" t="s">
        <v>522</v>
      </c>
      <c r="B7" s="21" t="s">
        <v>519</v>
      </c>
      <c r="C7" s="20" t="s">
        <v>585</v>
      </c>
      <c r="D7" s="19"/>
      <c r="AQ7" s="24" t="s">
        <v>523</v>
      </c>
      <c r="AR7" s="24" t="s">
        <v>523</v>
      </c>
      <c r="AS7" s="24" t="s">
        <v>523</v>
      </c>
      <c r="AT7" s="24" t="s">
        <v>523</v>
      </c>
      <c r="AU7" s="24" t="s">
        <v>523</v>
      </c>
      <c r="AV7" s="24" t="s">
        <v>523</v>
      </c>
      <c r="AW7" s="24" t="s">
        <v>523</v>
      </c>
      <c r="AX7" s="24" t="s">
        <v>523</v>
      </c>
      <c r="DC7" s="24" t="s">
        <v>523</v>
      </c>
      <c r="DD7" s="24" t="s">
        <v>523</v>
      </c>
      <c r="DE7" s="24" t="s">
        <v>523</v>
      </c>
      <c r="DF7" s="24" t="s">
        <v>523</v>
      </c>
      <c r="DG7" s="24" t="s">
        <v>523</v>
      </c>
      <c r="DH7" s="24" t="s">
        <v>523</v>
      </c>
      <c r="DI7" s="24" t="s">
        <v>523</v>
      </c>
      <c r="DJ7" s="24" t="s">
        <v>523</v>
      </c>
      <c r="DK7" s="24" t="s">
        <v>523</v>
      </c>
      <c r="DV7" s="24" t="s">
        <v>523</v>
      </c>
      <c r="DW7" s="24" t="s">
        <v>523</v>
      </c>
      <c r="DX7" s="24" t="s">
        <v>523</v>
      </c>
      <c r="DY7" s="24" t="s">
        <v>523</v>
      </c>
      <c r="DZ7" s="24" t="s">
        <v>523</v>
      </c>
      <c r="EA7" s="24" t="s">
        <v>523</v>
      </c>
      <c r="EB7" s="24" t="s">
        <v>523</v>
      </c>
      <c r="EC7" s="24" t="s">
        <v>523</v>
      </c>
      <c r="ED7" s="24" t="s">
        <v>523</v>
      </c>
      <c r="EE7" s="24" t="s">
        <v>523</v>
      </c>
      <c r="EF7" s="24" t="s">
        <v>523</v>
      </c>
      <c r="EG7" s="24" t="s">
        <v>523</v>
      </c>
      <c r="EH7" s="24" t="s">
        <v>523</v>
      </c>
    </row>
    <row r="8" spans="1:174">
      <c r="A8" s="20" t="s">
        <v>524</v>
      </c>
      <c r="B8" s="21" t="s">
        <v>525</v>
      </c>
      <c r="C8" s="20" t="s">
        <v>585</v>
      </c>
      <c r="D8" s="19"/>
    </row>
    <row r="9" spans="1:174">
      <c r="A9" s="20" t="s">
        <v>526</v>
      </c>
      <c r="B9" s="21" t="s">
        <v>527</v>
      </c>
      <c r="C9" s="20" t="s">
        <v>586</v>
      </c>
      <c r="D9" s="19"/>
    </row>
    <row r="10" spans="1:174">
      <c r="A10" s="20" t="s">
        <v>528</v>
      </c>
      <c r="B10" s="21" t="s">
        <v>527</v>
      </c>
      <c r="C10" s="20" t="s">
        <v>586</v>
      </c>
      <c r="D10" s="19"/>
    </row>
    <row r="11" spans="1:174">
      <c r="A11" s="20" t="s">
        <v>529</v>
      </c>
      <c r="B11" s="21" t="s">
        <v>527</v>
      </c>
      <c r="C11" s="20" t="s">
        <v>586</v>
      </c>
      <c r="D11" s="19"/>
    </row>
    <row r="12" spans="1:174">
      <c r="A12" s="20" t="s">
        <v>530</v>
      </c>
      <c r="B12" s="21" t="s">
        <v>531</v>
      </c>
      <c r="C12" s="20" t="s">
        <v>585</v>
      </c>
      <c r="D12" s="19"/>
      <c r="CT12" s="24" t="s">
        <v>523</v>
      </c>
      <c r="CU12" s="24" t="s">
        <v>523</v>
      </c>
      <c r="CV12" s="24" t="s">
        <v>523</v>
      </c>
      <c r="CW12" s="24" t="s">
        <v>523</v>
      </c>
      <c r="CX12" s="24" t="s">
        <v>523</v>
      </c>
      <c r="CY12" s="24" t="s">
        <v>523</v>
      </c>
      <c r="CZ12" s="24" t="s">
        <v>523</v>
      </c>
      <c r="DA12" s="24" t="s">
        <v>523</v>
      </c>
      <c r="DB12" s="24" t="s">
        <v>523</v>
      </c>
      <c r="DC12" s="24" t="s">
        <v>523</v>
      </c>
      <c r="DD12" s="24" t="s">
        <v>523</v>
      </c>
      <c r="DE12" s="24" t="s">
        <v>523</v>
      </c>
      <c r="DF12" s="24" t="s">
        <v>523</v>
      </c>
      <c r="DG12" s="24" t="s">
        <v>523</v>
      </c>
      <c r="DH12" s="24" t="s">
        <v>523</v>
      </c>
      <c r="DI12" s="24" t="s">
        <v>523</v>
      </c>
      <c r="DJ12" s="24" t="s">
        <v>523</v>
      </c>
      <c r="DK12" s="24" t="s">
        <v>523</v>
      </c>
    </row>
    <row r="13" spans="1:174">
      <c r="A13" s="20" t="s">
        <v>532</v>
      </c>
      <c r="B13" s="21" t="s">
        <v>531</v>
      </c>
      <c r="C13" s="20" t="s">
        <v>586</v>
      </c>
      <c r="D13" s="19"/>
      <c r="DC13" s="24" t="s">
        <v>523</v>
      </c>
      <c r="DD13" s="24" t="s">
        <v>523</v>
      </c>
      <c r="DE13" s="24" t="s">
        <v>523</v>
      </c>
      <c r="DF13" s="24" t="s">
        <v>523</v>
      </c>
      <c r="DG13" s="24" t="s">
        <v>523</v>
      </c>
      <c r="DH13" s="24" t="s">
        <v>523</v>
      </c>
      <c r="DI13" s="24" t="s">
        <v>523</v>
      </c>
      <c r="DJ13" s="24" t="s">
        <v>523</v>
      </c>
      <c r="DK13" s="24" t="s">
        <v>523</v>
      </c>
      <c r="DV13" s="24" t="s">
        <v>523</v>
      </c>
      <c r="DW13" s="24" t="s">
        <v>523</v>
      </c>
      <c r="DX13" s="24" t="s">
        <v>523</v>
      </c>
      <c r="DY13" s="24" t="s">
        <v>523</v>
      </c>
      <c r="DZ13" s="24" t="s">
        <v>523</v>
      </c>
      <c r="EA13" s="24" t="s">
        <v>523</v>
      </c>
      <c r="EB13" s="24" t="s">
        <v>523</v>
      </c>
      <c r="EC13" s="24" t="s">
        <v>523</v>
      </c>
      <c r="ED13" s="24" t="s">
        <v>523</v>
      </c>
      <c r="EE13" s="24" t="s">
        <v>523</v>
      </c>
      <c r="EF13" s="24" t="s">
        <v>523</v>
      </c>
      <c r="EG13" s="24" t="s">
        <v>523</v>
      </c>
      <c r="EH13" s="24" t="s">
        <v>523</v>
      </c>
    </row>
    <row r="14" spans="1:174">
      <c r="A14" s="20" t="s">
        <v>533</v>
      </c>
      <c r="B14" s="21" t="s">
        <v>531</v>
      </c>
      <c r="C14" s="20" t="s">
        <v>586</v>
      </c>
      <c r="D14" s="19"/>
      <c r="DV14" s="24" t="s">
        <v>523</v>
      </c>
      <c r="DW14" s="24" t="s">
        <v>523</v>
      </c>
      <c r="DX14" s="24" t="s">
        <v>523</v>
      </c>
      <c r="DY14" s="24" t="s">
        <v>523</v>
      </c>
      <c r="DZ14" s="24" t="s">
        <v>523</v>
      </c>
      <c r="EA14" s="24" t="s">
        <v>523</v>
      </c>
      <c r="EB14" s="24" t="s">
        <v>523</v>
      </c>
      <c r="EC14" s="24" t="s">
        <v>523</v>
      </c>
      <c r="ED14" s="24" t="s">
        <v>523</v>
      </c>
      <c r="EE14" s="24" t="s">
        <v>523</v>
      </c>
      <c r="EF14" s="24" t="s">
        <v>523</v>
      </c>
      <c r="EG14" s="24" t="s">
        <v>523</v>
      </c>
      <c r="EH14" s="24" t="s">
        <v>523</v>
      </c>
    </row>
    <row r="15" spans="1:174">
      <c r="A15" s="20" t="s">
        <v>534</v>
      </c>
      <c r="B15" s="21" t="s">
        <v>535</v>
      </c>
      <c r="C15" s="20" t="s">
        <v>586</v>
      </c>
      <c r="D15" s="19"/>
      <c r="EI15" s="24" t="s">
        <v>523</v>
      </c>
      <c r="EJ15" s="24" t="s">
        <v>523</v>
      </c>
      <c r="EK15" s="24" t="s">
        <v>523</v>
      </c>
      <c r="EL15" s="24" t="s">
        <v>523</v>
      </c>
      <c r="EM15" s="24" t="s">
        <v>523</v>
      </c>
      <c r="EN15" s="24" t="s">
        <v>523</v>
      </c>
      <c r="EO15" s="24" t="s">
        <v>523</v>
      </c>
      <c r="EP15" s="24" t="s">
        <v>523</v>
      </c>
      <c r="EQ15" s="24" t="s">
        <v>523</v>
      </c>
    </row>
    <row r="16" spans="1:174">
      <c r="A16" s="20" t="s">
        <v>536</v>
      </c>
      <c r="B16" s="21" t="s">
        <v>535</v>
      </c>
      <c r="C16" s="20" t="s">
        <v>586</v>
      </c>
      <c r="D16" s="19"/>
      <c r="BI16" s="24" t="s">
        <v>523</v>
      </c>
      <c r="BJ16" s="24" t="s">
        <v>523</v>
      </c>
      <c r="BK16" s="24" t="s">
        <v>523</v>
      </c>
      <c r="BL16" s="24" t="s">
        <v>523</v>
      </c>
      <c r="BM16" s="24" t="s">
        <v>523</v>
      </c>
      <c r="BN16" s="24" t="s">
        <v>523</v>
      </c>
      <c r="BO16" s="24" t="s">
        <v>523</v>
      </c>
      <c r="BP16" s="24" t="s">
        <v>523</v>
      </c>
      <c r="EI16" s="24" t="s">
        <v>523</v>
      </c>
      <c r="EJ16" s="24" t="s">
        <v>523</v>
      </c>
      <c r="EK16" s="24" t="s">
        <v>523</v>
      </c>
      <c r="EL16" s="24" t="s">
        <v>523</v>
      </c>
      <c r="EM16" s="24" t="s">
        <v>523</v>
      </c>
      <c r="EN16" s="24" t="s">
        <v>523</v>
      </c>
      <c r="EO16" s="24" t="s">
        <v>523</v>
      </c>
      <c r="EP16" s="24" t="s">
        <v>523</v>
      </c>
      <c r="EQ16" s="24" t="s">
        <v>523</v>
      </c>
    </row>
    <row r="17" spans="1:166">
      <c r="A17" s="20" t="s">
        <v>537</v>
      </c>
      <c r="B17" s="21" t="s">
        <v>535</v>
      </c>
      <c r="C17" s="20" t="s">
        <v>586</v>
      </c>
      <c r="D17" s="19"/>
      <c r="AQ17" s="24" t="s">
        <v>523</v>
      </c>
      <c r="AR17" s="24" t="s">
        <v>523</v>
      </c>
      <c r="AS17" s="24" t="s">
        <v>523</v>
      </c>
      <c r="AT17" s="24" t="s">
        <v>523</v>
      </c>
      <c r="AU17" s="24" t="s">
        <v>523</v>
      </c>
      <c r="AV17" s="24" t="s">
        <v>523</v>
      </c>
      <c r="AW17" s="24" t="s">
        <v>523</v>
      </c>
      <c r="AX17" s="24" t="s">
        <v>523</v>
      </c>
      <c r="EI17" s="24" t="s">
        <v>523</v>
      </c>
      <c r="EJ17" s="24" t="s">
        <v>523</v>
      </c>
      <c r="EK17" s="24" t="s">
        <v>523</v>
      </c>
      <c r="EL17" s="24" t="s">
        <v>523</v>
      </c>
      <c r="EM17" s="24" t="s">
        <v>523</v>
      </c>
      <c r="EN17" s="24" t="s">
        <v>523</v>
      </c>
      <c r="EO17" s="24" t="s">
        <v>523</v>
      </c>
      <c r="EP17" s="24" t="s">
        <v>523</v>
      </c>
      <c r="EQ17" s="24" t="s">
        <v>523</v>
      </c>
    </row>
    <row r="18" spans="1:166">
      <c r="A18" s="20" t="s">
        <v>538</v>
      </c>
      <c r="B18" s="21" t="s">
        <v>535</v>
      </c>
      <c r="C18" s="20" t="s">
        <v>586</v>
      </c>
      <c r="D18" s="19"/>
      <c r="DV18" s="24" t="s">
        <v>523</v>
      </c>
      <c r="DW18" s="24" t="s">
        <v>523</v>
      </c>
      <c r="DX18" s="24" t="s">
        <v>523</v>
      </c>
      <c r="DY18" s="24" t="s">
        <v>523</v>
      </c>
      <c r="DZ18" s="24" t="s">
        <v>523</v>
      </c>
      <c r="EA18" s="24" t="s">
        <v>523</v>
      </c>
      <c r="EB18" s="24" t="s">
        <v>523</v>
      </c>
      <c r="EC18" s="24" t="s">
        <v>523</v>
      </c>
      <c r="ED18" s="24" t="s">
        <v>523</v>
      </c>
      <c r="EE18" s="24" t="s">
        <v>523</v>
      </c>
      <c r="EF18" s="24" t="s">
        <v>523</v>
      </c>
      <c r="EG18" s="24" t="s">
        <v>523</v>
      </c>
      <c r="EH18" s="24" t="s">
        <v>523</v>
      </c>
      <c r="EI18" s="24" t="s">
        <v>523</v>
      </c>
      <c r="EJ18" s="24" t="s">
        <v>523</v>
      </c>
      <c r="EK18" s="24" t="s">
        <v>523</v>
      </c>
      <c r="EL18" s="24" t="s">
        <v>523</v>
      </c>
      <c r="EM18" s="24" t="s">
        <v>523</v>
      </c>
      <c r="EN18" s="24" t="s">
        <v>523</v>
      </c>
      <c r="EO18" s="24" t="s">
        <v>523</v>
      </c>
      <c r="EP18" s="24" t="s">
        <v>523</v>
      </c>
      <c r="EQ18" s="24" t="s">
        <v>523</v>
      </c>
    </row>
    <row r="19" spans="1:166">
      <c r="A19" s="20" t="s">
        <v>539</v>
      </c>
      <c r="B19" s="21" t="s">
        <v>540</v>
      </c>
      <c r="C19" s="20" t="s">
        <v>585</v>
      </c>
      <c r="D19" s="19"/>
      <c r="FC19" s="24" t="s">
        <v>523</v>
      </c>
      <c r="FD19" s="24" t="s">
        <v>523</v>
      </c>
      <c r="FE19" s="24" t="s">
        <v>523</v>
      </c>
      <c r="FF19" s="24" t="s">
        <v>523</v>
      </c>
      <c r="FG19" s="24" t="s">
        <v>523</v>
      </c>
      <c r="FH19" s="24" t="s">
        <v>523</v>
      </c>
      <c r="FI19" s="24" t="s">
        <v>523</v>
      </c>
      <c r="FJ19" s="24" t="s">
        <v>523</v>
      </c>
    </row>
    <row r="20" spans="1:166">
      <c r="A20" s="20" t="s">
        <v>541</v>
      </c>
      <c r="B20" s="21" t="s">
        <v>542</v>
      </c>
      <c r="C20" s="20" t="s">
        <v>585</v>
      </c>
      <c r="D20" s="19"/>
      <c r="BV20" s="24" t="s">
        <v>523</v>
      </c>
      <c r="BW20" s="24" t="s">
        <v>523</v>
      </c>
      <c r="BX20" s="24" t="s">
        <v>523</v>
      </c>
      <c r="BY20" s="24" t="s">
        <v>523</v>
      </c>
      <c r="BZ20" s="24" t="s">
        <v>523</v>
      </c>
    </row>
    <row r="21" spans="1:166">
      <c r="A21" s="20" t="s">
        <v>543</v>
      </c>
      <c r="B21" s="21" t="s">
        <v>542</v>
      </c>
      <c r="C21" s="20" t="s">
        <v>585</v>
      </c>
      <c r="D21" s="19"/>
      <c r="BV21" s="24" t="s">
        <v>523</v>
      </c>
      <c r="BW21" s="24" t="s">
        <v>523</v>
      </c>
      <c r="BX21" s="24" t="s">
        <v>523</v>
      </c>
      <c r="BY21" s="24" t="s">
        <v>523</v>
      </c>
      <c r="BZ21" s="24" t="s">
        <v>523</v>
      </c>
    </row>
    <row r="22" spans="1:166">
      <c r="A22" s="20" t="s">
        <v>544</v>
      </c>
      <c r="B22" s="21" t="s">
        <v>542</v>
      </c>
      <c r="C22" s="20" t="s">
        <v>585</v>
      </c>
      <c r="D22" s="19"/>
    </row>
    <row r="23" spans="1:166">
      <c r="A23" s="20" t="s">
        <v>545</v>
      </c>
      <c r="B23" s="21" t="s">
        <v>542</v>
      </c>
      <c r="C23" s="20" t="s">
        <v>586</v>
      </c>
      <c r="D23" s="19"/>
      <c r="BV23" s="24" t="s">
        <v>523</v>
      </c>
      <c r="BW23" s="24" t="s">
        <v>523</v>
      </c>
      <c r="BX23" s="24" t="s">
        <v>523</v>
      </c>
      <c r="BY23" s="24" t="s">
        <v>523</v>
      </c>
      <c r="BZ23" s="24" t="s">
        <v>523</v>
      </c>
    </row>
    <row r="24" spans="1:166">
      <c r="A24" s="20" t="s">
        <v>546</v>
      </c>
      <c r="B24" s="21" t="s">
        <v>542</v>
      </c>
      <c r="C24" s="20" t="s">
        <v>586</v>
      </c>
      <c r="D24" s="19"/>
    </row>
    <row r="25" spans="1:166">
      <c r="A25" s="20" t="s">
        <v>547</v>
      </c>
      <c r="B25" s="21" t="s">
        <v>548</v>
      </c>
      <c r="C25" s="20" t="s">
        <v>585</v>
      </c>
      <c r="D25" s="19"/>
    </row>
    <row r="26" spans="1:166" ht="32">
      <c r="A26" s="20" t="s">
        <v>549</v>
      </c>
      <c r="B26" s="21" t="s">
        <v>550</v>
      </c>
      <c r="C26" s="20" t="s">
        <v>585</v>
      </c>
      <c r="D26" s="19"/>
    </row>
    <row r="27" spans="1:166">
      <c r="A27" s="20" t="s">
        <v>551</v>
      </c>
      <c r="B27" s="21" t="s">
        <v>552</v>
      </c>
      <c r="C27" s="20" t="s">
        <v>586</v>
      </c>
      <c r="D27" s="19"/>
    </row>
    <row r="28" spans="1:166">
      <c r="A28" s="20" t="s">
        <v>553</v>
      </c>
      <c r="B28" s="21" t="s">
        <v>552</v>
      </c>
      <c r="C28" s="20" t="s">
        <v>586</v>
      </c>
      <c r="D28" s="19"/>
    </row>
    <row r="29" spans="1:166">
      <c r="A29" s="20" t="s">
        <v>554</v>
      </c>
      <c r="B29" s="21" t="s">
        <v>552</v>
      </c>
      <c r="C29" s="20" t="s">
        <v>586</v>
      </c>
      <c r="D29" s="19"/>
    </row>
    <row r="30" spans="1:166">
      <c r="A30" s="20" t="s">
        <v>555</v>
      </c>
      <c r="B30" s="21" t="s">
        <v>552</v>
      </c>
      <c r="C30" s="20" t="s">
        <v>586</v>
      </c>
      <c r="D30" s="19"/>
    </row>
    <row r="31" spans="1:166">
      <c r="A31" s="20" t="s">
        <v>556</v>
      </c>
      <c r="B31" s="21" t="s">
        <v>557</v>
      </c>
      <c r="C31" s="20" t="s">
        <v>585</v>
      </c>
      <c r="D31" s="24" t="s">
        <v>523</v>
      </c>
      <c r="E31" s="24" t="s">
        <v>523</v>
      </c>
      <c r="F31" s="24" t="s">
        <v>523</v>
      </c>
      <c r="G31" s="24" t="s">
        <v>523</v>
      </c>
      <c r="H31" s="24" t="s">
        <v>523</v>
      </c>
      <c r="I31" s="24" t="s">
        <v>523</v>
      </c>
      <c r="J31" s="24" t="s">
        <v>523</v>
      </c>
      <c r="K31" s="24" t="s">
        <v>523</v>
      </c>
      <c r="L31" s="24" t="s">
        <v>523</v>
      </c>
      <c r="M31" s="24" t="s">
        <v>523</v>
      </c>
      <c r="N31" s="24" t="s">
        <v>523</v>
      </c>
      <c r="O31" s="24" t="s">
        <v>523</v>
      </c>
      <c r="P31" s="24" t="s">
        <v>523</v>
      </c>
      <c r="Q31" s="24" t="s">
        <v>523</v>
      </c>
      <c r="R31" s="24" t="s">
        <v>523</v>
      </c>
      <c r="S31" s="24" t="s">
        <v>523</v>
      </c>
      <c r="T31" s="24" t="s">
        <v>523</v>
      </c>
      <c r="U31" s="24" t="s">
        <v>523</v>
      </c>
      <c r="V31" s="24" t="s">
        <v>523</v>
      </c>
      <c r="W31" s="24" t="s">
        <v>523</v>
      </c>
      <c r="X31" s="24" t="s">
        <v>523</v>
      </c>
      <c r="Y31" s="24" t="s">
        <v>523</v>
      </c>
      <c r="Z31" s="24" t="s">
        <v>523</v>
      </c>
      <c r="AA31" s="24" t="s">
        <v>523</v>
      </c>
      <c r="AB31" s="24" t="s">
        <v>523</v>
      </c>
      <c r="AC31" s="24" t="s">
        <v>523</v>
      </c>
      <c r="AD31" s="24" t="s">
        <v>523</v>
      </c>
      <c r="AE31" s="24" t="s">
        <v>523</v>
      </c>
      <c r="AF31" s="24" t="s">
        <v>523</v>
      </c>
      <c r="AG31" s="24" t="s">
        <v>523</v>
      </c>
      <c r="AH31" s="24" t="s">
        <v>523</v>
      </c>
      <c r="AI31" s="24" t="s">
        <v>523</v>
      </c>
      <c r="AJ31" s="24" t="s">
        <v>523</v>
      </c>
      <c r="AK31" s="24" t="s">
        <v>523</v>
      </c>
      <c r="AL31" s="24" t="s">
        <v>523</v>
      </c>
      <c r="AM31" s="24" t="s">
        <v>523</v>
      </c>
      <c r="AN31" s="24" t="s">
        <v>523</v>
      </c>
      <c r="AO31" s="24" t="s">
        <v>523</v>
      </c>
      <c r="AP31" s="24" t="s">
        <v>523</v>
      </c>
      <c r="AY31" s="24" t="s">
        <v>523</v>
      </c>
      <c r="AZ31" s="24" t="s">
        <v>523</v>
      </c>
      <c r="BA31" s="24" t="s">
        <v>523</v>
      </c>
      <c r="BB31" s="24" t="s">
        <v>523</v>
      </c>
      <c r="BC31" s="24" t="s">
        <v>523</v>
      </c>
      <c r="BD31" s="24" t="s">
        <v>523</v>
      </c>
      <c r="BE31" s="24" t="s">
        <v>523</v>
      </c>
      <c r="BF31" s="24" t="s">
        <v>523</v>
      </c>
      <c r="BG31" s="24" t="s">
        <v>523</v>
      </c>
      <c r="BH31" s="24" t="s">
        <v>523</v>
      </c>
      <c r="BI31" s="24" t="s">
        <v>523</v>
      </c>
      <c r="BJ31" s="24" t="s">
        <v>523</v>
      </c>
      <c r="BK31" s="24" t="s">
        <v>523</v>
      </c>
      <c r="BL31" s="24" t="s">
        <v>523</v>
      </c>
      <c r="BM31" s="24" t="s">
        <v>523</v>
      </c>
      <c r="BN31" s="24" t="s">
        <v>523</v>
      </c>
      <c r="BO31" s="24" t="s">
        <v>523</v>
      </c>
      <c r="BP31" s="24" t="s">
        <v>523</v>
      </c>
      <c r="BQ31" s="24" t="s">
        <v>523</v>
      </c>
      <c r="BR31" s="24" t="s">
        <v>523</v>
      </c>
      <c r="BS31" s="24" t="s">
        <v>523</v>
      </c>
      <c r="BT31" s="24" t="s">
        <v>523</v>
      </c>
      <c r="BU31" s="24" t="s">
        <v>523</v>
      </c>
    </row>
    <row r="32" spans="1:166">
      <c r="A32" s="20" t="s">
        <v>558</v>
      </c>
      <c r="B32" s="21" t="s">
        <v>559</v>
      </c>
      <c r="C32" s="20" t="s">
        <v>585</v>
      </c>
      <c r="D32" s="24" t="s">
        <v>523</v>
      </c>
      <c r="E32" s="24" t="s">
        <v>523</v>
      </c>
      <c r="F32" s="24" t="s">
        <v>523</v>
      </c>
      <c r="G32" s="24" t="s">
        <v>523</v>
      </c>
      <c r="H32" s="24" t="s">
        <v>523</v>
      </c>
      <c r="I32" s="24" t="s">
        <v>523</v>
      </c>
      <c r="J32" s="24" t="s">
        <v>523</v>
      </c>
      <c r="K32" s="24" t="s">
        <v>523</v>
      </c>
      <c r="L32" s="24" t="s">
        <v>523</v>
      </c>
      <c r="M32" s="24" t="s">
        <v>523</v>
      </c>
      <c r="N32" s="24" t="s">
        <v>523</v>
      </c>
      <c r="O32" s="24" t="s">
        <v>523</v>
      </c>
      <c r="P32" s="24" t="s">
        <v>523</v>
      </c>
      <c r="Q32" s="24" t="s">
        <v>523</v>
      </c>
      <c r="R32" s="24" t="s">
        <v>523</v>
      </c>
      <c r="S32" s="24" t="s">
        <v>523</v>
      </c>
      <c r="T32" s="24" t="s">
        <v>523</v>
      </c>
      <c r="U32" s="24" t="s">
        <v>523</v>
      </c>
      <c r="V32" s="24" t="s">
        <v>523</v>
      </c>
      <c r="W32" s="24" t="s">
        <v>523</v>
      </c>
      <c r="X32" s="24" t="s">
        <v>523</v>
      </c>
      <c r="Y32" s="24" t="s">
        <v>523</v>
      </c>
      <c r="Z32" s="24" t="s">
        <v>523</v>
      </c>
      <c r="AA32" s="24" t="s">
        <v>523</v>
      </c>
      <c r="AB32" s="24" t="s">
        <v>523</v>
      </c>
      <c r="AC32" s="24" t="s">
        <v>523</v>
      </c>
      <c r="AD32" s="24" t="s">
        <v>523</v>
      </c>
      <c r="AE32" s="24" t="s">
        <v>523</v>
      </c>
      <c r="AF32" s="24" t="s">
        <v>523</v>
      </c>
      <c r="AG32" s="24" t="s">
        <v>523</v>
      </c>
      <c r="AH32" s="24" t="s">
        <v>523</v>
      </c>
      <c r="AI32" s="24" t="s">
        <v>523</v>
      </c>
      <c r="AJ32" s="24" t="s">
        <v>523</v>
      </c>
      <c r="AK32" s="24" t="s">
        <v>523</v>
      </c>
      <c r="AL32" s="24" t="s">
        <v>523</v>
      </c>
      <c r="AM32" s="24" t="s">
        <v>523</v>
      </c>
      <c r="AN32" s="24" t="s">
        <v>523</v>
      </c>
      <c r="AO32" s="24" t="s">
        <v>523</v>
      </c>
      <c r="AP32" s="24" t="s">
        <v>523</v>
      </c>
      <c r="AY32" s="24" t="s">
        <v>523</v>
      </c>
      <c r="AZ32" s="24" t="s">
        <v>523</v>
      </c>
      <c r="BA32" s="24" t="s">
        <v>523</v>
      </c>
      <c r="BB32" s="24" t="s">
        <v>523</v>
      </c>
      <c r="BC32" s="24" t="s">
        <v>523</v>
      </c>
      <c r="BD32" s="24" t="s">
        <v>523</v>
      </c>
      <c r="BE32" s="24" t="s">
        <v>523</v>
      </c>
      <c r="BF32" s="24" t="s">
        <v>523</v>
      </c>
      <c r="BG32" s="24" t="s">
        <v>523</v>
      </c>
      <c r="BH32" s="24" t="s">
        <v>523</v>
      </c>
      <c r="BI32" s="24" t="s">
        <v>523</v>
      </c>
      <c r="BJ32" s="24" t="s">
        <v>523</v>
      </c>
      <c r="BK32" s="24" t="s">
        <v>523</v>
      </c>
      <c r="BL32" s="24" t="s">
        <v>523</v>
      </c>
      <c r="BM32" s="24" t="s">
        <v>523</v>
      </c>
      <c r="BN32" s="24" t="s">
        <v>523</v>
      </c>
      <c r="BO32" s="24" t="s">
        <v>523</v>
      </c>
      <c r="BP32" s="24" t="s">
        <v>523</v>
      </c>
      <c r="BQ32" s="24" t="s">
        <v>523</v>
      </c>
      <c r="BR32" s="24" t="s">
        <v>523</v>
      </c>
      <c r="BS32" s="24" t="s">
        <v>523</v>
      </c>
      <c r="BT32" s="24" t="s">
        <v>523</v>
      </c>
      <c r="BU32" s="24" t="s">
        <v>523</v>
      </c>
    </row>
    <row r="33" spans="1:138">
      <c r="A33" s="20" t="s">
        <v>560</v>
      </c>
      <c r="B33" s="21" t="s">
        <v>561</v>
      </c>
      <c r="C33" s="20" t="s">
        <v>585</v>
      </c>
      <c r="D33" s="19"/>
    </row>
    <row r="34" spans="1:138">
      <c r="A34" s="20" t="s">
        <v>562</v>
      </c>
      <c r="B34" s="21" t="s">
        <v>561</v>
      </c>
      <c r="C34" s="20" t="s">
        <v>585</v>
      </c>
      <c r="D34" s="19"/>
    </row>
    <row r="35" spans="1:138">
      <c r="A35" s="20" t="s">
        <v>563</v>
      </c>
      <c r="B35" s="21" t="s">
        <v>561</v>
      </c>
      <c r="C35" s="20" t="s">
        <v>586</v>
      </c>
      <c r="D35" s="19"/>
      <c r="BI35" s="24" t="s">
        <v>523</v>
      </c>
      <c r="BJ35" s="24" t="s">
        <v>523</v>
      </c>
      <c r="BK35" s="24" t="s">
        <v>523</v>
      </c>
      <c r="BL35" s="24" t="s">
        <v>523</v>
      </c>
      <c r="BM35" s="24" t="s">
        <v>523</v>
      </c>
      <c r="BN35" s="24" t="s">
        <v>523</v>
      </c>
      <c r="BO35" s="24" t="s">
        <v>523</v>
      </c>
      <c r="BP35" s="24" t="s">
        <v>523</v>
      </c>
      <c r="CT35" s="24" t="s">
        <v>523</v>
      </c>
      <c r="CU35" s="24" t="s">
        <v>523</v>
      </c>
      <c r="CV35" s="24" t="s">
        <v>523</v>
      </c>
      <c r="CW35" s="24" t="s">
        <v>523</v>
      </c>
      <c r="CX35" s="24" t="s">
        <v>523</v>
      </c>
      <c r="CY35" s="24" t="s">
        <v>523</v>
      </c>
      <c r="CZ35" s="24" t="s">
        <v>523</v>
      </c>
      <c r="DA35" s="24" t="s">
        <v>523</v>
      </c>
      <c r="DB35" s="24" t="s">
        <v>523</v>
      </c>
    </row>
    <row r="36" spans="1:138">
      <c r="A36" s="20" t="s">
        <v>564</v>
      </c>
      <c r="B36" s="21" t="s">
        <v>561</v>
      </c>
      <c r="C36" s="20" t="s">
        <v>586</v>
      </c>
      <c r="D36" s="19"/>
      <c r="BV36" s="24" t="s">
        <v>523</v>
      </c>
      <c r="BW36" s="24" t="s">
        <v>523</v>
      </c>
      <c r="BX36" s="24" t="s">
        <v>523</v>
      </c>
      <c r="BY36" s="24" t="s">
        <v>523</v>
      </c>
      <c r="BZ36" s="24" t="s">
        <v>523</v>
      </c>
    </row>
    <row r="37" spans="1:138">
      <c r="A37" s="20" t="s">
        <v>565</v>
      </c>
      <c r="B37" s="21" t="s">
        <v>566</v>
      </c>
      <c r="C37" s="20" t="s">
        <v>585</v>
      </c>
      <c r="D37" s="19"/>
      <c r="DV37" s="24" t="s">
        <v>523</v>
      </c>
      <c r="DW37" s="24" t="s">
        <v>523</v>
      </c>
      <c r="DX37" s="24" t="s">
        <v>523</v>
      </c>
      <c r="DY37" s="24" t="s">
        <v>523</v>
      </c>
      <c r="DZ37" s="24" t="s">
        <v>523</v>
      </c>
      <c r="EA37" s="24" t="s">
        <v>523</v>
      </c>
      <c r="EB37" s="24" t="s">
        <v>523</v>
      </c>
      <c r="EC37" s="24" t="s">
        <v>523</v>
      </c>
      <c r="ED37" s="24" t="s">
        <v>523</v>
      </c>
      <c r="EE37" s="24" t="s">
        <v>523</v>
      </c>
      <c r="EF37" s="24" t="s">
        <v>523</v>
      </c>
      <c r="EG37" s="24" t="s">
        <v>523</v>
      </c>
      <c r="EH37" s="24" t="s">
        <v>523</v>
      </c>
    </row>
    <row r="38" spans="1:138">
      <c r="A38" s="20" t="s">
        <v>567</v>
      </c>
      <c r="B38" s="21" t="s">
        <v>566</v>
      </c>
      <c r="C38" s="20" t="s">
        <v>585</v>
      </c>
      <c r="D38" s="19"/>
    </row>
    <row r="39" spans="1:138">
      <c r="A39" s="20" t="s">
        <v>568</v>
      </c>
      <c r="B39" s="21" t="s">
        <v>566</v>
      </c>
      <c r="C39" s="20" t="s">
        <v>586</v>
      </c>
      <c r="D39" s="19"/>
      <c r="DC39" s="24" t="s">
        <v>523</v>
      </c>
      <c r="DD39" s="24" t="s">
        <v>523</v>
      </c>
      <c r="DE39" s="24" t="s">
        <v>523</v>
      </c>
      <c r="DF39" s="24" t="s">
        <v>523</v>
      </c>
      <c r="DG39" s="24" t="s">
        <v>523</v>
      </c>
      <c r="DH39" s="24" t="s">
        <v>523</v>
      </c>
      <c r="DI39" s="24" t="s">
        <v>523</v>
      </c>
      <c r="DJ39" s="24" t="s">
        <v>523</v>
      </c>
      <c r="DK39" s="24" t="s">
        <v>523</v>
      </c>
      <c r="DV39" s="24" t="s">
        <v>523</v>
      </c>
      <c r="DW39" s="24" t="s">
        <v>523</v>
      </c>
      <c r="DX39" s="24" t="s">
        <v>523</v>
      </c>
      <c r="DY39" s="24" t="s">
        <v>523</v>
      </c>
      <c r="DZ39" s="24" t="s">
        <v>523</v>
      </c>
      <c r="EA39" s="24" t="s">
        <v>523</v>
      </c>
      <c r="EB39" s="24" t="s">
        <v>523</v>
      </c>
      <c r="EC39" s="24" t="s">
        <v>523</v>
      </c>
      <c r="ED39" s="24" t="s">
        <v>523</v>
      </c>
      <c r="EE39" s="24" t="s">
        <v>523</v>
      </c>
      <c r="EF39" s="24" t="s">
        <v>523</v>
      </c>
      <c r="EG39" s="24" t="s">
        <v>523</v>
      </c>
      <c r="EH39" s="24" t="s">
        <v>523</v>
      </c>
    </row>
    <row r="40" spans="1:138">
      <c r="A40" s="20" t="s">
        <v>569</v>
      </c>
      <c r="B40" s="21" t="s">
        <v>566</v>
      </c>
      <c r="C40" s="20" t="s">
        <v>586</v>
      </c>
      <c r="D40" s="19"/>
      <c r="CT40" s="24" t="s">
        <v>523</v>
      </c>
      <c r="CU40" s="24" t="s">
        <v>523</v>
      </c>
      <c r="CV40" s="24" t="s">
        <v>523</v>
      </c>
      <c r="CW40" s="24" t="s">
        <v>523</v>
      </c>
      <c r="CX40" s="24" t="s">
        <v>523</v>
      </c>
      <c r="CY40" s="24" t="s">
        <v>523</v>
      </c>
      <c r="CZ40" s="24" t="s">
        <v>523</v>
      </c>
      <c r="DA40" s="24" t="s">
        <v>523</v>
      </c>
      <c r="DB40" s="24" t="s">
        <v>523</v>
      </c>
      <c r="DC40" s="24" t="s">
        <v>523</v>
      </c>
      <c r="DD40" s="24" t="s">
        <v>523</v>
      </c>
      <c r="DE40" s="24" t="s">
        <v>523</v>
      </c>
      <c r="DF40" s="24" t="s">
        <v>523</v>
      </c>
      <c r="DG40" s="24" t="s">
        <v>523</v>
      </c>
      <c r="DH40" s="24" t="s">
        <v>523</v>
      </c>
      <c r="DI40" s="24" t="s">
        <v>523</v>
      </c>
      <c r="DJ40" s="24" t="s">
        <v>523</v>
      </c>
      <c r="DK40" s="24" t="s">
        <v>523</v>
      </c>
    </row>
    <row r="41" spans="1:138">
      <c r="A41" s="20" t="s">
        <v>570</v>
      </c>
      <c r="B41" s="21" t="s">
        <v>571</v>
      </c>
      <c r="C41" s="20" t="s">
        <v>585</v>
      </c>
      <c r="D41" s="19"/>
    </row>
    <row r="42" spans="1:138">
      <c r="A42" s="20" t="s">
        <v>572</v>
      </c>
      <c r="B42" s="21" t="s">
        <v>573</v>
      </c>
      <c r="C42" s="20" t="s">
        <v>586</v>
      </c>
      <c r="D42" s="19"/>
      <c r="DC42" s="24" t="s">
        <v>523</v>
      </c>
      <c r="DD42" s="24" t="s">
        <v>523</v>
      </c>
      <c r="DE42" s="24" t="s">
        <v>523</v>
      </c>
      <c r="DF42" s="24" t="s">
        <v>523</v>
      </c>
      <c r="DG42" s="24" t="s">
        <v>523</v>
      </c>
      <c r="DH42" s="24" t="s">
        <v>523</v>
      </c>
      <c r="DI42" s="24" t="s">
        <v>523</v>
      </c>
      <c r="DJ42" s="24" t="s">
        <v>523</v>
      </c>
      <c r="DK42" s="24" t="s">
        <v>523</v>
      </c>
    </row>
    <row r="43" spans="1:138">
      <c r="A43" s="20" t="s">
        <v>574</v>
      </c>
      <c r="B43" s="21" t="s">
        <v>575</v>
      </c>
      <c r="C43" s="20" t="s">
        <v>585</v>
      </c>
      <c r="D43" s="19"/>
      <c r="DC43" s="24" t="s">
        <v>523</v>
      </c>
      <c r="DD43" s="24" t="s">
        <v>523</v>
      </c>
      <c r="DE43" s="24" t="s">
        <v>523</v>
      </c>
      <c r="DF43" s="24" t="s">
        <v>523</v>
      </c>
      <c r="DG43" s="24" t="s">
        <v>523</v>
      </c>
      <c r="DH43" s="24" t="s">
        <v>523</v>
      </c>
      <c r="DI43" s="24" t="s">
        <v>523</v>
      </c>
      <c r="DJ43" s="24" t="s">
        <v>523</v>
      </c>
      <c r="DK43" s="24" t="s">
        <v>523</v>
      </c>
      <c r="DV43" s="24" t="s">
        <v>523</v>
      </c>
      <c r="DW43" s="24" t="s">
        <v>523</v>
      </c>
      <c r="DX43" s="24" t="s">
        <v>523</v>
      </c>
      <c r="DY43" s="24" t="s">
        <v>523</v>
      </c>
      <c r="DZ43" s="24" t="s">
        <v>523</v>
      </c>
      <c r="EA43" s="24" t="s">
        <v>523</v>
      </c>
      <c r="EB43" s="24" t="s">
        <v>523</v>
      </c>
      <c r="EC43" s="24" t="s">
        <v>523</v>
      </c>
      <c r="ED43" s="24" t="s">
        <v>523</v>
      </c>
      <c r="EE43" s="24" t="s">
        <v>523</v>
      </c>
      <c r="EF43" s="24" t="s">
        <v>523</v>
      </c>
      <c r="EG43" s="24" t="s">
        <v>523</v>
      </c>
      <c r="EH43" s="24" t="s">
        <v>523</v>
      </c>
    </row>
    <row r="44" spans="1:138">
      <c r="A44" s="20" t="s">
        <v>576</v>
      </c>
      <c r="B44" s="21" t="s">
        <v>577</v>
      </c>
      <c r="C44" s="20" t="s">
        <v>586</v>
      </c>
      <c r="D44" s="19"/>
      <c r="CT44" s="24" t="s">
        <v>523</v>
      </c>
      <c r="CU44" s="24" t="s">
        <v>523</v>
      </c>
      <c r="CV44" s="24" t="s">
        <v>523</v>
      </c>
      <c r="CW44" s="24" t="s">
        <v>523</v>
      </c>
      <c r="CX44" s="24" t="s">
        <v>523</v>
      </c>
      <c r="CY44" s="24" t="s">
        <v>523</v>
      </c>
      <c r="CZ44" s="24" t="s">
        <v>523</v>
      </c>
      <c r="DA44" s="24" t="s">
        <v>523</v>
      </c>
      <c r="DB44" s="24" t="s">
        <v>523</v>
      </c>
      <c r="DC44" s="24" t="s">
        <v>523</v>
      </c>
      <c r="DD44" s="24" t="s">
        <v>523</v>
      </c>
      <c r="DE44" s="24" t="s">
        <v>523</v>
      </c>
      <c r="DF44" s="24" t="s">
        <v>523</v>
      </c>
      <c r="DG44" s="24" t="s">
        <v>523</v>
      </c>
      <c r="DH44" s="24" t="s">
        <v>523</v>
      </c>
      <c r="DI44" s="24" t="s">
        <v>523</v>
      </c>
      <c r="DJ44" s="24" t="s">
        <v>523</v>
      </c>
      <c r="DK44" s="24" t="s">
        <v>523</v>
      </c>
      <c r="DV44" s="24" t="s">
        <v>523</v>
      </c>
      <c r="DW44" s="24" t="s">
        <v>523</v>
      </c>
      <c r="DX44" s="24" t="s">
        <v>523</v>
      </c>
      <c r="DY44" s="24" t="s">
        <v>523</v>
      </c>
      <c r="DZ44" s="24" t="s">
        <v>523</v>
      </c>
      <c r="EA44" s="24" t="s">
        <v>523</v>
      </c>
      <c r="EB44" s="24" t="s">
        <v>523</v>
      </c>
      <c r="EC44" s="24" t="s">
        <v>523</v>
      </c>
      <c r="ED44" s="24" t="s">
        <v>523</v>
      </c>
      <c r="EE44" s="24" t="s">
        <v>523</v>
      </c>
      <c r="EF44" s="24" t="s">
        <v>523</v>
      </c>
      <c r="EG44" s="24" t="s">
        <v>523</v>
      </c>
      <c r="EH44" s="24" t="s">
        <v>523</v>
      </c>
    </row>
    <row r="45" spans="1:138">
      <c r="A45" s="20" t="s">
        <v>578</v>
      </c>
      <c r="B45" s="21" t="s">
        <v>577</v>
      </c>
      <c r="C45" s="20" t="s">
        <v>586</v>
      </c>
      <c r="D45" s="19"/>
      <c r="CT45" s="24" t="s">
        <v>523</v>
      </c>
      <c r="CU45" s="24" t="s">
        <v>523</v>
      </c>
      <c r="CV45" s="24" t="s">
        <v>523</v>
      </c>
      <c r="CW45" s="24" t="s">
        <v>523</v>
      </c>
      <c r="CX45" s="24" t="s">
        <v>523</v>
      </c>
      <c r="CY45" s="24" t="s">
        <v>523</v>
      </c>
      <c r="CZ45" s="24" t="s">
        <v>523</v>
      </c>
      <c r="DA45" s="24" t="s">
        <v>523</v>
      </c>
      <c r="DB45" s="24" t="s">
        <v>523</v>
      </c>
      <c r="DC45" s="24" t="s">
        <v>523</v>
      </c>
      <c r="DD45" s="24" t="s">
        <v>523</v>
      </c>
      <c r="DE45" s="24" t="s">
        <v>523</v>
      </c>
      <c r="DF45" s="24" t="s">
        <v>523</v>
      </c>
      <c r="DG45" s="24" t="s">
        <v>523</v>
      </c>
      <c r="DH45" s="24" t="s">
        <v>523</v>
      </c>
      <c r="DI45" s="24" t="s">
        <v>523</v>
      </c>
      <c r="DJ45" s="24" t="s">
        <v>523</v>
      </c>
      <c r="DK45" s="24" t="s">
        <v>523</v>
      </c>
      <c r="DV45" s="24" t="s">
        <v>523</v>
      </c>
      <c r="DW45" s="24" t="s">
        <v>523</v>
      </c>
      <c r="DX45" s="24" t="s">
        <v>523</v>
      </c>
      <c r="DY45" s="24" t="s">
        <v>523</v>
      </c>
      <c r="DZ45" s="24" t="s">
        <v>523</v>
      </c>
      <c r="EA45" s="24" t="s">
        <v>523</v>
      </c>
      <c r="EB45" s="24" t="s">
        <v>523</v>
      </c>
      <c r="EC45" s="24" t="s">
        <v>523</v>
      </c>
      <c r="ED45" s="24" t="s">
        <v>523</v>
      </c>
      <c r="EE45" s="24" t="s">
        <v>523</v>
      </c>
      <c r="EF45" s="24" t="s">
        <v>523</v>
      </c>
      <c r="EG45" s="24" t="s">
        <v>523</v>
      </c>
      <c r="EH45" s="24" t="s">
        <v>523</v>
      </c>
    </row>
  </sheetData>
  <conditionalFormatting sqref="C4:C45">
    <cfRule type="containsText" dxfId="331" priority="1" operator="containsText" text="ADDRESSABLE">
      <formula>NOT(ISERROR(SEARCH("ADDRESSABLE",C4)))</formula>
    </cfRule>
    <cfRule type="containsText" dxfId="330"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9" customWidth="1"/>
    <col min="2" max="2" width="10.83203125" style="45"/>
    <col min="3" max="173" width="41" style="39" customWidth="1"/>
    <col min="174" max="16384" width="10.83203125" style="39"/>
  </cols>
  <sheetData>
    <row r="1" spans="1:173" ht="16">
      <c r="A1" s="38"/>
      <c r="B1" s="35"/>
      <c r="C1" s="30" t="s">
        <v>218</v>
      </c>
      <c r="D1" s="30" t="s">
        <v>218</v>
      </c>
      <c r="E1" s="30" t="s">
        <v>218</v>
      </c>
      <c r="F1" s="30" t="s">
        <v>218</v>
      </c>
      <c r="G1" s="30" t="s">
        <v>218</v>
      </c>
      <c r="H1" s="30" t="s">
        <v>218</v>
      </c>
      <c r="I1" s="30" t="s">
        <v>218</v>
      </c>
      <c r="J1" s="30" t="s">
        <v>218</v>
      </c>
      <c r="K1" s="30" t="s">
        <v>218</v>
      </c>
      <c r="L1" s="30" t="s">
        <v>218</v>
      </c>
      <c r="M1" s="30" t="s">
        <v>218</v>
      </c>
      <c r="N1" s="30" t="s">
        <v>218</v>
      </c>
      <c r="O1" s="30" t="s">
        <v>218</v>
      </c>
      <c r="P1" s="30" t="s">
        <v>218</v>
      </c>
      <c r="Q1" s="30" t="s">
        <v>218</v>
      </c>
      <c r="R1" s="30" t="s">
        <v>218</v>
      </c>
      <c r="S1" s="30" t="s">
        <v>218</v>
      </c>
      <c r="T1" s="30" t="s">
        <v>218</v>
      </c>
      <c r="U1" s="30" t="s">
        <v>218</v>
      </c>
      <c r="V1" s="30" t="s">
        <v>218</v>
      </c>
      <c r="W1" s="30" t="s">
        <v>218</v>
      </c>
      <c r="X1" s="30" t="s">
        <v>218</v>
      </c>
      <c r="Y1" s="30" t="s">
        <v>218</v>
      </c>
      <c r="Z1" s="30" t="s">
        <v>218</v>
      </c>
      <c r="AA1" s="30" t="s">
        <v>218</v>
      </c>
      <c r="AB1" s="30" t="s">
        <v>218</v>
      </c>
      <c r="AC1" s="30" t="s">
        <v>218</v>
      </c>
      <c r="AD1" s="30" t="s">
        <v>218</v>
      </c>
      <c r="AE1" s="30" t="s">
        <v>218</v>
      </c>
      <c r="AF1" s="30" t="s">
        <v>218</v>
      </c>
      <c r="AG1" s="30" t="s">
        <v>218</v>
      </c>
      <c r="AH1" s="30" t="s">
        <v>218</v>
      </c>
      <c r="AI1" s="30" t="s">
        <v>218</v>
      </c>
      <c r="AJ1" s="30" t="s">
        <v>218</v>
      </c>
      <c r="AK1" s="30" t="s">
        <v>218</v>
      </c>
      <c r="AL1" s="30" t="s">
        <v>218</v>
      </c>
      <c r="AM1" s="30" t="s">
        <v>218</v>
      </c>
      <c r="AN1" s="30" t="s">
        <v>218</v>
      </c>
      <c r="AO1" s="30" t="s">
        <v>218</v>
      </c>
      <c r="AP1" s="30" t="s">
        <v>218</v>
      </c>
      <c r="AQ1" s="30" t="s">
        <v>218</v>
      </c>
      <c r="AR1" s="30" t="s">
        <v>218</v>
      </c>
      <c r="AS1" s="30" t="s">
        <v>218</v>
      </c>
      <c r="AT1" s="30" t="s">
        <v>218</v>
      </c>
      <c r="AU1" s="30" t="s">
        <v>218</v>
      </c>
      <c r="AV1" s="30" t="s">
        <v>218</v>
      </c>
      <c r="AW1" s="30" t="s">
        <v>218</v>
      </c>
      <c r="AX1" s="30" t="s">
        <v>218</v>
      </c>
      <c r="AY1" s="30" t="s">
        <v>218</v>
      </c>
      <c r="AZ1" s="30" t="s">
        <v>218</v>
      </c>
      <c r="BA1" s="30" t="s">
        <v>218</v>
      </c>
      <c r="BB1" s="30" t="s">
        <v>218</v>
      </c>
      <c r="BC1" s="30" t="s">
        <v>218</v>
      </c>
      <c r="BD1" s="30" t="s">
        <v>218</v>
      </c>
      <c r="BE1" s="30" t="s">
        <v>218</v>
      </c>
      <c r="BF1" s="30" t="s">
        <v>218</v>
      </c>
      <c r="BG1" s="30" t="s">
        <v>218</v>
      </c>
      <c r="BH1" s="30" t="s">
        <v>218</v>
      </c>
      <c r="BI1" s="30" t="s">
        <v>218</v>
      </c>
      <c r="BJ1" s="30" t="s">
        <v>218</v>
      </c>
      <c r="BK1" s="30" t="s">
        <v>218</v>
      </c>
      <c r="BL1" s="30" t="s">
        <v>218</v>
      </c>
      <c r="BM1" s="30" t="s">
        <v>218</v>
      </c>
      <c r="BN1" s="30" t="s">
        <v>218</v>
      </c>
      <c r="BO1" s="30" t="s">
        <v>218</v>
      </c>
      <c r="BP1" s="30" t="s">
        <v>218</v>
      </c>
      <c r="BQ1" s="30" t="s">
        <v>218</v>
      </c>
      <c r="BR1" s="30" t="s">
        <v>218</v>
      </c>
      <c r="BS1" s="30" t="s">
        <v>218</v>
      </c>
      <c r="BT1" s="30" t="s">
        <v>218</v>
      </c>
      <c r="BU1" s="30" t="s">
        <v>218</v>
      </c>
      <c r="BV1" s="30" t="s">
        <v>218</v>
      </c>
      <c r="BW1" s="30" t="s">
        <v>218</v>
      </c>
      <c r="BX1" s="30" t="s">
        <v>218</v>
      </c>
      <c r="BY1" s="30" t="s">
        <v>218</v>
      </c>
      <c r="BZ1" s="30" t="s">
        <v>219</v>
      </c>
      <c r="CA1" s="30" t="s">
        <v>219</v>
      </c>
      <c r="CB1" s="30" t="s">
        <v>219</v>
      </c>
      <c r="CC1" s="30" t="s">
        <v>219</v>
      </c>
      <c r="CD1" s="30" t="s">
        <v>219</v>
      </c>
      <c r="CE1" s="30" t="s">
        <v>219</v>
      </c>
      <c r="CF1" s="30" t="s">
        <v>219</v>
      </c>
      <c r="CG1" s="30" t="s">
        <v>219</v>
      </c>
      <c r="CH1" s="30" t="s">
        <v>219</v>
      </c>
      <c r="CI1" s="30" t="s">
        <v>219</v>
      </c>
      <c r="CJ1" s="30" t="s">
        <v>219</v>
      </c>
      <c r="CK1" s="30" t="s">
        <v>219</v>
      </c>
      <c r="CL1" s="30" t="s">
        <v>219</v>
      </c>
      <c r="CM1" s="30" t="s">
        <v>219</v>
      </c>
      <c r="CN1" s="30" t="s">
        <v>219</v>
      </c>
      <c r="CO1" s="30" t="s">
        <v>219</v>
      </c>
      <c r="CP1" s="30" t="s">
        <v>219</v>
      </c>
      <c r="CQ1" s="30" t="s">
        <v>219</v>
      </c>
      <c r="CR1" s="30" t="s">
        <v>219</v>
      </c>
      <c r="CS1" s="30" t="s">
        <v>219</v>
      </c>
      <c r="CT1" s="30" t="s">
        <v>219</v>
      </c>
      <c r="CU1" s="30" t="s">
        <v>219</v>
      </c>
      <c r="CV1" s="30" t="s">
        <v>219</v>
      </c>
      <c r="CW1" s="30" t="s">
        <v>219</v>
      </c>
      <c r="CX1" s="30" t="s">
        <v>219</v>
      </c>
      <c r="CY1" s="30" t="s">
        <v>219</v>
      </c>
      <c r="CZ1" s="30" t="s">
        <v>219</v>
      </c>
      <c r="DA1" s="30" t="s">
        <v>219</v>
      </c>
      <c r="DB1" s="30" t="s">
        <v>220</v>
      </c>
      <c r="DC1" s="30" t="s">
        <v>220</v>
      </c>
      <c r="DD1" s="30" t="s">
        <v>220</v>
      </c>
      <c r="DE1" s="30" t="s">
        <v>220</v>
      </c>
      <c r="DF1" s="30" t="s">
        <v>220</v>
      </c>
      <c r="DG1" s="30" t="s">
        <v>220</v>
      </c>
      <c r="DH1" s="30" t="s">
        <v>220</v>
      </c>
      <c r="DI1" s="30" t="s">
        <v>220</v>
      </c>
      <c r="DJ1" s="30" t="s">
        <v>220</v>
      </c>
      <c r="DK1" s="30" t="s">
        <v>219</v>
      </c>
      <c r="DL1" s="30" t="s">
        <v>219</v>
      </c>
      <c r="DM1" s="30" t="s">
        <v>219</v>
      </c>
      <c r="DN1" s="30" t="s">
        <v>219</v>
      </c>
      <c r="DO1" s="30" t="s">
        <v>219</v>
      </c>
      <c r="DP1" s="30" t="s">
        <v>219</v>
      </c>
      <c r="DQ1" s="30" t="s">
        <v>219</v>
      </c>
      <c r="DR1" s="30" t="s">
        <v>219</v>
      </c>
      <c r="DS1" s="30" t="s">
        <v>219</v>
      </c>
      <c r="DT1" s="30" t="s">
        <v>219</v>
      </c>
      <c r="DU1" s="30" t="s">
        <v>220</v>
      </c>
      <c r="DV1" s="30" t="s">
        <v>220</v>
      </c>
      <c r="DW1" s="30" t="s">
        <v>220</v>
      </c>
      <c r="DX1" s="30" t="s">
        <v>220</v>
      </c>
      <c r="DY1" s="30" t="s">
        <v>220</v>
      </c>
      <c r="DZ1" s="30" t="s">
        <v>220</v>
      </c>
      <c r="EA1" s="30" t="s">
        <v>220</v>
      </c>
      <c r="EB1" s="30" t="s">
        <v>220</v>
      </c>
      <c r="EC1" s="30" t="s">
        <v>220</v>
      </c>
      <c r="ED1" s="30" t="s">
        <v>220</v>
      </c>
      <c r="EE1" s="30" t="s">
        <v>220</v>
      </c>
      <c r="EF1" s="30" t="s">
        <v>220</v>
      </c>
      <c r="EG1" s="30" t="s">
        <v>220</v>
      </c>
      <c r="EH1" s="30" t="s">
        <v>220</v>
      </c>
      <c r="EI1" s="30" t="s">
        <v>220</v>
      </c>
      <c r="EJ1" s="30" t="s">
        <v>220</v>
      </c>
      <c r="EK1" s="30" t="s">
        <v>220</v>
      </c>
      <c r="EL1" s="30" t="s">
        <v>220</v>
      </c>
      <c r="EM1" s="30" t="s">
        <v>220</v>
      </c>
      <c r="EN1" s="30" t="s">
        <v>220</v>
      </c>
      <c r="EO1" s="30" t="s">
        <v>220</v>
      </c>
      <c r="EP1" s="30" t="s">
        <v>220</v>
      </c>
      <c r="EQ1" s="30" t="s">
        <v>220</v>
      </c>
      <c r="ER1" s="30" t="s">
        <v>220</v>
      </c>
      <c r="ES1" s="30" t="s">
        <v>220</v>
      </c>
      <c r="ET1" s="30" t="s">
        <v>220</v>
      </c>
      <c r="EU1" s="30" t="s">
        <v>220</v>
      </c>
      <c r="EV1" s="30" t="s">
        <v>220</v>
      </c>
      <c r="EW1" s="30" t="s">
        <v>220</v>
      </c>
      <c r="EX1" s="30" t="s">
        <v>220</v>
      </c>
      <c r="EY1" s="30" t="s">
        <v>220</v>
      </c>
      <c r="EZ1" s="30" t="s">
        <v>220</v>
      </c>
      <c r="FA1" s="30" t="s">
        <v>220</v>
      </c>
      <c r="FB1" s="30" t="s">
        <v>220</v>
      </c>
      <c r="FC1" s="30" t="s">
        <v>220</v>
      </c>
      <c r="FD1" s="30" t="s">
        <v>220</v>
      </c>
      <c r="FE1" s="30" t="s">
        <v>220</v>
      </c>
      <c r="FF1" s="30" t="s">
        <v>220</v>
      </c>
      <c r="FG1" s="30" t="s">
        <v>220</v>
      </c>
      <c r="FH1" s="30" t="s">
        <v>220</v>
      </c>
      <c r="FI1" s="30" t="s">
        <v>220</v>
      </c>
      <c r="FJ1" s="30" t="s">
        <v>220</v>
      </c>
      <c r="FK1" s="30" t="s">
        <v>220</v>
      </c>
      <c r="FL1" s="30" t="s">
        <v>220</v>
      </c>
      <c r="FM1" s="30" t="s">
        <v>220</v>
      </c>
      <c r="FN1" s="30" t="s">
        <v>220</v>
      </c>
      <c r="FO1" s="30" t="s">
        <v>220</v>
      </c>
      <c r="FP1" s="30" t="s">
        <v>220</v>
      </c>
      <c r="FQ1" s="30" t="s">
        <v>220</v>
      </c>
    </row>
    <row r="2" spans="1:173" ht="16">
      <c r="A2" s="38"/>
      <c r="B2" s="35"/>
      <c r="C2" s="40" t="s">
        <v>221</v>
      </c>
      <c r="D2" s="40" t="s">
        <v>222</v>
      </c>
      <c r="E2" s="40" t="s">
        <v>223</v>
      </c>
      <c r="F2" s="40" t="s">
        <v>224</v>
      </c>
      <c r="G2" s="40" t="s">
        <v>225</v>
      </c>
      <c r="H2" s="40" t="s">
        <v>226</v>
      </c>
      <c r="I2" s="40">
        <v>1.7</v>
      </c>
      <c r="J2" s="40">
        <v>1.8</v>
      </c>
      <c r="K2" s="40" t="s">
        <v>227</v>
      </c>
      <c r="L2" s="40" t="s">
        <v>228</v>
      </c>
      <c r="M2" s="40" t="s">
        <v>229</v>
      </c>
      <c r="N2" s="40" t="s">
        <v>230</v>
      </c>
      <c r="O2" s="40" t="s">
        <v>231</v>
      </c>
      <c r="P2" s="40" t="s">
        <v>232</v>
      </c>
      <c r="Q2" s="40" t="s">
        <v>233</v>
      </c>
      <c r="R2" s="40" t="s">
        <v>234</v>
      </c>
      <c r="S2" s="40" t="s">
        <v>235</v>
      </c>
      <c r="T2" s="40" t="s">
        <v>236</v>
      </c>
      <c r="U2" s="40">
        <v>3.1</v>
      </c>
      <c r="V2" s="40">
        <v>3.2</v>
      </c>
      <c r="W2" s="40">
        <v>3.3</v>
      </c>
      <c r="X2" s="40">
        <v>3.4</v>
      </c>
      <c r="Y2" s="40">
        <v>3.5</v>
      </c>
      <c r="Z2" s="40">
        <v>3.6</v>
      </c>
      <c r="AA2" s="40">
        <v>3.7</v>
      </c>
      <c r="AB2" s="40">
        <v>4.0999999999999996</v>
      </c>
      <c r="AC2" s="40">
        <v>4.2</v>
      </c>
      <c r="AD2" s="40">
        <v>4.3</v>
      </c>
      <c r="AE2" s="40">
        <v>4.4000000000000004</v>
      </c>
      <c r="AF2" s="40">
        <v>4.5</v>
      </c>
      <c r="AG2" s="40">
        <v>4.5999999999999996</v>
      </c>
      <c r="AH2" s="40">
        <v>4.7</v>
      </c>
      <c r="AI2" s="40">
        <v>4.8</v>
      </c>
      <c r="AJ2" s="40">
        <v>4.9000000000000004</v>
      </c>
      <c r="AK2" s="40">
        <v>5.0999999999999996</v>
      </c>
      <c r="AL2" s="40">
        <v>5.2</v>
      </c>
      <c r="AM2" s="40">
        <v>5.3</v>
      </c>
      <c r="AN2" s="40">
        <v>5.4</v>
      </c>
      <c r="AO2" s="40">
        <v>5.5</v>
      </c>
      <c r="AP2" s="40" t="s">
        <v>237</v>
      </c>
      <c r="AQ2" s="40" t="s">
        <v>238</v>
      </c>
      <c r="AR2" s="40" t="s">
        <v>239</v>
      </c>
      <c r="AS2" s="40" t="s">
        <v>240</v>
      </c>
      <c r="AT2" s="40" t="s">
        <v>241</v>
      </c>
      <c r="AU2" s="40" t="s">
        <v>242</v>
      </c>
      <c r="AV2" s="40">
        <v>6.7</v>
      </c>
      <c r="AW2" s="40">
        <v>6.8</v>
      </c>
      <c r="AX2" s="40" t="s">
        <v>243</v>
      </c>
      <c r="AY2" s="40" t="s">
        <v>244</v>
      </c>
      <c r="AZ2" s="40" t="s">
        <v>245</v>
      </c>
      <c r="BA2" s="40" t="s">
        <v>246</v>
      </c>
      <c r="BB2" s="40" t="s">
        <v>247</v>
      </c>
      <c r="BC2" s="40" t="s">
        <v>248</v>
      </c>
      <c r="BD2" s="40" t="s">
        <v>249</v>
      </c>
      <c r="BE2" s="40" t="s">
        <v>250</v>
      </c>
      <c r="BF2" s="40">
        <v>7.9</v>
      </c>
      <c r="BG2" s="40" t="s">
        <v>251</v>
      </c>
      <c r="BH2" s="40" t="s">
        <v>252</v>
      </c>
      <c r="BI2" s="40" t="s">
        <v>253</v>
      </c>
      <c r="BJ2" s="40" t="s">
        <v>254</v>
      </c>
      <c r="BK2" s="40" t="s">
        <v>255</v>
      </c>
      <c r="BL2" s="40" t="s">
        <v>256</v>
      </c>
      <c r="BM2" s="40" t="s">
        <v>257</v>
      </c>
      <c r="BN2" s="40">
        <v>8.6999999999999993</v>
      </c>
      <c r="BO2" s="40">
        <v>8.8000000000000007</v>
      </c>
      <c r="BP2" s="40" t="s">
        <v>258</v>
      </c>
      <c r="BQ2" s="40" t="s">
        <v>259</v>
      </c>
      <c r="BR2" s="40" t="s">
        <v>260</v>
      </c>
      <c r="BS2" s="40" t="s">
        <v>261</v>
      </c>
      <c r="BT2" s="40" t="s">
        <v>262</v>
      </c>
      <c r="BU2" s="40" t="s">
        <v>263</v>
      </c>
      <c r="BV2" s="40" t="s">
        <v>264</v>
      </c>
      <c r="BW2" s="40" t="s">
        <v>265</v>
      </c>
      <c r="BX2" s="40" t="s">
        <v>266</v>
      </c>
      <c r="BY2" s="40">
        <v>10.5</v>
      </c>
      <c r="BZ2" s="40" t="s">
        <v>267</v>
      </c>
      <c r="CA2" s="40" t="s">
        <v>268</v>
      </c>
      <c r="CB2" s="40" t="s">
        <v>269</v>
      </c>
      <c r="CC2" s="40" t="s">
        <v>270</v>
      </c>
      <c r="CD2" s="40" t="s">
        <v>271</v>
      </c>
      <c r="CE2" s="40" t="s">
        <v>272</v>
      </c>
      <c r="CF2" s="40" t="s">
        <v>273</v>
      </c>
      <c r="CG2" s="40" t="s">
        <v>274</v>
      </c>
      <c r="CH2" s="40" t="s">
        <v>275</v>
      </c>
      <c r="CI2" s="40" t="s">
        <v>276</v>
      </c>
      <c r="CJ2" s="40" t="s">
        <v>277</v>
      </c>
      <c r="CK2" s="40" t="s">
        <v>278</v>
      </c>
      <c r="CL2" s="40" t="s">
        <v>279</v>
      </c>
      <c r="CM2" s="40" t="s">
        <v>280</v>
      </c>
      <c r="CN2" s="40" t="s">
        <v>281</v>
      </c>
      <c r="CO2" s="40" t="s">
        <v>282</v>
      </c>
      <c r="CP2" s="40" t="s">
        <v>283</v>
      </c>
      <c r="CQ2" s="40">
        <v>12.11</v>
      </c>
      <c r="CR2" s="40">
        <v>12.12</v>
      </c>
      <c r="CS2" s="40" t="s">
        <v>284</v>
      </c>
      <c r="CT2" s="40" t="s">
        <v>285</v>
      </c>
      <c r="CU2" s="40" t="s">
        <v>286</v>
      </c>
      <c r="CV2" s="40" t="s">
        <v>287</v>
      </c>
      <c r="CW2" s="40" t="s">
        <v>288</v>
      </c>
      <c r="CX2" s="40" t="s">
        <v>289</v>
      </c>
      <c r="CY2" s="40" t="s">
        <v>290</v>
      </c>
      <c r="CZ2" s="40" t="s">
        <v>291</v>
      </c>
      <c r="DA2" s="40" t="s">
        <v>292</v>
      </c>
      <c r="DB2" s="30" t="s">
        <v>293</v>
      </c>
      <c r="DC2" s="30" t="s">
        <v>294</v>
      </c>
      <c r="DD2" s="30" t="s">
        <v>295</v>
      </c>
      <c r="DE2" s="30" t="s">
        <v>296</v>
      </c>
      <c r="DF2" s="30" t="s">
        <v>297</v>
      </c>
      <c r="DG2" s="30" t="s">
        <v>298</v>
      </c>
      <c r="DH2" s="30" t="s">
        <v>299</v>
      </c>
      <c r="DI2" s="30">
        <v>14.8</v>
      </c>
      <c r="DJ2" s="30">
        <v>14.9</v>
      </c>
      <c r="DK2" s="40" t="s">
        <v>300</v>
      </c>
      <c r="DL2" s="40" t="s">
        <v>301</v>
      </c>
      <c r="DM2" s="40" t="s">
        <v>302</v>
      </c>
      <c r="DN2" s="40" t="s">
        <v>303</v>
      </c>
      <c r="DO2" s="40" t="s">
        <v>304</v>
      </c>
      <c r="DP2" s="40" t="s">
        <v>305</v>
      </c>
      <c r="DQ2" s="40" t="s">
        <v>306</v>
      </c>
      <c r="DR2" s="40" t="s">
        <v>307</v>
      </c>
      <c r="DS2" s="40" t="s">
        <v>308</v>
      </c>
      <c r="DT2" s="40" t="s">
        <v>309</v>
      </c>
      <c r="DU2" s="40" t="s">
        <v>310</v>
      </c>
      <c r="DV2" s="40" t="s">
        <v>311</v>
      </c>
      <c r="DW2" s="40" t="s">
        <v>312</v>
      </c>
      <c r="DX2" s="40" t="s">
        <v>313</v>
      </c>
      <c r="DY2" s="40" t="s">
        <v>314</v>
      </c>
      <c r="DZ2" s="40" t="s">
        <v>315</v>
      </c>
      <c r="EA2" s="40" t="s">
        <v>316</v>
      </c>
      <c r="EB2" s="40" t="s">
        <v>317</v>
      </c>
      <c r="EC2" s="40" t="s">
        <v>318</v>
      </c>
      <c r="ED2" s="40" t="s">
        <v>319</v>
      </c>
      <c r="EE2" s="40" t="s">
        <v>320</v>
      </c>
      <c r="EF2" s="40" t="s">
        <v>321</v>
      </c>
      <c r="EG2" s="40" t="s">
        <v>322</v>
      </c>
      <c r="EH2" s="40" t="s">
        <v>323</v>
      </c>
      <c r="EI2" s="40" t="s">
        <v>324</v>
      </c>
      <c r="EJ2" s="40" t="s">
        <v>325</v>
      </c>
      <c r="EK2" s="40" t="s">
        <v>326</v>
      </c>
      <c r="EL2" s="40" t="s">
        <v>327</v>
      </c>
      <c r="EM2" s="40">
        <v>17.600000000000001</v>
      </c>
      <c r="EN2" s="40">
        <v>17.7</v>
      </c>
      <c r="EO2" s="40">
        <v>17.8</v>
      </c>
      <c r="EP2" s="40">
        <v>17.899999999999999</v>
      </c>
      <c r="EQ2" s="40" t="s">
        <v>328</v>
      </c>
      <c r="ER2" s="40" t="s">
        <v>329</v>
      </c>
      <c r="ES2" s="40" t="s">
        <v>330</v>
      </c>
      <c r="ET2" s="40" t="s">
        <v>331</v>
      </c>
      <c r="EU2" s="40" t="s">
        <v>332</v>
      </c>
      <c r="EV2" s="40" t="s">
        <v>333</v>
      </c>
      <c r="EW2" s="40" t="s">
        <v>334</v>
      </c>
      <c r="EX2" s="40" t="s">
        <v>335</v>
      </c>
      <c r="EY2" s="40" t="s">
        <v>336</v>
      </c>
      <c r="EZ2" s="40" t="s">
        <v>337</v>
      </c>
      <c r="FA2" s="40">
        <v>18.11</v>
      </c>
      <c r="FB2" s="40" t="s">
        <v>338</v>
      </c>
      <c r="FC2" s="40" t="s">
        <v>339</v>
      </c>
      <c r="FD2" s="40" t="s">
        <v>340</v>
      </c>
      <c r="FE2" s="40" t="s">
        <v>341</v>
      </c>
      <c r="FF2" s="40" t="s">
        <v>342</v>
      </c>
      <c r="FG2" s="40" t="s">
        <v>343</v>
      </c>
      <c r="FH2" s="40" t="s">
        <v>344</v>
      </c>
      <c r="FI2" s="40">
        <v>19.8</v>
      </c>
      <c r="FJ2" s="40" t="s">
        <v>345</v>
      </c>
      <c r="FK2" s="40" t="s">
        <v>346</v>
      </c>
      <c r="FL2" s="40" t="s">
        <v>347</v>
      </c>
      <c r="FM2" s="40" t="s">
        <v>348</v>
      </c>
      <c r="FN2" s="40" t="s">
        <v>349</v>
      </c>
      <c r="FO2" s="40" t="s">
        <v>350</v>
      </c>
      <c r="FP2" s="40" t="s">
        <v>351</v>
      </c>
      <c r="FQ2" s="40" t="s">
        <v>352</v>
      </c>
    </row>
    <row r="3" spans="1:173" s="37" customFormat="1" ht="105" customHeight="1">
      <c r="A3" s="36" t="s">
        <v>675</v>
      </c>
      <c r="B3" s="35" t="s">
        <v>5</v>
      </c>
      <c r="C3" s="30" t="s">
        <v>353</v>
      </c>
      <c r="D3" s="30" t="s">
        <v>354</v>
      </c>
      <c r="E3" s="30" t="s">
        <v>355</v>
      </c>
      <c r="F3" s="30" t="s">
        <v>356</v>
      </c>
      <c r="G3" s="30" t="s">
        <v>357</v>
      </c>
      <c r="H3" s="30" t="s">
        <v>358</v>
      </c>
      <c r="I3" s="30" t="s">
        <v>579</v>
      </c>
      <c r="J3" s="30" t="s">
        <v>359</v>
      </c>
      <c r="K3" s="30" t="s">
        <v>360</v>
      </c>
      <c r="L3" s="30" t="s">
        <v>361</v>
      </c>
      <c r="M3" s="30" t="s">
        <v>362</v>
      </c>
      <c r="N3" s="30" t="s">
        <v>363</v>
      </c>
      <c r="O3" s="30" t="s">
        <v>364</v>
      </c>
      <c r="P3" s="30" t="s">
        <v>365</v>
      </c>
      <c r="Q3" s="30" t="s">
        <v>366</v>
      </c>
      <c r="R3" s="30" t="s">
        <v>367</v>
      </c>
      <c r="S3" s="30" t="s">
        <v>368</v>
      </c>
      <c r="T3" s="30" t="s">
        <v>369</v>
      </c>
      <c r="U3" s="30" t="s">
        <v>581</v>
      </c>
      <c r="V3" s="30" t="s">
        <v>370</v>
      </c>
      <c r="W3" s="30" t="s">
        <v>371</v>
      </c>
      <c r="X3" s="30" t="s">
        <v>372</v>
      </c>
      <c r="Y3" s="30" t="s">
        <v>373</v>
      </c>
      <c r="Z3" s="30" t="s">
        <v>374</v>
      </c>
      <c r="AA3" s="30" t="s">
        <v>375</v>
      </c>
      <c r="AB3" s="30" t="s">
        <v>376</v>
      </c>
      <c r="AC3" s="30" t="s">
        <v>377</v>
      </c>
      <c r="AD3" s="30" t="s">
        <v>378</v>
      </c>
      <c r="AE3" s="30" t="s">
        <v>379</v>
      </c>
      <c r="AF3" s="30" t="s">
        <v>380</v>
      </c>
      <c r="AG3" s="30" t="s">
        <v>583</v>
      </c>
      <c r="AH3" s="30" t="s">
        <v>381</v>
      </c>
      <c r="AI3" s="30" t="s">
        <v>382</v>
      </c>
      <c r="AJ3" s="30" t="s">
        <v>383</v>
      </c>
      <c r="AK3" s="30" t="s">
        <v>384</v>
      </c>
      <c r="AL3" s="30" t="s">
        <v>385</v>
      </c>
      <c r="AM3" s="30" t="s">
        <v>386</v>
      </c>
      <c r="AN3" s="30" t="s">
        <v>387</v>
      </c>
      <c r="AO3" s="30" t="s">
        <v>388</v>
      </c>
      <c r="AP3" s="30" t="s">
        <v>389</v>
      </c>
      <c r="AQ3" s="30" t="s">
        <v>390</v>
      </c>
      <c r="AR3" s="30" t="s">
        <v>391</v>
      </c>
      <c r="AS3" s="30" t="s">
        <v>392</v>
      </c>
      <c r="AT3" s="30" t="s">
        <v>393</v>
      </c>
      <c r="AU3" s="30" t="s">
        <v>394</v>
      </c>
      <c r="AV3" s="30" t="s">
        <v>395</v>
      </c>
      <c r="AW3" s="30" t="s">
        <v>396</v>
      </c>
      <c r="AX3" s="30" t="s">
        <v>397</v>
      </c>
      <c r="AY3" s="30" t="s">
        <v>398</v>
      </c>
      <c r="AZ3" s="30" t="s">
        <v>399</v>
      </c>
      <c r="BA3" s="30" t="s">
        <v>400</v>
      </c>
      <c r="BB3" s="30" t="s">
        <v>401</v>
      </c>
      <c r="BC3" s="30" t="s">
        <v>402</v>
      </c>
      <c r="BD3" s="30" t="s">
        <v>403</v>
      </c>
      <c r="BE3" s="30" t="s">
        <v>404</v>
      </c>
      <c r="BF3" s="30" t="s">
        <v>405</v>
      </c>
      <c r="BG3" s="30" t="s">
        <v>406</v>
      </c>
      <c r="BH3" s="30" t="s">
        <v>407</v>
      </c>
      <c r="BI3" s="30" t="s">
        <v>408</v>
      </c>
      <c r="BJ3" s="30" t="s">
        <v>409</v>
      </c>
      <c r="BK3" s="30" t="s">
        <v>410</v>
      </c>
      <c r="BL3" s="30" t="s">
        <v>411</v>
      </c>
      <c r="BM3" s="30" t="s">
        <v>412</v>
      </c>
      <c r="BN3" s="30" t="s">
        <v>413</v>
      </c>
      <c r="BO3" s="30" t="s">
        <v>414</v>
      </c>
      <c r="BP3" s="30" t="s">
        <v>415</v>
      </c>
      <c r="BQ3" s="30" t="s">
        <v>416</v>
      </c>
      <c r="BR3" s="30" t="s">
        <v>417</v>
      </c>
      <c r="BS3" s="30" t="s">
        <v>418</v>
      </c>
      <c r="BT3" s="30" t="s">
        <v>419</v>
      </c>
      <c r="BU3" s="30" t="s">
        <v>420</v>
      </c>
      <c r="BV3" s="30" t="s">
        <v>421</v>
      </c>
      <c r="BW3" s="30" t="s">
        <v>422</v>
      </c>
      <c r="BX3" s="30" t="s">
        <v>423</v>
      </c>
      <c r="BY3" s="30" t="s">
        <v>424</v>
      </c>
      <c r="BZ3" s="30" t="s">
        <v>425</v>
      </c>
      <c r="CA3" s="30" t="s">
        <v>426</v>
      </c>
      <c r="CB3" s="30" t="s">
        <v>0</v>
      </c>
      <c r="CC3" s="30" t="s">
        <v>427</v>
      </c>
      <c r="CD3" s="30" t="s">
        <v>428</v>
      </c>
      <c r="CE3" s="30" t="s">
        <v>429</v>
      </c>
      <c r="CF3" s="30" t="s">
        <v>430</v>
      </c>
      <c r="CG3" s="30" t="s">
        <v>431</v>
      </c>
      <c r="CH3" s="30" t="s">
        <v>432</v>
      </c>
      <c r="CI3" s="30" t="s">
        <v>433</v>
      </c>
      <c r="CJ3" s="30" t="s">
        <v>434</v>
      </c>
      <c r="CK3" s="30" t="s">
        <v>435</v>
      </c>
      <c r="CL3" s="30" t="s">
        <v>436</v>
      </c>
      <c r="CM3" s="30" t="s">
        <v>437</v>
      </c>
      <c r="CN3" s="30" t="s">
        <v>438</v>
      </c>
      <c r="CO3" s="30" t="s">
        <v>439</v>
      </c>
      <c r="CP3" s="30" t="s">
        <v>440</v>
      </c>
      <c r="CQ3" s="30" t="s">
        <v>441</v>
      </c>
      <c r="CR3" s="30" t="s">
        <v>442</v>
      </c>
      <c r="CS3" s="30" t="s">
        <v>443</v>
      </c>
      <c r="CT3" s="30" t="s">
        <v>444</v>
      </c>
      <c r="CU3" s="30" t="s">
        <v>445</v>
      </c>
      <c r="CV3" s="30" t="s">
        <v>446</v>
      </c>
      <c r="CW3" s="30" t="s">
        <v>447</v>
      </c>
      <c r="CX3" s="30" t="s">
        <v>448</v>
      </c>
      <c r="CY3" s="30" t="s">
        <v>449</v>
      </c>
      <c r="CZ3" s="30" t="s">
        <v>450</v>
      </c>
      <c r="DA3" s="30" t="s">
        <v>451</v>
      </c>
      <c r="DB3" s="30" t="s">
        <v>452</v>
      </c>
      <c r="DC3" s="30" t="s">
        <v>453</v>
      </c>
      <c r="DD3" s="30" t="s">
        <v>454</v>
      </c>
      <c r="DE3" s="30" t="s">
        <v>455</v>
      </c>
      <c r="DF3" s="30" t="s">
        <v>456</v>
      </c>
      <c r="DG3" s="30" t="s">
        <v>457</v>
      </c>
      <c r="DH3" s="30" t="s">
        <v>458</v>
      </c>
      <c r="DI3" s="30" t="s">
        <v>459</v>
      </c>
      <c r="DJ3" s="30" t="s">
        <v>460</v>
      </c>
      <c r="DK3" s="30" t="s">
        <v>461</v>
      </c>
      <c r="DL3" s="30" t="s">
        <v>462</v>
      </c>
      <c r="DM3" s="30" t="s">
        <v>463</v>
      </c>
      <c r="DN3" s="30" t="s">
        <v>464</v>
      </c>
      <c r="DO3" s="30" t="s">
        <v>465</v>
      </c>
      <c r="DP3" s="30" t="s">
        <v>466</v>
      </c>
      <c r="DQ3" s="30" t="s">
        <v>467</v>
      </c>
      <c r="DR3" s="30" t="s">
        <v>468</v>
      </c>
      <c r="DS3" s="30" t="s">
        <v>469</v>
      </c>
      <c r="DT3" s="30" t="s">
        <v>470</v>
      </c>
      <c r="DU3" s="30" t="s">
        <v>471</v>
      </c>
      <c r="DV3" s="30" t="s">
        <v>472</v>
      </c>
      <c r="DW3" s="30" t="s">
        <v>473</v>
      </c>
      <c r="DX3" s="30" t="s">
        <v>474</v>
      </c>
      <c r="DY3" s="30" t="s">
        <v>475</v>
      </c>
      <c r="DZ3" s="30" t="s">
        <v>476</v>
      </c>
      <c r="EA3" s="30" t="s">
        <v>477</v>
      </c>
      <c r="EB3" s="30" t="s">
        <v>478</v>
      </c>
      <c r="EC3" s="30" t="s">
        <v>479</v>
      </c>
      <c r="ED3" s="30" t="s">
        <v>480</v>
      </c>
      <c r="EE3" s="30" t="s">
        <v>481</v>
      </c>
      <c r="EF3" s="30" t="s">
        <v>482</v>
      </c>
      <c r="EG3" s="30" t="s">
        <v>1</v>
      </c>
      <c r="EH3" s="30" t="s">
        <v>483</v>
      </c>
      <c r="EI3" s="30" t="s">
        <v>484</v>
      </c>
      <c r="EJ3" s="30" t="s">
        <v>2</v>
      </c>
      <c r="EK3" s="30" t="s">
        <v>485</v>
      </c>
      <c r="EL3" s="30" t="s">
        <v>486</v>
      </c>
      <c r="EM3" s="30" t="s">
        <v>487</v>
      </c>
      <c r="EN3" s="30" t="s">
        <v>488</v>
      </c>
      <c r="EO3" s="30" t="s">
        <v>489</v>
      </c>
      <c r="EP3" s="30" t="s">
        <v>490</v>
      </c>
      <c r="EQ3" s="30" t="s">
        <v>491</v>
      </c>
      <c r="ER3" s="30" t="s">
        <v>492</v>
      </c>
      <c r="ES3" s="30" t="s">
        <v>493</v>
      </c>
      <c r="ET3" s="30" t="s">
        <v>494</v>
      </c>
      <c r="EU3" s="30" t="s">
        <v>495</v>
      </c>
      <c r="EV3" s="30" t="s">
        <v>496</v>
      </c>
      <c r="EW3" s="30" t="s">
        <v>497</v>
      </c>
      <c r="EX3" s="30" t="s">
        <v>498</v>
      </c>
      <c r="EY3" s="30" t="s">
        <v>499</v>
      </c>
      <c r="EZ3" s="30" t="s">
        <v>500</v>
      </c>
      <c r="FA3" s="30" t="s">
        <v>501</v>
      </c>
      <c r="FB3" s="30" t="s">
        <v>502</v>
      </c>
      <c r="FC3" s="30" t="s">
        <v>503</v>
      </c>
      <c r="FD3" s="30" t="s">
        <v>504</v>
      </c>
      <c r="FE3" s="30" t="s">
        <v>505</v>
      </c>
      <c r="FF3" s="30" t="s">
        <v>506</v>
      </c>
      <c r="FG3" s="30" t="s">
        <v>507</v>
      </c>
      <c r="FH3" s="30" t="s">
        <v>508</v>
      </c>
      <c r="FI3" s="30" t="s">
        <v>509</v>
      </c>
      <c r="FJ3" s="30" t="s">
        <v>510</v>
      </c>
      <c r="FK3" s="30" t="s">
        <v>511</v>
      </c>
      <c r="FL3" s="30" t="s">
        <v>512</v>
      </c>
      <c r="FM3" s="30" t="s">
        <v>513</v>
      </c>
      <c r="FN3" s="30" t="s">
        <v>514</v>
      </c>
      <c r="FO3" s="30" t="s">
        <v>515</v>
      </c>
      <c r="FP3" s="30" t="s">
        <v>516</v>
      </c>
      <c r="FQ3" s="30" t="s">
        <v>517</v>
      </c>
    </row>
    <row r="4" spans="1:173" ht="32">
      <c r="A4" s="41" t="s">
        <v>592</v>
      </c>
      <c r="B4" s="43">
        <v>1.1000000000000001</v>
      </c>
      <c r="BZ4" s="42" t="s">
        <v>523</v>
      </c>
      <c r="CA4" s="42" t="s">
        <v>523</v>
      </c>
      <c r="CB4" s="42" t="s">
        <v>523</v>
      </c>
      <c r="CC4" s="42" t="s">
        <v>523</v>
      </c>
      <c r="CD4" s="42" t="s">
        <v>523</v>
      </c>
      <c r="CE4" s="42" t="s">
        <v>523</v>
      </c>
      <c r="CF4" s="42" t="s">
        <v>523</v>
      </c>
      <c r="CG4" s="42" t="s">
        <v>523</v>
      </c>
      <c r="CH4" s="42" t="s">
        <v>523</v>
      </c>
      <c r="CI4" s="42" t="s">
        <v>523</v>
      </c>
      <c r="CJ4" s="42" t="s">
        <v>523</v>
      </c>
      <c r="CK4" s="42" t="s">
        <v>523</v>
      </c>
      <c r="CL4" s="42" t="s">
        <v>523</v>
      </c>
      <c r="CM4" s="42" t="s">
        <v>523</v>
      </c>
      <c r="CN4" s="42" t="s">
        <v>523</v>
      </c>
      <c r="CO4" s="42" t="s">
        <v>523</v>
      </c>
      <c r="CP4" s="42" t="s">
        <v>523</v>
      </c>
      <c r="CQ4" s="42" t="s">
        <v>523</v>
      </c>
      <c r="CR4" s="42" t="s">
        <v>523</v>
      </c>
    </row>
    <row r="5" spans="1:173" ht="48">
      <c r="A5" s="41" t="s">
        <v>593</v>
      </c>
      <c r="B5" s="43">
        <v>1.2</v>
      </c>
      <c r="BZ5" s="42" t="s">
        <v>523</v>
      </c>
      <c r="CA5" s="42" t="s">
        <v>523</v>
      </c>
      <c r="CB5" s="42" t="s">
        <v>523</v>
      </c>
      <c r="CC5" s="42" t="s">
        <v>523</v>
      </c>
      <c r="CD5" s="42" t="s">
        <v>523</v>
      </c>
      <c r="CE5" s="42" t="s">
        <v>523</v>
      </c>
      <c r="CF5" s="42" t="s">
        <v>523</v>
      </c>
      <c r="CG5" s="42" t="s">
        <v>523</v>
      </c>
      <c r="CH5" s="42" t="s">
        <v>523</v>
      </c>
      <c r="CI5" s="42" t="s">
        <v>523</v>
      </c>
      <c r="CJ5" s="42" t="s">
        <v>523</v>
      </c>
      <c r="CK5" s="42" t="s">
        <v>523</v>
      </c>
      <c r="CL5" s="42" t="s">
        <v>523</v>
      </c>
      <c r="CM5" s="42" t="s">
        <v>523</v>
      </c>
      <c r="CN5" s="42" t="s">
        <v>523</v>
      </c>
      <c r="CO5" s="42" t="s">
        <v>523</v>
      </c>
      <c r="CP5" s="42" t="s">
        <v>523</v>
      </c>
      <c r="CQ5" s="42" t="s">
        <v>523</v>
      </c>
      <c r="CR5" s="42" t="s">
        <v>523</v>
      </c>
    </row>
    <row r="6" spans="1:173" ht="48">
      <c r="A6" s="41" t="s">
        <v>594</v>
      </c>
      <c r="B6" s="43">
        <v>1.3</v>
      </c>
      <c r="CG6" s="42" t="s">
        <v>523</v>
      </c>
      <c r="CH6" s="42" t="s">
        <v>523</v>
      </c>
      <c r="CI6" s="42" t="s">
        <v>523</v>
      </c>
      <c r="CJ6" s="42" t="s">
        <v>523</v>
      </c>
      <c r="CK6" s="42" t="s">
        <v>523</v>
      </c>
      <c r="CL6" s="42" t="s">
        <v>523</v>
      </c>
      <c r="CM6" s="42" t="s">
        <v>523</v>
      </c>
      <c r="CN6" s="42" t="s">
        <v>523</v>
      </c>
      <c r="CO6" s="42" t="s">
        <v>523</v>
      </c>
      <c r="CP6" s="42" t="s">
        <v>523</v>
      </c>
      <c r="CQ6" s="42" t="s">
        <v>523</v>
      </c>
      <c r="CR6" s="42" t="s">
        <v>523</v>
      </c>
      <c r="DB6" s="42" t="s">
        <v>523</v>
      </c>
      <c r="DC6" s="42" t="s">
        <v>523</v>
      </c>
      <c r="DD6" s="42" t="s">
        <v>523</v>
      </c>
      <c r="DE6" s="42" t="s">
        <v>523</v>
      </c>
      <c r="DF6" s="42" t="s">
        <v>523</v>
      </c>
      <c r="DG6" s="42" t="s">
        <v>523</v>
      </c>
      <c r="DH6" s="42" t="s">
        <v>523</v>
      </c>
      <c r="DI6" s="42" t="s">
        <v>523</v>
      </c>
      <c r="DJ6" s="42" t="s">
        <v>523</v>
      </c>
    </row>
    <row r="7" spans="1:173" ht="80">
      <c r="A7" s="41" t="s">
        <v>595</v>
      </c>
      <c r="B7" s="43">
        <v>1.4</v>
      </c>
      <c r="BP7" s="42" t="s">
        <v>523</v>
      </c>
      <c r="BQ7" s="42" t="s">
        <v>523</v>
      </c>
      <c r="BR7" s="42" t="s">
        <v>523</v>
      </c>
      <c r="BS7" s="42" t="s">
        <v>523</v>
      </c>
      <c r="BT7" s="42" t="s">
        <v>523</v>
      </c>
      <c r="DB7" s="42" t="s">
        <v>523</v>
      </c>
      <c r="DC7" s="42" t="s">
        <v>523</v>
      </c>
      <c r="DD7" s="42" t="s">
        <v>523</v>
      </c>
      <c r="DE7" s="42" t="s">
        <v>523</v>
      </c>
      <c r="DF7" s="42" t="s">
        <v>523</v>
      </c>
      <c r="DG7" s="42" t="s">
        <v>523</v>
      </c>
      <c r="DH7" s="42" t="s">
        <v>523</v>
      </c>
      <c r="DI7" s="42" t="s">
        <v>523</v>
      </c>
      <c r="DJ7" s="42" t="s">
        <v>523</v>
      </c>
    </row>
    <row r="8" spans="1:173" ht="48">
      <c r="A8" s="41" t="s">
        <v>596</v>
      </c>
      <c r="B8" s="43">
        <v>1.5</v>
      </c>
    </row>
    <row r="9" spans="1:173" ht="48">
      <c r="A9" s="41" t="s">
        <v>597</v>
      </c>
      <c r="B9" s="43">
        <v>2.1</v>
      </c>
      <c r="AB9" s="42" t="s">
        <v>523</v>
      </c>
      <c r="AC9" s="42" t="s">
        <v>523</v>
      </c>
      <c r="AD9" s="42" t="s">
        <v>523</v>
      </c>
      <c r="AE9" s="42" t="s">
        <v>523</v>
      </c>
      <c r="AF9" s="42" t="s">
        <v>523</v>
      </c>
      <c r="AG9" s="42" t="s">
        <v>523</v>
      </c>
      <c r="AH9" s="42" t="s">
        <v>523</v>
      </c>
      <c r="AI9" s="42" t="s">
        <v>523</v>
      </c>
      <c r="AJ9" s="42" t="s">
        <v>523</v>
      </c>
    </row>
    <row r="10" spans="1:173" ht="64">
      <c r="A10" s="41" t="s">
        <v>598</v>
      </c>
      <c r="B10" s="43">
        <v>2.2000000000000002</v>
      </c>
      <c r="AK10" s="42" t="s">
        <v>523</v>
      </c>
      <c r="AL10" s="42" t="s">
        <v>523</v>
      </c>
      <c r="AM10" s="42" t="s">
        <v>523</v>
      </c>
      <c r="AN10" s="42" t="s">
        <v>523</v>
      </c>
      <c r="AO10" s="42" t="s">
        <v>523</v>
      </c>
      <c r="AX10" s="42" t="s">
        <v>523</v>
      </c>
      <c r="AY10" s="42" t="s">
        <v>523</v>
      </c>
      <c r="AZ10" s="42" t="s">
        <v>523</v>
      </c>
      <c r="BA10" s="42" t="s">
        <v>523</v>
      </c>
      <c r="BB10" s="42" t="s">
        <v>523</v>
      </c>
      <c r="BC10" s="42" t="s">
        <v>523</v>
      </c>
      <c r="BD10" s="42" t="s">
        <v>523</v>
      </c>
      <c r="BE10" s="42" t="s">
        <v>523</v>
      </c>
      <c r="BF10" s="42" t="s">
        <v>523</v>
      </c>
      <c r="BG10" s="42" t="s">
        <v>523</v>
      </c>
      <c r="BZ10" s="42" t="s">
        <v>523</v>
      </c>
      <c r="CA10" s="42" t="s">
        <v>523</v>
      </c>
      <c r="CB10" s="42" t="s">
        <v>523</v>
      </c>
      <c r="CC10" s="42" t="s">
        <v>523</v>
      </c>
      <c r="CD10" s="42" t="s">
        <v>523</v>
      </c>
      <c r="CE10" s="42" t="s">
        <v>523</v>
      </c>
      <c r="CF10" s="42" t="s">
        <v>523</v>
      </c>
    </row>
    <row r="11" spans="1:173" ht="64">
      <c r="A11" s="41" t="s">
        <v>599</v>
      </c>
      <c r="B11" s="43">
        <v>2.2999999999999998</v>
      </c>
      <c r="AK11" s="42" t="s">
        <v>523</v>
      </c>
      <c r="AL11" s="42" t="s">
        <v>523</v>
      </c>
      <c r="AM11" s="42" t="s">
        <v>523</v>
      </c>
      <c r="AN11" s="42" t="s">
        <v>523</v>
      </c>
      <c r="AO11" s="42" t="s">
        <v>523</v>
      </c>
      <c r="AX11" s="42" t="s">
        <v>523</v>
      </c>
      <c r="AY11" s="42" t="s">
        <v>523</v>
      </c>
      <c r="AZ11" s="42" t="s">
        <v>523</v>
      </c>
      <c r="BA11" s="42" t="s">
        <v>523</v>
      </c>
      <c r="BB11" s="42" t="s">
        <v>523</v>
      </c>
      <c r="BC11" s="42" t="s">
        <v>523</v>
      </c>
      <c r="BD11" s="42" t="s">
        <v>523</v>
      </c>
      <c r="BE11" s="42" t="s">
        <v>523</v>
      </c>
      <c r="BF11" s="42" t="s">
        <v>523</v>
      </c>
      <c r="BG11" s="42" t="s">
        <v>523</v>
      </c>
    </row>
    <row r="12" spans="1:173" ht="32">
      <c r="A12" s="41" t="s">
        <v>600</v>
      </c>
      <c r="B12" s="43">
        <v>2.4</v>
      </c>
      <c r="C12" s="42" t="s">
        <v>523</v>
      </c>
      <c r="D12" s="42" t="s">
        <v>523</v>
      </c>
      <c r="E12" s="42" t="s">
        <v>523</v>
      </c>
      <c r="F12" s="42" t="s">
        <v>523</v>
      </c>
      <c r="G12" s="42" t="s">
        <v>523</v>
      </c>
      <c r="H12" s="42" t="s">
        <v>523</v>
      </c>
      <c r="I12" s="42" t="s">
        <v>523</v>
      </c>
      <c r="J12" s="42" t="s">
        <v>523</v>
      </c>
      <c r="K12" s="42" t="s">
        <v>523</v>
      </c>
      <c r="L12" s="42" t="s">
        <v>523</v>
      </c>
      <c r="M12" s="42" t="s">
        <v>523</v>
      </c>
      <c r="N12" s="42" t="s">
        <v>523</v>
      </c>
      <c r="O12" s="42" t="s">
        <v>523</v>
      </c>
      <c r="P12" s="42" t="s">
        <v>523</v>
      </c>
      <c r="Q12" s="42" t="s">
        <v>523</v>
      </c>
      <c r="R12" s="42" t="s">
        <v>523</v>
      </c>
      <c r="S12" s="42" t="s">
        <v>523</v>
      </c>
      <c r="T12" s="42" t="s">
        <v>523</v>
      </c>
    </row>
    <row r="13" spans="1:173" ht="64">
      <c r="A13" s="41" t="s">
        <v>601</v>
      </c>
      <c r="B13" s="43">
        <v>2.5</v>
      </c>
    </row>
    <row r="14" spans="1:173" ht="32">
      <c r="A14" s="41" t="s">
        <v>602</v>
      </c>
      <c r="B14" s="43">
        <v>2.6</v>
      </c>
    </row>
    <row r="15" spans="1:173" ht="48">
      <c r="A15" s="41" t="s">
        <v>603</v>
      </c>
      <c r="B15" s="43">
        <v>3.1</v>
      </c>
    </row>
    <row r="16" spans="1:173" ht="80">
      <c r="A16" s="41" t="s">
        <v>604</v>
      </c>
      <c r="B16" s="43">
        <v>3.2</v>
      </c>
    </row>
    <row r="17" spans="1:157" ht="64">
      <c r="A17" s="41" t="s">
        <v>605</v>
      </c>
      <c r="B17" s="43">
        <v>3.3</v>
      </c>
    </row>
    <row r="18" spans="1:157" ht="32">
      <c r="A18" s="41" t="s">
        <v>606</v>
      </c>
      <c r="B18" s="43">
        <v>3.4</v>
      </c>
    </row>
    <row r="19" spans="1:157" ht="48">
      <c r="A19" s="41" t="s">
        <v>607</v>
      </c>
      <c r="B19" s="43">
        <v>3.5</v>
      </c>
    </row>
    <row r="20" spans="1:157" ht="48">
      <c r="A20" s="41" t="s">
        <v>608</v>
      </c>
      <c r="B20" s="43">
        <v>3.6</v>
      </c>
      <c r="CS20" s="42" t="s">
        <v>523</v>
      </c>
      <c r="CT20" s="42" t="s">
        <v>523</v>
      </c>
      <c r="CU20" s="42" t="s">
        <v>523</v>
      </c>
      <c r="CV20" s="42" t="s">
        <v>523</v>
      </c>
      <c r="CW20" s="42" t="s">
        <v>523</v>
      </c>
      <c r="CX20" s="42" t="s">
        <v>523</v>
      </c>
      <c r="CY20" s="42" t="s">
        <v>523</v>
      </c>
      <c r="CZ20" s="42" t="s">
        <v>523</v>
      </c>
      <c r="DA20" s="42" t="s">
        <v>523</v>
      </c>
    </row>
    <row r="21" spans="1:157" ht="48">
      <c r="A21" s="41" t="s">
        <v>609</v>
      </c>
      <c r="B21" s="43">
        <v>3.7</v>
      </c>
    </row>
    <row r="22" spans="1:157" ht="48">
      <c r="A22" s="41" t="s">
        <v>610</v>
      </c>
      <c r="B22" s="43">
        <v>4.0999999999999996</v>
      </c>
      <c r="CS22" s="42" t="s">
        <v>523</v>
      </c>
      <c r="CT22" s="42" t="s">
        <v>523</v>
      </c>
      <c r="CU22" s="42" t="s">
        <v>523</v>
      </c>
      <c r="CV22" s="42" t="s">
        <v>523</v>
      </c>
      <c r="CW22" s="42" t="s">
        <v>523</v>
      </c>
      <c r="CX22" s="42" t="s">
        <v>523</v>
      </c>
      <c r="CY22" s="42" t="s">
        <v>523</v>
      </c>
      <c r="CZ22" s="42" t="s">
        <v>523</v>
      </c>
      <c r="DA22" s="42" t="s">
        <v>523</v>
      </c>
    </row>
    <row r="23" spans="1:157" ht="48">
      <c r="A23" s="41" t="s">
        <v>611</v>
      </c>
      <c r="B23" s="43">
        <v>4.2</v>
      </c>
      <c r="CS23" s="42" t="s">
        <v>523</v>
      </c>
      <c r="CT23" s="42" t="s">
        <v>523</v>
      </c>
      <c r="CU23" s="42" t="s">
        <v>523</v>
      </c>
      <c r="CV23" s="42" t="s">
        <v>523</v>
      </c>
      <c r="CW23" s="42" t="s">
        <v>523</v>
      </c>
      <c r="CX23" s="42" t="s">
        <v>523</v>
      </c>
      <c r="CY23" s="42" t="s">
        <v>523</v>
      </c>
      <c r="CZ23" s="42" t="s">
        <v>523</v>
      </c>
      <c r="DA23" s="42" t="s">
        <v>523</v>
      </c>
    </row>
    <row r="24" spans="1:157" ht="48">
      <c r="A24" s="41" t="s">
        <v>612</v>
      </c>
      <c r="B24" s="43">
        <v>4.3</v>
      </c>
      <c r="BU24" s="42" t="s">
        <v>523</v>
      </c>
      <c r="BV24" s="42" t="s">
        <v>523</v>
      </c>
      <c r="BW24" s="42" t="s">
        <v>523</v>
      </c>
      <c r="BX24" s="42" t="s">
        <v>523</v>
      </c>
      <c r="BY24" s="42" t="s">
        <v>523</v>
      </c>
      <c r="CS24" s="42" t="s">
        <v>523</v>
      </c>
      <c r="CT24" s="42" t="s">
        <v>523</v>
      </c>
      <c r="CU24" s="42" t="s">
        <v>523</v>
      </c>
      <c r="CV24" s="42" t="s">
        <v>523</v>
      </c>
      <c r="CW24" s="42" t="s">
        <v>523</v>
      </c>
      <c r="CX24" s="42" t="s">
        <v>523</v>
      </c>
      <c r="CY24" s="42" t="s">
        <v>523</v>
      </c>
      <c r="CZ24" s="42" t="s">
        <v>523</v>
      </c>
      <c r="DA24" s="42" t="s">
        <v>523</v>
      </c>
      <c r="DB24" s="42" t="s">
        <v>523</v>
      </c>
      <c r="DC24" s="42" t="s">
        <v>523</v>
      </c>
      <c r="DD24" s="42" t="s">
        <v>523</v>
      </c>
      <c r="DE24" s="42" t="s">
        <v>523</v>
      </c>
      <c r="DF24" s="42" t="s">
        <v>523</v>
      </c>
      <c r="DG24" s="42" t="s">
        <v>523</v>
      </c>
      <c r="DH24" s="42" t="s">
        <v>523</v>
      </c>
      <c r="DI24" s="42" t="s">
        <v>523</v>
      </c>
      <c r="DJ24" s="42" t="s">
        <v>523</v>
      </c>
      <c r="DK24" s="42" t="s">
        <v>523</v>
      </c>
      <c r="DL24" s="42" t="s">
        <v>523</v>
      </c>
      <c r="DM24" s="42" t="s">
        <v>523</v>
      </c>
      <c r="DN24" s="42" t="s">
        <v>523</v>
      </c>
      <c r="DO24" s="42" t="s">
        <v>523</v>
      </c>
      <c r="DP24" s="42" t="s">
        <v>523</v>
      </c>
      <c r="DQ24" s="42" t="s">
        <v>523</v>
      </c>
      <c r="DR24" s="42" t="s">
        <v>523</v>
      </c>
      <c r="DS24" s="42" t="s">
        <v>523</v>
      </c>
      <c r="DT24" s="42" t="s">
        <v>523</v>
      </c>
    </row>
    <row r="25" spans="1:157" ht="48">
      <c r="A25" s="41" t="s">
        <v>613</v>
      </c>
      <c r="B25" s="43">
        <v>5.0999999999999996</v>
      </c>
      <c r="BH25" s="42" t="s">
        <v>523</v>
      </c>
      <c r="BI25" s="42" t="s">
        <v>523</v>
      </c>
      <c r="BJ25" s="42" t="s">
        <v>523</v>
      </c>
      <c r="BK25" s="42" t="s">
        <v>523</v>
      </c>
      <c r="BL25" s="42" t="s">
        <v>523</v>
      </c>
      <c r="BM25" s="42" t="s">
        <v>523</v>
      </c>
      <c r="BN25" s="42" t="s">
        <v>523</v>
      </c>
      <c r="BO25" s="42" t="s">
        <v>523</v>
      </c>
    </row>
    <row r="26" spans="1:157" ht="16">
      <c r="A26" s="41" t="s">
        <v>614</v>
      </c>
      <c r="B26" s="43">
        <v>5.2</v>
      </c>
      <c r="BH26" s="42" t="s">
        <v>523</v>
      </c>
      <c r="BI26" s="42" t="s">
        <v>523</v>
      </c>
      <c r="BJ26" s="42" t="s">
        <v>523</v>
      </c>
      <c r="BK26" s="42" t="s">
        <v>523</v>
      </c>
      <c r="BL26" s="42" t="s">
        <v>523</v>
      </c>
      <c r="BM26" s="42" t="s">
        <v>523</v>
      </c>
      <c r="BN26" s="42" t="s">
        <v>523</v>
      </c>
      <c r="BO26" s="42" t="s">
        <v>523</v>
      </c>
    </row>
    <row r="27" spans="1:157" ht="64">
      <c r="A27" s="41" t="s">
        <v>615</v>
      </c>
      <c r="B27" s="43">
        <v>5.3</v>
      </c>
      <c r="BH27" s="42" t="s">
        <v>523</v>
      </c>
      <c r="BI27" s="42" t="s">
        <v>523</v>
      </c>
      <c r="BJ27" s="42" t="s">
        <v>523</v>
      </c>
      <c r="BK27" s="42" t="s">
        <v>523</v>
      </c>
      <c r="BL27" s="42" t="s">
        <v>523</v>
      </c>
      <c r="BM27" s="42" t="s">
        <v>523</v>
      </c>
      <c r="BN27" s="42" t="s">
        <v>523</v>
      </c>
      <c r="BO27" s="42" t="s">
        <v>523</v>
      </c>
    </row>
    <row r="28" spans="1:157" ht="48">
      <c r="A28" s="41" t="s">
        <v>616</v>
      </c>
      <c r="B28" s="43">
        <v>5.4</v>
      </c>
      <c r="BH28" s="42" t="s">
        <v>523</v>
      </c>
      <c r="BI28" s="42" t="s">
        <v>523</v>
      </c>
      <c r="BJ28" s="42" t="s">
        <v>523</v>
      </c>
      <c r="BK28" s="42" t="s">
        <v>523</v>
      </c>
      <c r="BL28" s="42" t="s">
        <v>523</v>
      </c>
      <c r="BM28" s="42" t="s">
        <v>523</v>
      </c>
      <c r="BN28" s="42" t="s">
        <v>523</v>
      </c>
      <c r="BO28" s="42" t="s">
        <v>523</v>
      </c>
    </row>
    <row r="29" spans="1:157" ht="80">
      <c r="A29" s="41" t="s">
        <v>617</v>
      </c>
      <c r="B29" s="43">
        <v>6.1</v>
      </c>
      <c r="U29" s="42" t="s">
        <v>523</v>
      </c>
      <c r="V29" s="42" t="s">
        <v>523</v>
      </c>
      <c r="W29" s="42" t="s">
        <v>523</v>
      </c>
      <c r="X29" s="42" t="s">
        <v>523</v>
      </c>
      <c r="Y29" s="42" t="s">
        <v>523</v>
      </c>
      <c r="Z29" s="42" t="s">
        <v>523</v>
      </c>
      <c r="AA29" s="42" t="s">
        <v>523</v>
      </c>
    </row>
    <row r="30" spans="1:157" ht="64">
      <c r="A30" s="41" t="s">
        <v>618</v>
      </c>
      <c r="B30" s="43">
        <v>6.2</v>
      </c>
      <c r="U30" s="42" t="s">
        <v>523</v>
      </c>
      <c r="V30" s="42" t="s">
        <v>523</v>
      </c>
      <c r="W30" s="42" t="s">
        <v>523</v>
      </c>
      <c r="X30" s="42" t="s">
        <v>523</v>
      </c>
      <c r="Y30" s="42" t="s">
        <v>523</v>
      </c>
      <c r="Z30" s="42" t="s">
        <v>523</v>
      </c>
      <c r="AA30" s="42" t="s">
        <v>523</v>
      </c>
      <c r="AK30" s="42" t="s">
        <v>523</v>
      </c>
      <c r="AL30" s="42" t="s">
        <v>523</v>
      </c>
      <c r="AM30" s="42" t="s">
        <v>523</v>
      </c>
      <c r="AN30" s="42" t="s">
        <v>523</v>
      </c>
      <c r="AO30" s="42" t="s">
        <v>523</v>
      </c>
      <c r="AX30" s="42" t="s">
        <v>523</v>
      </c>
      <c r="AY30" s="42" t="s">
        <v>523</v>
      </c>
      <c r="AZ30" s="42" t="s">
        <v>523</v>
      </c>
      <c r="BA30" s="42" t="s">
        <v>523</v>
      </c>
      <c r="BB30" s="42" t="s">
        <v>523</v>
      </c>
      <c r="BC30" s="42" t="s">
        <v>523</v>
      </c>
      <c r="BD30" s="42" t="s">
        <v>523</v>
      </c>
      <c r="BE30" s="42" t="s">
        <v>523</v>
      </c>
      <c r="BF30" s="42" t="s">
        <v>523</v>
      </c>
      <c r="BG30" s="42" t="s">
        <v>523</v>
      </c>
      <c r="BZ30" s="42" t="s">
        <v>523</v>
      </c>
      <c r="CA30" s="42" t="s">
        <v>523</v>
      </c>
      <c r="CB30" s="42" t="s">
        <v>523</v>
      </c>
      <c r="CC30" s="42" t="s">
        <v>523</v>
      </c>
      <c r="CD30" s="42" t="s">
        <v>523</v>
      </c>
      <c r="CE30" s="42" t="s">
        <v>523</v>
      </c>
      <c r="CF30" s="42" t="s">
        <v>523</v>
      </c>
    </row>
    <row r="31" spans="1:157" ht="48">
      <c r="A31" s="41" t="s">
        <v>619</v>
      </c>
      <c r="B31" s="43">
        <v>6.3</v>
      </c>
      <c r="EQ31" s="42" t="s">
        <v>523</v>
      </c>
      <c r="ER31" s="42" t="s">
        <v>523</v>
      </c>
      <c r="ES31" s="42" t="s">
        <v>523</v>
      </c>
      <c r="ET31" s="42" t="s">
        <v>523</v>
      </c>
      <c r="EU31" s="42" t="s">
        <v>523</v>
      </c>
      <c r="EV31" s="42" t="s">
        <v>523</v>
      </c>
      <c r="EW31" s="42" t="s">
        <v>523</v>
      </c>
      <c r="EX31" s="42" t="s">
        <v>523</v>
      </c>
      <c r="EY31" s="42" t="s">
        <v>523</v>
      </c>
      <c r="EZ31" s="42" t="s">
        <v>523</v>
      </c>
      <c r="FA31" s="42" t="s">
        <v>523</v>
      </c>
    </row>
    <row r="32" spans="1:157" ht="32">
      <c r="A32" s="41" t="s">
        <v>620</v>
      </c>
      <c r="B32" s="43">
        <v>6.4</v>
      </c>
    </row>
    <row r="33" spans="1:157" ht="48">
      <c r="A33" s="41" t="s">
        <v>621</v>
      </c>
      <c r="B33" s="43" t="s">
        <v>622</v>
      </c>
      <c r="EQ33" s="42" t="s">
        <v>523</v>
      </c>
      <c r="ER33" s="42" t="s">
        <v>523</v>
      </c>
      <c r="ES33" s="42" t="s">
        <v>523</v>
      </c>
      <c r="ET33" s="42" t="s">
        <v>523</v>
      </c>
      <c r="EU33" s="42" t="s">
        <v>523</v>
      </c>
      <c r="EV33" s="42" t="s">
        <v>523</v>
      </c>
      <c r="EW33" s="42" t="s">
        <v>523</v>
      </c>
      <c r="EX33" s="42" t="s">
        <v>523</v>
      </c>
      <c r="EY33" s="42" t="s">
        <v>523</v>
      </c>
      <c r="EZ33" s="42" t="s">
        <v>523</v>
      </c>
      <c r="FA33" s="42" t="s">
        <v>523</v>
      </c>
    </row>
    <row r="34" spans="1:157" ht="16">
      <c r="A34" s="41" t="s">
        <v>623</v>
      </c>
      <c r="B34" s="43" t="s">
        <v>624</v>
      </c>
      <c r="EQ34" s="42" t="s">
        <v>523</v>
      </c>
      <c r="ER34" s="42" t="s">
        <v>523</v>
      </c>
      <c r="ES34" s="42" t="s">
        <v>523</v>
      </c>
      <c r="ET34" s="42" t="s">
        <v>523</v>
      </c>
      <c r="EU34" s="42" t="s">
        <v>523</v>
      </c>
      <c r="EV34" s="42" t="s">
        <v>523</v>
      </c>
      <c r="EW34" s="42" t="s">
        <v>523</v>
      </c>
      <c r="EX34" s="42" t="s">
        <v>523</v>
      </c>
      <c r="EY34" s="42" t="s">
        <v>523</v>
      </c>
      <c r="EZ34" s="42" t="s">
        <v>523</v>
      </c>
      <c r="FA34" s="42" t="s">
        <v>523</v>
      </c>
    </row>
    <row r="35" spans="1:157" ht="48">
      <c r="A35" s="41" t="s">
        <v>625</v>
      </c>
      <c r="B35" s="43">
        <v>6.6</v>
      </c>
      <c r="EQ35" s="42" t="s">
        <v>523</v>
      </c>
      <c r="ER35" s="42" t="s">
        <v>523</v>
      </c>
      <c r="ES35" s="42" t="s">
        <v>523</v>
      </c>
      <c r="ET35" s="42" t="s">
        <v>523</v>
      </c>
      <c r="EU35" s="42" t="s">
        <v>523</v>
      </c>
      <c r="EV35" s="42" t="s">
        <v>523</v>
      </c>
      <c r="EW35" s="42" t="s">
        <v>523</v>
      </c>
      <c r="EX35" s="42" t="s">
        <v>523</v>
      </c>
      <c r="EY35" s="42" t="s">
        <v>523</v>
      </c>
      <c r="EZ35" s="42" t="s">
        <v>523</v>
      </c>
      <c r="FA35" s="42" t="s">
        <v>523</v>
      </c>
    </row>
    <row r="36" spans="1:157" ht="64">
      <c r="A36" s="41" t="s">
        <v>626</v>
      </c>
      <c r="B36" s="43">
        <v>6.7</v>
      </c>
      <c r="EQ36" s="42" t="s">
        <v>523</v>
      </c>
      <c r="ER36" s="42" t="s">
        <v>523</v>
      </c>
      <c r="ES36" s="42" t="s">
        <v>523</v>
      </c>
      <c r="ET36" s="42" t="s">
        <v>523</v>
      </c>
      <c r="EU36" s="42" t="s">
        <v>523</v>
      </c>
      <c r="EV36" s="42" t="s">
        <v>523</v>
      </c>
      <c r="EW36" s="42" t="s">
        <v>523</v>
      </c>
      <c r="EX36" s="42" t="s">
        <v>523</v>
      </c>
      <c r="EY36" s="42" t="s">
        <v>523</v>
      </c>
      <c r="EZ36" s="42" t="s">
        <v>523</v>
      </c>
      <c r="FA36" s="42" t="s">
        <v>523</v>
      </c>
    </row>
    <row r="37" spans="1:157" ht="32">
      <c r="A37" s="41" t="s">
        <v>627</v>
      </c>
      <c r="B37" s="43">
        <v>7.1</v>
      </c>
      <c r="AB37" s="42" t="s">
        <v>523</v>
      </c>
      <c r="AC37" s="42" t="s">
        <v>523</v>
      </c>
      <c r="AD37" s="42" t="s">
        <v>523</v>
      </c>
      <c r="AE37" s="42" t="s">
        <v>523</v>
      </c>
      <c r="AF37" s="42" t="s">
        <v>523</v>
      </c>
      <c r="AG37" s="42" t="s">
        <v>523</v>
      </c>
      <c r="AH37" s="42" t="s">
        <v>523</v>
      </c>
      <c r="AI37" s="42" t="s">
        <v>523</v>
      </c>
      <c r="AJ37" s="42" t="s">
        <v>523</v>
      </c>
      <c r="DB37" s="42" t="s">
        <v>523</v>
      </c>
      <c r="DC37" s="42" t="s">
        <v>523</v>
      </c>
      <c r="DD37" s="42" t="s">
        <v>523</v>
      </c>
      <c r="DE37" s="42" t="s">
        <v>523</v>
      </c>
      <c r="DF37" s="42" t="s">
        <v>523</v>
      </c>
      <c r="DG37" s="42" t="s">
        <v>523</v>
      </c>
      <c r="DH37" s="42" t="s">
        <v>523</v>
      </c>
      <c r="DI37" s="42" t="s">
        <v>523</v>
      </c>
      <c r="DJ37" s="42" t="s">
        <v>523</v>
      </c>
      <c r="DU37" s="42" t="s">
        <v>523</v>
      </c>
      <c r="DV37" s="42" t="s">
        <v>523</v>
      </c>
      <c r="DW37" s="42" t="s">
        <v>523</v>
      </c>
      <c r="DX37" s="42" t="s">
        <v>523</v>
      </c>
      <c r="DY37" s="42" t="s">
        <v>523</v>
      </c>
      <c r="DZ37" s="42" t="s">
        <v>523</v>
      </c>
      <c r="EA37" s="42" t="s">
        <v>523</v>
      </c>
      <c r="EB37" s="42" t="s">
        <v>523</v>
      </c>
      <c r="EC37" s="42" t="s">
        <v>523</v>
      </c>
      <c r="ED37" s="42" t="s">
        <v>523</v>
      </c>
      <c r="EE37" s="42" t="s">
        <v>523</v>
      </c>
      <c r="EF37" s="42" t="s">
        <v>523</v>
      </c>
      <c r="EG37" s="42" t="s">
        <v>523</v>
      </c>
    </row>
    <row r="38" spans="1:157" ht="64">
      <c r="A38" s="41" t="s">
        <v>628</v>
      </c>
      <c r="B38" s="43">
        <v>7.2</v>
      </c>
      <c r="AB38" s="42" t="s">
        <v>523</v>
      </c>
      <c r="AC38" s="42" t="s">
        <v>523</v>
      </c>
      <c r="AD38" s="42" t="s">
        <v>523</v>
      </c>
      <c r="AE38" s="42" t="s">
        <v>523</v>
      </c>
      <c r="AF38" s="42" t="s">
        <v>523</v>
      </c>
      <c r="AG38" s="42" t="s">
        <v>523</v>
      </c>
      <c r="AH38" s="42" t="s">
        <v>523</v>
      </c>
      <c r="AI38" s="42" t="s">
        <v>523</v>
      </c>
      <c r="AJ38" s="42" t="s">
        <v>523</v>
      </c>
      <c r="DB38" s="42" t="s">
        <v>523</v>
      </c>
      <c r="DC38" s="42" t="s">
        <v>523</v>
      </c>
      <c r="DD38" s="42" t="s">
        <v>523</v>
      </c>
      <c r="DE38" s="42" t="s">
        <v>523</v>
      </c>
      <c r="DF38" s="42" t="s">
        <v>523</v>
      </c>
      <c r="DG38" s="42" t="s">
        <v>523</v>
      </c>
      <c r="DH38" s="42" t="s">
        <v>523</v>
      </c>
      <c r="DI38" s="42" t="s">
        <v>523</v>
      </c>
      <c r="DJ38" s="42" t="s">
        <v>523</v>
      </c>
      <c r="DU38" s="42" t="s">
        <v>523</v>
      </c>
      <c r="DV38" s="42" t="s">
        <v>523</v>
      </c>
      <c r="DW38" s="42" t="s">
        <v>523</v>
      </c>
      <c r="DX38" s="42" t="s">
        <v>523</v>
      </c>
      <c r="DY38" s="42" t="s">
        <v>523</v>
      </c>
      <c r="DZ38" s="42" t="s">
        <v>523</v>
      </c>
      <c r="EA38" s="42" t="s">
        <v>523</v>
      </c>
      <c r="EB38" s="42" t="s">
        <v>523</v>
      </c>
      <c r="EC38" s="42" t="s">
        <v>523</v>
      </c>
      <c r="ED38" s="42" t="s">
        <v>523</v>
      </c>
      <c r="EE38" s="42" t="s">
        <v>523</v>
      </c>
      <c r="EF38" s="42" t="s">
        <v>523</v>
      </c>
      <c r="EG38" s="42" t="s">
        <v>523</v>
      </c>
    </row>
    <row r="39" spans="1:157" ht="48">
      <c r="A39" s="41" t="s">
        <v>629</v>
      </c>
      <c r="B39" s="43">
        <v>7.3</v>
      </c>
      <c r="AB39" s="42" t="s">
        <v>523</v>
      </c>
      <c r="AC39" s="42" t="s">
        <v>523</v>
      </c>
      <c r="AD39" s="42" t="s">
        <v>523</v>
      </c>
      <c r="AE39" s="42" t="s">
        <v>523</v>
      </c>
      <c r="AF39" s="42" t="s">
        <v>523</v>
      </c>
      <c r="AG39" s="42" t="s">
        <v>523</v>
      </c>
      <c r="AH39" s="42" t="s">
        <v>523</v>
      </c>
      <c r="AI39" s="42" t="s">
        <v>523</v>
      </c>
      <c r="AJ39" s="42" t="s">
        <v>523</v>
      </c>
      <c r="DB39" s="42" t="s">
        <v>523</v>
      </c>
      <c r="DC39" s="42" t="s">
        <v>523</v>
      </c>
      <c r="DD39" s="42" t="s">
        <v>523</v>
      </c>
      <c r="DE39" s="42" t="s">
        <v>523</v>
      </c>
      <c r="DF39" s="42" t="s">
        <v>523</v>
      </c>
      <c r="DG39" s="42" t="s">
        <v>523</v>
      </c>
      <c r="DH39" s="42" t="s">
        <v>523</v>
      </c>
      <c r="DI39" s="42" t="s">
        <v>523</v>
      </c>
      <c r="DJ39" s="42" t="s">
        <v>523</v>
      </c>
      <c r="DU39" s="42" t="s">
        <v>523</v>
      </c>
      <c r="DV39" s="42" t="s">
        <v>523</v>
      </c>
      <c r="DW39" s="42" t="s">
        <v>523</v>
      </c>
      <c r="DX39" s="42" t="s">
        <v>523</v>
      </c>
      <c r="DY39" s="42" t="s">
        <v>523</v>
      </c>
      <c r="DZ39" s="42" t="s">
        <v>523</v>
      </c>
      <c r="EA39" s="42" t="s">
        <v>523</v>
      </c>
      <c r="EB39" s="42" t="s">
        <v>523</v>
      </c>
      <c r="EC39" s="42" t="s">
        <v>523</v>
      </c>
      <c r="ED39" s="42" t="s">
        <v>523</v>
      </c>
      <c r="EE39" s="42" t="s">
        <v>523</v>
      </c>
      <c r="EF39" s="42" t="s">
        <v>523</v>
      </c>
      <c r="EG39" s="42" t="s">
        <v>523</v>
      </c>
    </row>
    <row r="40" spans="1:157" ht="64">
      <c r="A40" s="41" t="s">
        <v>630</v>
      </c>
      <c r="B40" s="43">
        <v>8.1</v>
      </c>
      <c r="AB40" s="42" t="s">
        <v>523</v>
      </c>
      <c r="AC40" s="42" t="s">
        <v>523</v>
      </c>
      <c r="AD40" s="42" t="s">
        <v>523</v>
      </c>
      <c r="AE40" s="42" t="s">
        <v>523</v>
      </c>
      <c r="AF40" s="42" t="s">
        <v>523</v>
      </c>
      <c r="AG40" s="42" t="s">
        <v>523</v>
      </c>
      <c r="AH40" s="42" t="s">
        <v>523</v>
      </c>
      <c r="AI40" s="42" t="s">
        <v>523</v>
      </c>
      <c r="AJ40" s="42" t="s">
        <v>523</v>
      </c>
    </row>
    <row r="41" spans="1:157" ht="48">
      <c r="A41" s="41" t="s">
        <v>631</v>
      </c>
      <c r="B41" s="43">
        <v>8.1999999999999993</v>
      </c>
      <c r="AB41" s="42" t="s">
        <v>523</v>
      </c>
      <c r="AC41" s="42" t="s">
        <v>523</v>
      </c>
      <c r="AD41" s="42" t="s">
        <v>523</v>
      </c>
      <c r="AE41" s="42" t="s">
        <v>523</v>
      </c>
      <c r="AF41" s="42" t="s">
        <v>523</v>
      </c>
      <c r="AG41" s="42" t="s">
        <v>523</v>
      </c>
      <c r="AH41" s="42" t="s">
        <v>523</v>
      </c>
      <c r="AI41" s="42" t="s">
        <v>523</v>
      </c>
      <c r="AJ41" s="42" t="s">
        <v>523</v>
      </c>
    </row>
    <row r="42" spans="1:157" ht="48">
      <c r="A42" s="41" t="s">
        <v>632</v>
      </c>
      <c r="B42" s="43">
        <v>8.3000000000000007</v>
      </c>
      <c r="AB42" s="42" t="s">
        <v>523</v>
      </c>
      <c r="AC42" s="42" t="s">
        <v>523</v>
      </c>
      <c r="AD42" s="42" t="s">
        <v>523</v>
      </c>
      <c r="AE42" s="42" t="s">
        <v>523</v>
      </c>
      <c r="AF42" s="42" t="s">
        <v>523</v>
      </c>
      <c r="AG42" s="42" t="s">
        <v>523</v>
      </c>
      <c r="AH42" s="42" t="s">
        <v>523</v>
      </c>
      <c r="AI42" s="42" t="s">
        <v>523</v>
      </c>
      <c r="AJ42" s="42" t="s">
        <v>523</v>
      </c>
      <c r="CG42" s="42" t="s">
        <v>523</v>
      </c>
      <c r="CH42" s="42" t="s">
        <v>523</v>
      </c>
      <c r="CI42" s="42" t="s">
        <v>523</v>
      </c>
      <c r="CJ42" s="42" t="s">
        <v>523</v>
      </c>
      <c r="CK42" s="42" t="s">
        <v>523</v>
      </c>
      <c r="CL42" s="42" t="s">
        <v>523</v>
      </c>
      <c r="CM42" s="42" t="s">
        <v>523</v>
      </c>
      <c r="CN42" s="42" t="s">
        <v>523</v>
      </c>
      <c r="CO42" s="42" t="s">
        <v>523</v>
      </c>
      <c r="CP42" s="42" t="s">
        <v>523</v>
      </c>
      <c r="CQ42" s="42" t="s">
        <v>523</v>
      </c>
      <c r="CR42" s="42" t="s">
        <v>523</v>
      </c>
    </row>
    <row r="43" spans="1:157" ht="32">
      <c r="A43" s="41" t="s">
        <v>633</v>
      </c>
      <c r="B43" s="43">
        <v>8.4</v>
      </c>
    </row>
    <row r="44" spans="1:157" ht="32">
      <c r="A44" s="41" t="s">
        <v>634</v>
      </c>
      <c r="B44" s="43">
        <v>8.5</v>
      </c>
    </row>
    <row r="45" spans="1:157" ht="64">
      <c r="A45" s="41" t="s">
        <v>635</v>
      </c>
      <c r="B45" s="43">
        <v>8.6</v>
      </c>
    </row>
    <row r="46" spans="1:157" ht="48">
      <c r="A46" s="41" t="s">
        <v>636</v>
      </c>
      <c r="B46" s="43">
        <v>8.6999999999999993</v>
      </c>
      <c r="AB46" s="42" t="s">
        <v>523</v>
      </c>
      <c r="AC46" s="42" t="s">
        <v>523</v>
      </c>
      <c r="AD46" s="42" t="s">
        <v>523</v>
      </c>
      <c r="AE46" s="42" t="s">
        <v>523</v>
      </c>
      <c r="AF46" s="42" t="s">
        <v>523</v>
      </c>
      <c r="AG46" s="42" t="s">
        <v>523</v>
      </c>
      <c r="AH46" s="42" t="s">
        <v>523</v>
      </c>
      <c r="AI46" s="42" t="s">
        <v>523</v>
      </c>
      <c r="AJ46" s="42" t="s">
        <v>523</v>
      </c>
      <c r="DB46" s="42" t="s">
        <v>523</v>
      </c>
      <c r="DC46" s="42" t="s">
        <v>523</v>
      </c>
      <c r="DD46" s="42" t="s">
        <v>523</v>
      </c>
      <c r="DE46" s="42" t="s">
        <v>523</v>
      </c>
      <c r="DF46" s="42" t="s">
        <v>523</v>
      </c>
      <c r="DG46" s="42" t="s">
        <v>523</v>
      </c>
      <c r="DH46" s="42" t="s">
        <v>523</v>
      </c>
      <c r="DI46" s="42" t="s">
        <v>523</v>
      </c>
      <c r="DJ46" s="42" t="s">
        <v>523</v>
      </c>
      <c r="DU46" s="42" t="s">
        <v>523</v>
      </c>
      <c r="DV46" s="42" t="s">
        <v>523</v>
      </c>
      <c r="DW46" s="42" t="s">
        <v>523</v>
      </c>
      <c r="DX46" s="42" t="s">
        <v>523</v>
      </c>
      <c r="DY46" s="42" t="s">
        <v>523</v>
      </c>
      <c r="DZ46" s="42" t="s">
        <v>523</v>
      </c>
      <c r="EA46" s="42" t="s">
        <v>523</v>
      </c>
      <c r="EB46" s="42" t="s">
        <v>523</v>
      </c>
      <c r="EC46" s="42" t="s">
        <v>523</v>
      </c>
      <c r="ED46" s="42" t="s">
        <v>523</v>
      </c>
      <c r="EE46" s="42" t="s">
        <v>523</v>
      </c>
      <c r="EF46" s="42" t="s">
        <v>523</v>
      </c>
      <c r="EG46" s="42" t="s">
        <v>523</v>
      </c>
    </row>
    <row r="47" spans="1:157" ht="48">
      <c r="A47" s="41" t="s">
        <v>637</v>
      </c>
      <c r="B47" s="43">
        <v>8.8000000000000007</v>
      </c>
      <c r="DU47" s="42" t="s">
        <v>523</v>
      </c>
      <c r="DV47" s="42" t="s">
        <v>523</v>
      </c>
      <c r="DW47" s="42" t="s">
        <v>523</v>
      </c>
      <c r="DX47" s="42" t="s">
        <v>523</v>
      </c>
      <c r="DY47" s="42" t="s">
        <v>523</v>
      </c>
      <c r="DZ47" s="42" t="s">
        <v>523</v>
      </c>
      <c r="EA47" s="42" t="s">
        <v>523</v>
      </c>
      <c r="EB47" s="42" t="s">
        <v>523</v>
      </c>
      <c r="EC47" s="42" t="s">
        <v>523</v>
      </c>
      <c r="ED47" s="42" t="s">
        <v>523</v>
      </c>
      <c r="EE47" s="42" t="s">
        <v>523</v>
      </c>
      <c r="EF47" s="42" t="s">
        <v>523</v>
      </c>
      <c r="EG47" s="42" t="s">
        <v>523</v>
      </c>
    </row>
    <row r="48" spans="1:157" ht="48">
      <c r="A48" s="41" t="s">
        <v>638</v>
      </c>
      <c r="B48" s="43">
        <v>9.1</v>
      </c>
    </row>
    <row r="49" spans="1:77" ht="32">
      <c r="A49" s="41" t="s">
        <v>639</v>
      </c>
      <c r="B49" s="43">
        <v>9.1999999999999993</v>
      </c>
    </row>
    <row r="50" spans="1:77" ht="32">
      <c r="A50" s="41" t="s">
        <v>640</v>
      </c>
      <c r="B50" s="43">
        <v>9.3000000000000007</v>
      </c>
    </row>
    <row r="51" spans="1:77" ht="16">
      <c r="A51" s="41" t="s">
        <v>641</v>
      </c>
      <c r="B51" s="43">
        <v>9.4</v>
      </c>
    </row>
    <row r="52" spans="1:77" ht="16">
      <c r="A52" s="41" t="s">
        <v>642</v>
      </c>
      <c r="B52" s="43">
        <v>9.5</v>
      </c>
      <c r="BU52" s="42" t="s">
        <v>523</v>
      </c>
      <c r="BV52" s="42" t="s">
        <v>523</v>
      </c>
      <c r="BW52" s="42" t="s">
        <v>523</v>
      </c>
      <c r="BX52" s="42" t="s">
        <v>523</v>
      </c>
      <c r="BY52" s="42" t="s">
        <v>523</v>
      </c>
    </row>
    <row r="53" spans="1:77" ht="32">
      <c r="A53" s="41" t="s">
        <v>643</v>
      </c>
      <c r="B53" s="43">
        <v>9.6</v>
      </c>
      <c r="BU53" s="42" t="s">
        <v>523</v>
      </c>
      <c r="BV53" s="42" t="s">
        <v>523</v>
      </c>
      <c r="BW53" s="42" t="s">
        <v>523</v>
      </c>
      <c r="BX53" s="42" t="s">
        <v>523</v>
      </c>
      <c r="BY53" s="42" t="s">
        <v>523</v>
      </c>
    </row>
    <row r="54" spans="1:77" ht="32">
      <c r="A54" s="41" t="s">
        <v>644</v>
      </c>
      <c r="B54" s="43">
        <v>9.6999999999999993</v>
      </c>
      <c r="BU54" s="42" t="s">
        <v>523</v>
      </c>
      <c r="BV54" s="42" t="s">
        <v>523</v>
      </c>
      <c r="BW54" s="42" t="s">
        <v>523</v>
      </c>
      <c r="BX54" s="42" t="s">
        <v>523</v>
      </c>
      <c r="BY54" s="42" t="s">
        <v>523</v>
      </c>
    </row>
    <row r="55" spans="1:77" ht="32">
      <c r="A55" s="41" t="s">
        <v>645</v>
      </c>
      <c r="B55" s="43">
        <v>9.8000000000000007</v>
      </c>
    </row>
    <row r="56" spans="1:77" ht="48">
      <c r="A56" s="41" t="s">
        <v>646</v>
      </c>
      <c r="B56" s="43">
        <v>9.9</v>
      </c>
    </row>
    <row r="57" spans="1:77" ht="48">
      <c r="A57" s="41" t="s">
        <v>647</v>
      </c>
      <c r="B57" s="44" t="s">
        <v>648</v>
      </c>
    </row>
    <row r="58" spans="1:77" ht="32">
      <c r="A58" s="41" t="s">
        <v>649</v>
      </c>
      <c r="B58" s="43">
        <v>10.1</v>
      </c>
      <c r="AP58" s="42" t="s">
        <v>523</v>
      </c>
      <c r="AQ58" s="42" t="s">
        <v>523</v>
      </c>
      <c r="AR58" s="42" t="s">
        <v>523</v>
      </c>
      <c r="AS58" s="42" t="s">
        <v>523</v>
      </c>
      <c r="AT58" s="42" t="s">
        <v>523</v>
      </c>
      <c r="AU58" s="42" t="s">
        <v>523</v>
      </c>
      <c r="AV58" s="42" t="s">
        <v>523</v>
      </c>
      <c r="AW58" s="42" t="s">
        <v>523</v>
      </c>
    </row>
    <row r="59" spans="1:77" ht="32">
      <c r="A59" s="41" t="s">
        <v>650</v>
      </c>
      <c r="B59" s="43">
        <v>10.199999999999999</v>
      </c>
      <c r="AP59" s="42" t="s">
        <v>523</v>
      </c>
      <c r="AQ59" s="42" t="s">
        <v>523</v>
      </c>
      <c r="AR59" s="42" t="s">
        <v>523</v>
      </c>
      <c r="AS59" s="42" t="s">
        <v>523</v>
      </c>
      <c r="AT59" s="42" t="s">
        <v>523</v>
      </c>
      <c r="AU59" s="42" t="s">
        <v>523</v>
      </c>
      <c r="AV59" s="42" t="s">
        <v>523</v>
      </c>
      <c r="AW59" s="42" t="s">
        <v>523</v>
      </c>
    </row>
    <row r="60" spans="1:77" ht="32">
      <c r="A60" s="41" t="s">
        <v>651</v>
      </c>
      <c r="B60" s="43">
        <v>10.3</v>
      </c>
      <c r="AP60" s="42" t="s">
        <v>523</v>
      </c>
      <c r="AQ60" s="42" t="s">
        <v>523</v>
      </c>
      <c r="AR60" s="42" t="s">
        <v>523</v>
      </c>
      <c r="AS60" s="42" t="s">
        <v>523</v>
      </c>
      <c r="AT60" s="42" t="s">
        <v>523</v>
      </c>
      <c r="AU60" s="42" t="s">
        <v>523</v>
      </c>
      <c r="AV60" s="42" t="s">
        <v>523</v>
      </c>
      <c r="AW60" s="42" t="s">
        <v>523</v>
      </c>
    </row>
    <row r="61" spans="1:77" ht="64">
      <c r="A61" s="41" t="s">
        <v>652</v>
      </c>
      <c r="B61" s="43">
        <v>10.4</v>
      </c>
      <c r="AP61" s="42" t="s">
        <v>523</v>
      </c>
      <c r="AQ61" s="42" t="s">
        <v>523</v>
      </c>
      <c r="AR61" s="42" t="s">
        <v>523</v>
      </c>
      <c r="AS61" s="42" t="s">
        <v>523</v>
      </c>
      <c r="AT61" s="42" t="s">
        <v>523</v>
      </c>
      <c r="AU61" s="42" t="s">
        <v>523</v>
      </c>
      <c r="AV61" s="42" t="s">
        <v>523</v>
      </c>
      <c r="AW61" s="42" t="s">
        <v>523</v>
      </c>
    </row>
    <row r="62" spans="1:77" ht="16">
      <c r="A62" s="41" t="s">
        <v>653</v>
      </c>
      <c r="B62" s="43">
        <v>10.5</v>
      </c>
      <c r="AP62" s="42" t="s">
        <v>523</v>
      </c>
      <c r="AQ62" s="42" t="s">
        <v>523</v>
      </c>
      <c r="AR62" s="42" t="s">
        <v>523</v>
      </c>
      <c r="AS62" s="42" t="s">
        <v>523</v>
      </c>
      <c r="AT62" s="42" t="s">
        <v>523</v>
      </c>
      <c r="AU62" s="42" t="s">
        <v>523</v>
      </c>
      <c r="AV62" s="42" t="s">
        <v>523</v>
      </c>
      <c r="AW62" s="42" t="s">
        <v>523</v>
      </c>
    </row>
    <row r="63" spans="1:77" ht="32">
      <c r="A63" s="41" t="s">
        <v>654</v>
      </c>
      <c r="B63" s="43">
        <v>10.6</v>
      </c>
      <c r="AP63" s="42" t="s">
        <v>523</v>
      </c>
      <c r="AQ63" s="42" t="s">
        <v>523</v>
      </c>
      <c r="AR63" s="42" t="s">
        <v>523</v>
      </c>
      <c r="AS63" s="42" t="s">
        <v>523</v>
      </c>
      <c r="AT63" s="42" t="s">
        <v>523</v>
      </c>
      <c r="AU63" s="42" t="s">
        <v>523</v>
      </c>
      <c r="AV63" s="42" t="s">
        <v>523</v>
      </c>
      <c r="AW63" s="42" t="s">
        <v>523</v>
      </c>
    </row>
    <row r="64" spans="1:77" ht="64">
      <c r="A64" s="41" t="s">
        <v>655</v>
      </c>
      <c r="B64" s="43">
        <v>10.7</v>
      </c>
      <c r="AP64" s="42" t="s">
        <v>523</v>
      </c>
      <c r="AQ64" s="42" t="s">
        <v>523</v>
      </c>
      <c r="AR64" s="42" t="s">
        <v>523</v>
      </c>
      <c r="AS64" s="42" t="s">
        <v>523</v>
      </c>
      <c r="AT64" s="42" t="s">
        <v>523</v>
      </c>
      <c r="AU64" s="42" t="s">
        <v>523</v>
      </c>
      <c r="AV64" s="42" t="s">
        <v>523</v>
      </c>
      <c r="AW64" s="42" t="s">
        <v>523</v>
      </c>
    </row>
    <row r="65" spans="1:173" ht="32">
      <c r="A65" s="41" t="s">
        <v>656</v>
      </c>
      <c r="B65" s="43">
        <v>10.8</v>
      </c>
      <c r="AP65" s="42" t="s">
        <v>523</v>
      </c>
      <c r="AQ65" s="42" t="s">
        <v>523</v>
      </c>
      <c r="AR65" s="42" t="s">
        <v>523</v>
      </c>
      <c r="AS65" s="42" t="s">
        <v>523</v>
      </c>
      <c r="AT65" s="42" t="s">
        <v>523</v>
      </c>
      <c r="AU65" s="42" t="s">
        <v>523</v>
      </c>
      <c r="AV65" s="42" t="s">
        <v>523</v>
      </c>
      <c r="AW65" s="42" t="s">
        <v>523</v>
      </c>
    </row>
    <row r="66" spans="1:173" ht="64">
      <c r="A66" s="41" t="s">
        <v>657</v>
      </c>
      <c r="B66" s="43">
        <v>10.9</v>
      </c>
      <c r="AP66" s="42" t="s">
        <v>523</v>
      </c>
      <c r="AQ66" s="42" t="s">
        <v>523</v>
      </c>
      <c r="AR66" s="42" t="s">
        <v>523</v>
      </c>
      <c r="AS66" s="42" t="s">
        <v>523</v>
      </c>
      <c r="AT66" s="42" t="s">
        <v>523</v>
      </c>
      <c r="AU66" s="42" t="s">
        <v>523</v>
      </c>
      <c r="AV66" s="42" t="s">
        <v>523</v>
      </c>
      <c r="AW66" s="42" t="s">
        <v>523</v>
      </c>
      <c r="CG66" s="42" t="s">
        <v>523</v>
      </c>
      <c r="CH66" s="42" t="s">
        <v>523</v>
      </c>
      <c r="CI66" s="42" t="s">
        <v>523</v>
      </c>
      <c r="CJ66" s="42" t="s">
        <v>523</v>
      </c>
      <c r="CK66" s="42" t="s">
        <v>523</v>
      </c>
      <c r="CL66" s="42" t="s">
        <v>523</v>
      </c>
      <c r="CM66" s="42" t="s">
        <v>523</v>
      </c>
      <c r="CN66" s="42" t="s">
        <v>523</v>
      </c>
      <c r="CO66" s="42" t="s">
        <v>523</v>
      </c>
      <c r="CP66" s="42" t="s">
        <v>523</v>
      </c>
      <c r="CQ66" s="42" t="s">
        <v>523</v>
      </c>
      <c r="CR66" s="42" t="s">
        <v>523</v>
      </c>
    </row>
    <row r="67" spans="1:173" ht="64">
      <c r="A67" s="41" t="s">
        <v>658</v>
      </c>
      <c r="B67" s="43">
        <v>11.1</v>
      </c>
      <c r="DK67" s="42" t="s">
        <v>523</v>
      </c>
      <c r="DL67" s="42" t="s">
        <v>523</v>
      </c>
      <c r="DM67" s="42" t="s">
        <v>523</v>
      </c>
      <c r="DN67" s="42" t="s">
        <v>523</v>
      </c>
      <c r="DO67" s="42" t="s">
        <v>523</v>
      </c>
      <c r="DP67" s="42" t="s">
        <v>523</v>
      </c>
      <c r="DQ67" s="42" t="s">
        <v>523</v>
      </c>
      <c r="DR67" s="42" t="s">
        <v>523</v>
      </c>
      <c r="DS67" s="42" t="s">
        <v>523</v>
      </c>
      <c r="DT67" s="42" t="s">
        <v>523</v>
      </c>
    </row>
    <row r="68" spans="1:173" ht="80">
      <c r="A68" s="41" t="s">
        <v>659</v>
      </c>
      <c r="B68" s="43">
        <v>11.2</v>
      </c>
      <c r="U68" s="42" t="s">
        <v>523</v>
      </c>
      <c r="V68" s="42" t="s">
        <v>523</v>
      </c>
      <c r="W68" s="42" t="s">
        <v>523</v>
      </c>
      <c r="X68" s="42" t="s">
        <v>523</v>
      </c>
      <c r="Y68" s="42" t="s">
        <v>523</v>
      </c>
      <c r="Z68" s="42" t="s">
        <v>523</v>
      </c>
      <c r="AA68" s="42" t="s">
        <v>523</v>
      </c>
    </row>
    <row r="69" spans="1:173" ht="16">
      <c r="A69" s="41" t="s">
        <v>660</v>
      </c>
      <c r="B69" s="43">
        <v>11.3</v>
      </c>
      <c r="FJ69" s="42" t="s">
        <v>523</v>
      </c>
      <c r="FK69" s="42" t="s">
        <v>523</v>
      </c>
      <c r="FL69" s="42" t="s">
        <v>523</v>
      </c>
      <c r="FM69" s="42" t="s">
        <v>523</v>
      </c>
      <c r="FN69" s="42" t="s">
        <v>523</v>
      </c>
      <c r="FO69" s="42" t="s">
        <v>523</v>
      </c>
      <c r="FP69" s="42" t="s">
        <v>523</v>
      </c>
      <c r="FQ69" s="42" t="s">
        <v>523</v>
      </c>
    </row>
    <row r="70" spans="1:173" ht="96">
      <c r="A70" s="41" t="s">
        <v>661</v>
      </c>
      <c r="B70" s="43">
        <v>11.4</v>
      </c>
      <c r="CG70" s="42" t="s">
        <v>523</v>
      </c>
      <c r="CH70" s="42" t="s">
        <v>523</v>
      </c>
      <c r="CI70" s="42" t="s">
        <v>523</v>
      </c>
      <c r="CJ70" s="42" t="s">
        <v>523</v>
      </c>
      <c r="CK70" s="42" t="s">
        <v>523</v>
      </c>
      <c r="CL70" s="42" t="s">
        <v>523</v>
      </c>
      <c r="CM70" s="42" t="s">
        <v>523</v>
      </c>
      <c r="CN70" s="42" t="s">
        <v>523</v>
      </c>
      <c r="CO70" s="42" t="s">
        <v>523</v>
      </c>
      <c r="CP70" s="42" t="s">
        <v>523</v>
      </c>
      <c r="CQ70" s="42" t="s">
        <v>523</v>
      </c>
      <c r="CR70" s="42" t="s">
        <v>523</v>
      </c>
    </row>
    <row r="71" spans="1:173" ht="96">
      <c r="A71" s="41" t="s">
        <v>662</v>
      </c>
      <c r="B71" s="43">
        <v>11.5</v>
      </c>
      <c r="AK71" s="42" t="s">
        <v>523</v>
      </c>
      <c r="AL71" s="42" t="s">
        <v>523</v>
      </c>
      <c r="AM71" s="42" t="s">
        <v>523</v>
      </c>
      <c r="AN71" s="42" t="s">
        <v>523</v>
      </c>
      <c r="AO71" s="42" t="s">
        <v>523</v>
      </c>
      <c r="AX71" s="42" t="s">
        <v>523</v>
      </c>
      <c r="AY71" s="42" t="s">
        <v>523</v>
      </c>
      <c r="AZ71" s="42" t="s">
        <v>523</v>
      </c>
      <c r="BA71" s="42" t="s">
        <v>523</v>
      </c>
      <c r="BB71" s="42" t="s">
        <v>523</v>
      </c>
      <c r="BC71" s="42" t="s">
        <v>523</v>
      </c>
      <c r="BD71" s="42" t="s">
        <v>523</v>
      </c>
      <c r="BE71" s="42" t="s">
        <v>523</v>
      </c>
      <c r="BF71" s="42" t="s">
        <v>523</v>
      </c>
      <c r="BG71" s="42" t="s">
        <v>523</v>
      </c>
    </row>
    <row r="72" spans="1:173" ht="48">
      <c r="A72" s="41" t="s">
        <v>663</v>
      </c>
      <c r="B72" s="43">
        <v>11.6</v>
      </c>
    </row>
    <row r="73" spans="1:173" ht="32">
      <c r="A73" s="41" t="s">
        <v>664</v>
      </c>
      <c r="B73" s="43">
        <v>12.1</v>
      </c>
    </row>
    <row r="74" spans="1:173" ht="16">
      <c r="A74" s="41" t="s">
        <v>665</v>
      </c>
      <c r="B74" s="43">
        <v>12.2</v>
      </c>
    </row>
    <row r="75" spans="1:173" ht="32">
      <c r="A75" s="41" t="s">
        <v>666</v>
      </c>
      <c r="B75" s="43">
        <v>12.3</v>
      </c>
    </row>
    <row r="76" spans="1:173" ht="48">
      <c r="A76" s="41" t="s">
        <v>667</v>
      </c>
      <c r="B76" s="43">
        <v>12.4</v>
      </c>
    </row>
    <row r="77" spans="1:173" ht="32">
      <c r="A77" s="41" t="s">
        <v>668</v>
      </c>
      <c r="B77" s="43">
        <v>12.5</v>
      </c>
    </row>
    <row r="78" spans="1:173" ht="48">
      <c r="A78" s="41" t="s">
        <v>669</v>
      </c>
      <c r="B78" s="43">
        <v>12.6</v>
      </c>
      <c r="EH78" s="42" t="s">
        <v>523</v>
      </c>
      <c r="EI78" s="42" t="s">
        <v>523</v>
      </c>
      <c r="EJ78" s="42" t="s">
        <v>523</v>
      </c>
      <c r="EK78" s="42" t="s">
        <v>523</v>
      </c>
      <c r="EL78" s="42" t="s">
        <v>523</v>
      </c>
      <c r="EM78" s="42" t="s">
        <v>523</v>
      </c>
      <c r="EN78" s="42" t="s">
        <v>523</v>
      </c>
      <c r="EO78" s="42" t="s">
        <v>523</v>
      </c>
      <c r="EP78" s="42" t="s">
        <v>523</v>
      </c>
    </row>
    <row r="79" spans="1:173" ht="80">
      <c r="A79" s="41" t="s">
        <v>670</v>
      </c>
      <c r="B79" s="43">
        <v>12.7</v>
      </c>
    </row>
    <row r="80" spans="1:173" ht="64">
      <c r="A80" s="41" t="s">
        <v>671</v>
      </c>
      <c r="B80" s="43">
        <v>12.8</v>
      </c>
    </row>
    <row r="81" spans="1:165" ht="96">
      <c r="A81" s="41" t="s">
        <v>672</v>
      </c>
      <c r="B81" s="43">
        <v>12.9</v>
      </c>
    </row>
    <row r="82" spans="1:165" ht="32">
      <c r="A82" s="41" t="s">
        <v>673</v>
      </c>
      <c r="B82" s="44" t="s">
        <v>283</v>
      </c>
      <c r="FB82" s="42" t="s">
        <v>523</v>
      </c>
      <c r="FC82" s="42" t="s">
        <v>523</v>
      </c>
      <c r="FD82" s="42" t="s">
        <v>523</v>
      </c>
      <c r="FE82" s="42" t="s">
        <v>523</v>
      </c>
      <c r="FF82" s="42" t="s">
        <v>523</v>
      </c>
      <c r="FG82" s="42" t="s">
        <v>523</v>
      </c>
      <c r="FH82" s="42" t="s">
        <v>523</v>
      </c>
      <c r="FI82" s="42" t="s">
        <v>523</v>
      </c>
    </row>
    <row r="83" spans="1:165" ht="48">
      <c r="A83" s="41" t="s">
        <v>674</v>
      </c>
      <c r="B83" s="43">
        <v>12.11</v>
      </c>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0EC6-711A-934F-BE6B-F8BF1D5E241E}">
  <sheetPr>
    <pageSetUpPr fitToPage="1"/>
  </sheetPr>
  <dimension ref="A2:O129"/>
  <sheetViews>
    <sheetView topLeftCell="B1" zoomScale="80" zoomScaleNormal="80" workbookViewId="0">
      <selection activeCell="I6" sqref="I6"/>
    </sheetView>
  </sheetViews>
  <sheetFormatPr baseColWidth="10" defaultColWidth="11" defaultRowHeight="16"/>
  <cols>
    <col min="1" max="1" width="15.33203125" style="1" hidden="1" customWidth="1"/>
    <col min="2" max="2" width="37.5" style="3" customWidth="1"/>
    <col min="3" max="3" width="10.5" style="1" customWidth="1"/>
    <col min="4" max="4" width="79.83203125" style="4" customWidth="1"/>
    <col min="5" max="5" width="13" style="1" hidden="1" customWidth="1"/>
    <col min="6" max="6" width="14.5" style="1" hidden="1" customWidth="1"/>
    <col min="7" max="7" width="13" style="1" hidden="1" customWidth="1"/>
    <col min="8" max="8" width="22" style="1" customWidth="1"/>
    <col min="9" max="9" width="62" style="1" customWidth="1"/>
    <col min="10" max="10" width="82.33203125" style="1" customWidth="1"/>
    <col min="11" max="11" width="14.33203125" style="1" customWidth="1"/>
    <col min="12" max="12" width="38.33203125" style="1" hidden="1" customWidth="1"/>
    <col min="13" max="13" width="38.33203125" style="3" hidden="1" customWidth="1"/>
    <col min="14" max="14" width="38.1640625" style="3" hidden="1" customWidth="1"/>
    <col min="15" max="15" width="38.1640625" style="2" hidden="1" customWidth="1"/>
  </cols>
  <sheetData>
    <row r="2" spans="1:15" ht="20">
      <c r="A2" s="11" t="s">
        <v>3</v>
      </c>
      <c r="B2" s="12" t="s">
        <v>42</v>
      </c>
      <c r="C2" s="11" t="s">
        <v>5</v>
      </c>
      <c r="D2" s="12" t="s">
        <v>211</v>
      </c>
      <c r="E2" s="11" t="s">
        <v>6</v>
      </c>
      <c r="F2" s="11" t="s">
        <v>7</v>
      </c>
      <c r="G2" s="11" t="s">
        <v>8</v>
      </c>
      <c r="H2" s="11" t="s">
        <v>209</v>
      </c>
      <c r="I2" s="11" t="s">
        <v>1252</v>
      </c>
      <c r="J2" s="11" t="s">
        <v>4</v>
      </c>
      <c r="K2" s="11" t="s">
        <v>1238</v>
      </c>
      <c r="L2" s="15" t="s">
        <v>216</v>
      </c>
      <c r="M2" s="33" t="s">
        <v>210</v>
      </c>
      <c r="N2" s="63" t="s">
        <v>215</v>
      </c>
      <c r="O2" s="17" t="s">
        <v>217</v>
      </c>
    </row>
    <row r="3" spans="1:15" ht="119">
      <c r="A3" s="5" t="s">
        <v>100</v>
      </c>
      <c r="B3" s="6" t="s">
        <v>43</v>
      </c>
      <c r="C3" s="5">
        <v>1.1000000000000001</v>
      </c>
      <c r="D3" s="7" t="s">
        <v>1258</v>
      </c>
      <c r="E3" s="5" t="s">
        <v>9</v>
      </c>
      <c r="F3" s="5" t="s">
        <v>9</v>
      </c>
      <c r="G3" s="5" t="s">
        <v>9</v>
      </c>
      <c r="H3" s="6" t="s">
        <v>212</v>
      </c>
      <c r="I3" s="6" t="s">
        <v>1219</v>
      </c>
      <c r="J3" s="59" t="s">
        <v>1211</v>
      </c>
      <c r="K3" s="6">
        <v>2.4</v>
      </c>
      <c r="L3" s="16"/>
      <c r="M3" s="34" t="s">
        <v>1255</v>
      </c>
      <c r="N3" s="64" t="s">
        <v>1254</v>
      </c>
      <c r="O3" s="18"/>
    </row>
    <row r="4" spans="1:15" ht="119">
      <c r="A4" s="5" t="s">
        <v>100</v>
      </c>
      <c r="B4" s="6" t="s">
        <v>43</v>
      </c>
      <c r="C4" s="8" t="s">
        <v>17</v>
      </c>
      <c r="D4" s="7" t="s">
        <v>10</v>
      </c>
      <c r="E4" s="5" t="s">
        <v>9</v>
      </c>
      <c r="F4" s="5" t="s">
        <v>9</v>
      </c>
      <c r="G4" s="5" t="s">
        <v>9</v>
      </c>
      <c r="H4" s="6" t="s">
        <v>212</v>
      </c>
      <c r="I4" s="6" t="s">
        <v>1219</v>
      </c>
      <c r="J4" s="59" t="s">
        <v>1211</v>
      </c>
      <c r="K4" s="6">
        <v>2.4</v>
      </c>
      <c r="L4" s="16"/>
      <c r="M4" s="34"/>
      <c r="N4" s="64"/>
      <c r="O4" s="18" t="s">
        <v>214</v>
      </c>
    </row>
    <row r="5" spans="1:15" ht="119">
      <c r="A5" s="5" t="s">
        <v>100</v>
      </c>
      <c r="B5" s="6" t="s">
        <v>43</v>
      </c>
      <c r="C5" s="8" t="s">
        <v>18</v>
      </c>
      <c r="D5" s="7" t="s">
        <v>11</v>
      </c>
      <c r="E5" s="5" t="s">
        <v>9</v>
      </c>
      <c r="F5" s="5" t="s">
        <v>9</v>
      </c>
      <c r="G5" s="5" t="s">
        <v>12</v>
      </c>
      <c r="H5" s="6" t="s">
        <v>212</v>
      </c>
      <c r="I5" s="6" t="s">
        <v>1219</v>
      </c>
      <c r="J5" s="59" t="s">
        <v>1211</v>
      </c>
      <c r="K5" s="6">
        <v>2.4</v>
      </c>
      <c r="L5" s="16"/>
      <c r="M5" s="34" t="s">
        <v>1257</v>
      </c>
      <c r="N5" s="64"/>
      <c r="O5" s="18" t="s">
        <v>13</v>
      </c>
    </row>
    <row r="6" spans="1:15" ht="119">
      <c r="A6" s="5" t="s">
        <v>100</v>
      </c>
      <c r="B6" s="6" t="s">
        <v>43</v>
      </c>
      <c r="C6" s="8" t="s">
        <v>19</v>
      </c>
      <c r="D6" s="7" t="s">
        <v>1256</v>
      </c>
      <c r="E6" s="5" t="s">
        <v>12</v>
      </c>
      <c r="F6" s="5" t="s">
        <v>14</v>
      </c>
      <c r="G6" s="5" t="s">
        <v>14</v>
      </c>
      <c r="H6" s="6" t="s">
        <v>212</v>
      </c>
      <c r="I6" s="6" t="s">
        <v>1219</v>
      </c>
      <c r="J6" s="59" t="s">
        <v>1211</v>
      </c>
      <c r="K6" s="6">
        <v>2.4</v>
      </c>
      <c r="L6" s="16"/>
      <c r="M6" s="34" t="s">
        <v>1255</v>
      </c>
      <c r="N6" s="64"/>
      <c r="O6" s="18"/>
    </row>
    <row r="7" spans="1:15" ht="119">
      <c r="A7" s="5" t="s">
        <v>100</v>
      </c>
      <c r="B7" s="6" t="s">
        <v>43</v>
      </c>
      <c r="C7" s="5">
        <v>1.2</v>
      </c>
      <c r="D7" s="7" t="s">
        <v>15</v>
      </c>
      <c r="E7" s="5" t="s">
        <v>12</v>
      </c>
      <c r="F7" s="5" t="s">
        <v>14</v>
      </c>
      <c r="G7" s="5" t="s">
        <v>14</v>
      </c>
      <c r="H7" s="6" t="s">
        <v>212</v>
      </c>
      <c r="I7" s="6" t="s">
        <v>1219</v>
      </c>
      <c r="J7" s="59" t="s">
        <v>1211</v>
      </c>
      <c r="K7" s="6">
        <v>2.4</v>
      </c>
      <c r="L7" s="16"/>
      <c r="M7" s="34" t="s">
        <v>679</v>
      </c>
      <c r="N7" s="64"/>
      <c r="O7" s="18"/>
    </row>
    <row r="8" spans="1:15" ht="119">
      <c r="A8" s="5" t="s">
        <v>100</v>
      </c>
      <c r="B8" s="6" t="s">
        <v>43</v>
      </c>
      <c r="C8" s="5">
        <v>1.3</v>
      </c>
      <c r="D8" s="7" t="s">
        <v>16</v>
      </c>
      <c r="E8" s="5" t="s">
        <v>12</v>
      </c>
      <c r="F8" s="5" t="s">
        <v>14</v>
      </c>
      <c r="G8" s="5" t="s">
        <v>14</v>
      </c>
      <c r="H8" s="6" t="s">
        <v>212</v>
      </c>
      <c r="I8" s="6" t="s">
        <v>1219</v>
      </c>
      <c r="J8" s="59" t="s">
        <v>1211</v>
      </c>
      <c r="K8" s="6">
        <v>2.4</v>
      </c>
      <c r="L8" s="16"/>
      <c r="M8" s="34" t="s">
        <v>677</v>
      </c>
      <c r="N8" s="64"/>
      <c r="O8" s="18"/>
    </row>
    <row r="9" spans="1:15" ht="170">
      <c r="A9" s="5" t="s">
        <v>100</v>
      </c>
      <c r="B9" s="6" t="s">
        <v>44</v>
      </c>
      <c r="C9" s="5">
        <v>2.1</v>
      </c>
      <c r="D9" s="7" t="s">
        <v>20</v>
      </c>
      <c r="E9" s="5" t="s">
        <v>9</v>
      </c>
      <c r="F9" s="5" t="s">
        <v>9</v>
      </c>
      <c r="G9" s="5" t="s">
        <v>9</v>
      </c>
      <c r="H9" s="6" t="s">
        <v>212</v>
      </c>
      <c r="I9" s="6" t="s">
        <v>1220</v>
      </c>
      <c r="J9" s="59" t="s">
        <v>1211</v>
      </c>
      <c r="K9" s="6">
        <v>2.4</v>
      </c>
      <c r="L9" s="16"/>
      <c r="M9" s="34"/>
      <c r="N9" s="64"/>
      <c r="O9" s="18"/>
    </row>
    <row r="10" spans="1:15" ht="170">
      <c r="A10" s="5" t="s">
        <v>100</v>
      </c>
      <c r="B10" s="6" t="s">
        <v>44</v>
      </c>
      <c r="C10" s="8" t="s">
        <v>22</v>
      </c>
      <c r="D10" s="7" t="s">
        <v>21</v>
      </c>
      <c r="E10" s="5" t="s">
        <v>9</v>
      </c>
      <c r="F10" s="5" t="s">
        <v>12</v>
      </c>
      <c r="G10" s="5" t="s">
        <v>14</v>
      </c>
      <c r="H10" s="6" t="s">
        <v>212</v>
      </c>
      <c r="I10" s="6" t="s">
        <v>1220</v>
      </c>
      <c r="J10" s="59" t="s">
        <v>1211</v>
      </c>
      <c r="K10" s="6">
        <v>2.4</v>
      </c>
      <c r="L10" s="16"/>
      <c r="M10" s="34"/>
      <c r="N10" s="64"/>
      <c r="O10" s="18"/>
    </row>
    <row r="11" spans="1:15" ht="170">
      <c r="A11" s="5" t="s">
        <v>100</v>
      </c>
      <c r="B11" s="6" t="s">
        <v>44</v>
      </c>
      <c r="C11" s="8" t="s">
        <v>25</v>
      </c>
      <c r="D11" s="7" t="s">
        <v>23</v>
      </c>
      <c r="E11" s="5" t="s">
        <v>9</v>
      </c>
      <c r="F11" s="5" t="s">
        <v>12</v>
      </c>
      <c r="G11" s="5" t="s">
        <v>14</v>
      </c>
      <c r="H11" s="6" t="s">
        <v>212</v>
      </c>
      <c r="I11" s="6" t="s">
        <v>1220</v>
      </c>
      <c r="J11" s="59" t="s">
        <v>1211</v>
      </c>
      <c r="K11" s="6">
        <v>2.4</v>
      </c>
      <c r="L11" s="16"/>
      <c r="M11" s="34"/>
      <c r="N11" s="64"/>
      <c r="O11" s="18"/>
    </row>
    <row r="12" spans="1:15" ht="170">
      <c r="A12" s="5" t="s">
        <v>100</v>
      </c>
      <c r="B12" s="6" t="s">
        <v>44</v>
      </c>
      <c r="C12" s="8" t="s">
        <v>26</v>
      </c>
      <c r="D12" s="7" t="s">
        <v>24</v>
      </c>
      <c r="E12" s="5" t="s">
        <v>9</v>
      </c>
      <c r="F12" s="5" t="s">
        <v>12</v>
      </c>
      <c r="G12" s="5" t="s">
        <v>14</v>
      </c>
      <c r="H12" s="6" t="s">
        <v>212</v>
      </c>
      <c r="I12" s="6" t="s">
        <v>1220</v>
      </c>
      <c r="J12" s="59" t="s">
        <v>1211</v>
      </c>
      <c r="K12" s="6">
        <v>2.4</v>
      </c>
      <c r="L12" s="16"/>
      <c r="M12" s="34"/>
      <c r="N12" s="64"/>
      <c r="O12" s="18"/>
    </row>
    <row r="13" spans="1:15" ht="102">
      <c r="A13" s="5" t="s">
        <v>100</v>
      </c>
      <c r="B13" s="6" t="s">
        <v>45</v>
      </c>
      <c r="C13" s="5">
        <v>3.1</v>
      </c>
      <c r="D13" s="7" t="s">
        <v>27</v>
      </c>
      <c r="E13" s="5" t="s">
        <v>9</v>
      </c>
      <c r="F13" s="5" t="s">
        <v>9</v>
      </c>
      <c r="G13" s="5" t="s">
        <v>9</v>
      </c>
      <c r="H13" s="6" t="s">
        <v>212</v>
      </c>
      <c r="I13" s="6" t="s">
        <v>1222</v>
      </c>
      <c r="J13" s="59" t="s">
        <v>1211</v>
      </c>
      <c r="K13" s="6" t="s">
        <v>1239</v>
      </c>
      <c r="L13" s="16"/>
      <c r="M13" s="34"/>
      <c r="N13" s="64"/>
      <c r="O13" s="18"/>
    </row>
    <row r="14" spans="1:15" ht="102">
      <c r="A14" s="5" t="s">
        <v>100</v>
      </c>
      <c r="B14" s="6" t="s">
        <v>45</v>
      </c>
      <c r="C14" s="8" t="s">
        <v>30</v>
      </c>
      <c r="D14" s="7" t="s">
        <v>28</v>
      </c>
      <c r="E14" s="5" t="s">
        <v>9</v>
      </c>
      <c r="F14" s="5" t="s">
        <v>9</v>
      </c>
      <c r="G14" s="5" t="s">
        <v>12</v>
      </c>
      <c r="H14" s="6" t="s">
        <v>212</v>
      </c>
      <c r="I14" s="6" t="s">
        <v>1222</v>
      </c>
      <c r="J14" s="59" t="s">
        <v>1211</v>
      </c>
      <c r="K14" s="6" t="s">
        <v>1239</v>
      </c>
      <c r="L14" s="16"/>
      <c r="M14" s="34"/>
      <c r="N14" s="64"/>
      <c r="O14" s="18"/>
    </row>
    <row r="15" spans="1:15" ht="102">
      <c r="A15" s="5" t="s">
        <v>100</v>
      </c>
      <c r="B15" s="6" t="s">
        <v>45</v>
      </c>
      <c r="C15" s="8" t="s">
        <v>31</v>
      </c>
      <c r="D15" s="7" t="s">
        <v>29</v>
      </c>
      <c r="E15" s="5" t="s">
        <v>9</v>
      </c>
      <c r="F15" s="5" t="s">
        <v>9</v>
      </c>
      <c r="G15" s="5" t="s">
        <v>12</v>
      </c>
      <c r="H15" s="6" t="s">
        <v>212</v>
      </c>
      <c r="I15" s="6" t="s">
        <v>1222</v>
      </c>
      <c r="J15" s="59" t="s">
        <v>1211</v>
      </c>
      <c r="K15" s="6" t="s">
        <v>1239</v>
      </c>
      <c r="L15" s="16"/>
      <c r="M15" s="34"/>
      <c r="N15" s="64"/>
      <c r="O15" s="18" t="s">
        <v>34</v>
      </c>
    </row>
    <row r="16" spans="1:15" ht="102">
      <c r="A16" s="5" t="s">
        <v>100</v>
      </c>
      <c r="B16" s="6" t="s">
        <v>45</v>
      </c>
      <c r="C16" s="8" t="s">
        <v>32</v>
      </c>
      <c r="D16" s="7" t="s">
        <v>33</v>
      </c>
      <c r="E16" s="5" t="s">
        <v>9</v>
      </c>
      <c r="F16" s="5" t="s">
        <v>9</v>
      </c>
      <c r="G16" s="5" t="s">
        <v>12</v>
      </c>
      <c r="H16" s="6" t="s">
        <v>212</v>
      </c>
      <c r="I16" s="6" t="s">
        <v>1222</v>
      </c>
      <c r="J16" s="59" t="s">
        <v>1211</v>
      </c>
      <c r="K16" s="6" t="s">
        <v>1239</v>
      </c>
      <c r="L16" s="16"/>
      <c r="M16" s="34"/>
      <c r="N16" s="64"/>
      <c r="O16" s="18"/>
    </row>
    <row r="17" spans="1:15" ht="102">
      <c r="A17" s="5" t="s">
        <v>100</v>
      </c>
      <c r="B17" s="6" t="s">
        <v>45</v>
      </c>
      <c r="C17" s="8" t="s">
        <v>36</v>
      </c>
      <c r="D17" s="7" t="s">
        <v>35</v>
      </c>
      <c r="E17" s="5" t="s">
        <v>9</v>
      </c>
      <c r="F17" s="5" t="s">
        <v>9</v>
      </c>
      <c r="G17" s="5" t="s">
        <v>14</v>
      </c>
      <c r="H17" s="6" t="s">
        <v>212</v>
      </c>
      <c r="I17" s="6" t="s">
        <v>1222</v>
      </c>
      <c r="J17" s="59" t="s">
        <v>1211</v>
      </c>
      <c r="K17" s="6" t="s">
        <v>1239</v>
      </c>
      <c r="L17" s="16"/>
      <c r="M17" s="34"/>
      <c r="N17" s="64"/>
      <c r="O17" s="18"/>
    </row>
    <row r="18" spans="1:15" ht="102">
      <c r="A18" s="5" t="s">
        <v>100</v>
      </c>
      <c r="B18" s="6" t="s">
        <v>45</v>
      </c>
      <c r="C18" s="5">
        <v>3.2</v>
      </c>
      <c r="D18" s="7" t="s">
        <v>37</v>
      </c>
      <c r="E18" s="5" t="s">
        <v>9</v>
      </c>
      <c r="F18" s="5" t="s">
        <v>9</v>
      </c>
      <c r="G18" s="5" t="s">
        <v>9</v>
      </c>
      <c r="H18" s="6" t="s">
        <v>212</v>
      </c>
      <c r="I18" s="6" t="s">
        <v>1222</v>
      </c>
      <c r="J18" s="59" t="s">
        <v>1211</v>
      </c>
      <c r="K18" s="6" t="s">
        <v>1239</v>
      </c>
      <c r="L18" s="16"/>
      <c r="M18" s="34"/>
      <c r="N18" s="64"/>
      <c r="O18" s="18"/>
    </row>
    <row r="19" spans="1:15" ht="102">
      <c r="A19" s="5" t="s">
        <v>100</v>
      </c>
      <c r="B19" s="6" t="s">
        <v>45</v>
      </c>
      <c r="C19" s="8" t="s">
        <v>39</v>
      </c>
      <c r="D19" s="7" t="s">
        <v>38</v>
      </c>
      <c r="E19" s="5" t="s">
        <v>9</v>
      </c>
      <c r="F19" s="5" t="s">
        <v>9</v>
      </c>
      <c r="G19" s="5" t="s">
        <v>12</v>
      </c>
      <c r="H19" s="6" t="s">
        <v>212</v>
      </c>
      <c r="I19" s="6" t="s">
        <v>1222</v>
      </c>
      <c r="J19" s="59" t="s">
        <v>1211</v>
      </c>
      <c r="K19" s="6" t="s">
        <v>1239</v>
      </c>
      <c r="L19" s="16"/>
      <c r="M19" s="34"/>
      <c r="N19" s="64"/>
      <c r="O19" s="18"/>
    </row>
    <row r="20" spans="1:15" ht="102">
      <c r="A20" s="5" t="s">
        <v>100</v>
      </c>
      <c r="B20" s="6" t="s">
        <v>45</v>
      </c>
      <c r="C20" s="8" t="s">
        <v>40</v>
      </c>
      <c r="D20" s="7" t="s">
        <v>41</v>
      </c>
      <c r="E20" s="5" t="s">
        <v>9</v>
      </c>
      <c r="F20" s="5" t="s">
        <v>12</v>
      </c>
      <c r="G20" s="5" t="s">
        <v>14</v>
      </c>
      <c r="H20" s="6" t="s">
        <v>212</v>
      </c>
      <c r="I20" s="6" t="s">
        <v>1222</v>
      </c>
      <c r="J20" s="59" t="s">
        <v>1211</v>
      </c>
      <c r="K20" s="6" t="s">
        <v>1239</v>
      </c>
      <c r="L20" s="16"/>
      <c r="M20" s="34"/>
      <c r="N20" s="64"/>
      <c r="O20" s="18"/>
    </row>
    <row r="21" spans="1:15" ht="153">
      <c r="A21" s="5" t="s">
        <v>100</v>
      </c>
      <c r="B21" s="6" t="s">
        <v>48</v>
      </c>
      <c r="C21" s="5">
        <v>4.0999999999999996</v>
      </c>
      <c r="D21" s="7" t="s">
        <v>46</v>
      </c>
      <c r="E21" s="5" t="s">
        <v>9</v>
      </c>
      <c r="F21" s="5" t="s">
        <v>9</v>
      </c>
      <c r="G21" s="5" t="s">
        <v>9</v>
      </c>
      <c r="H21" s="6" t="s">
        <v>212</v>
      </c>
      <c r="I21" s="6" t="s">
        <v>1221</v>
      </c>
      <c r="J21" s="59" t="s">
        <v>1211</v>
      </c>
      <c r="K21" s="6" t="s">
        <v>1240</v>
      </c>
      <c r="L21" s="16"/>
      <c r="M21" s="34"/>
      <c r="N21" s="64"/>
      <c r="O21" s="18"/>
    </row>
    <row r="22" spans="1:15" ht="153">
      <c r="A22" s="5" t="s">
        <v>100</v>
      </c>
      <c r="B22" s="6" t="s">
        <v>48</v>
      </c>
      <c r="C22" s="5">
        <v>4.2</v>
      </c>
      <c r="D22" s="7" t="s">
        <v>47</v>
      </c>
      <c r="E22" s="5" t="s">
        <v>9</v>
      </c>
      <c r="F22" s="5" t="s">
        <v>9</v>
      </c>
      <c r="G22" s="5" t="s">
        <v>9</v>
      </c>
      <c r="H22" s="6" t="s">
        <v>212</v>
      </c>
      <c r="I22" s="6" t="s">
        <v>1221</v>
      </c>
      <c r="J22" s="59" t="s">
        <v>1211</v>
      </c>
      <c r="K22" s="6" t="s">
        <v>1240</v>
      </c>
      <c r="L22" s="16"/>
      <c r="M22" s="34"/>
      <c r="N22" s="64"/>
      <c r="O22" s="18"/>
    </row>
    <row r="23" spans="1:15" ht="153">
      <c r="A23" s="5" t="s">
        <v>100</v>
      </c>
      <c r="B23" s="6" t="s">
        <v>48</v>
      </c>
      <c r="C23" s="8" t="s">
        <v>50</v>
      </c>
      <c r="D23" s="7" t="s">
        <v>49</v>
      </c>
      <c r="E23" s="5" t="s">
        <v>9</v>
      </c>
      <c r="F23" s="5" t="s">
        <v>9</v>
      </c>
      <c r="G23" s="5" t="s">
        <v>12</v>
      </c>
      <c r="H23" s="6" t="s">
        <v>212</v>
      </c>
      <c r="I23" s="6" t="s">
        <v>1221</v>
      </c>
      <c r="J23" s="59" t="s">
        <v>1211</v>
      </c>
      <c r="K23" s="6" t="s">
        <v>1240</v>
      </c>
      <c r="L23" s="16"/>
      <c r="M23" s="34"/>
      <c r="N23" s="64"/>
      <c r="O23" s="18"/>
    </row>
    <row r="24" spans="1:15" ht="153">
      <c r="A24" s="5" t="s">
        <v>100</v>
      </c>
      <c r="B24" s="6" t="s">
        <v>48</v>
      </c>
      <c r="C24" s="8" t="s">
        <v>52</v>
      </c>
      <c r="D24" s="7" t="s">
        <v>51</v>
      </c>
      <c r="E24" s="5" t="s">
        <v>9</v>
      </c>
      <c r="F24" s="5" t="s">
        <v>9</v>
      </c>
      <c r="G24" s="5" t="s">
        <v>12</v>
      </c>
      <c r="H24" s="6" t="s">
        <v>212</v>
      </c>
      <c r="I24" s="6" t="s">
        <v>1221</v>
      </c>
      <c r="J24" s="59" t="s">
        <v>1211</v>
      </c>
      <c r="K24" s="6" t="s">
        <v>1240</v>
      </c>
      <c r="L24" s="16"/>
      <c r="M24" s="34"/>
      <c r="N24" s="64"/>
      <c r="O24" s="18" t="s">
        <v>53</v>
      </c>
    </row>
    <row r="25" spans="1:15" ht="153">
      <c r="A25" s="5" t="s">
        <v>100</v>
      </c>
      <c r="B25" s="6" t="s">
        <v>48</v>
      </c>
      <c r="C25" s="8" t="s">
        <v>55</v>
      </c>
      <c r="D25" s="7" t="s">
        <v>58</v>
      </c>
      <c r="E25" s="5" t="s">
        <v>9</v>
      </c>
      <c r="F25" s="5" t="s">
        <v>9</v>
      </c>
      <c r="G25" s="5" t="s">
        <v>12</v>
      </c>
      <c r="H25" s="6" t="s">
        <v>212</v>
      </c>
      <c r="I25" s="6" t="s">
        <v>1221</v>
      </c>
      <c r="J25" s="59" t="s">
        <v>1211</v>
      </c>
      <c r="K25" s="6" t="s">
        <v>1240</v>
      </c>
      <c r="L25" s="16"/>
      <c r="M25" s="34"/>
      <c r="N25" s="64"/>
      <c r="O25" s="18" t="s">
        <v>54</v>
      </c>
    </row>
    <row r="26" spans="1:15" ht="153">
      <c r="A26" s="5" t="s">
        <v>100</v>
      </c>
      <c r="B26" s="6" t="s">
        <v>48</v>
      </c>
      <c r="C26" s="8" t="s">
        <v>56</v>
      </c>
      <c r="D26" s="7" t="s">
        <v>59</v>
      </c>
      <c r="E26" s="5" t="s">
        <v>9</v>
      </c>
      <c r="F26" s="5" t="s">
        <v>9</v>
      </c>
      <c r="G26" s="5" t="s">
        <v>12</v>
      </c>
      <c r="H26" s="6" t="s">
        <v>212</v>
      </c>
      <c r="I26" s="6" t="s">
        <v>1221</v>
      </c>
      <c r="J26" s="59" t="s">
        <v>1211</v>
      </c>
      <c r="K26" s="6" t="s">
        <v>1240</v>
      </c>
      <c r="L26" s="16"/>
      <c r="M26" s="34"/>
      <c r="N26" s="64"/>
      <c r="O26" s="18"/>
    </row>
    <row r="27" spans="1:15" ht="153">
      <c r="A27" s="5" t="s">
        <v>100</v>
      </c>
      <c r="B27" s="6" t="s">
        <v>48</v>
      </c>
      <c r="C27" s="8" t="s">
        <v>57</v>
      </c>
      <c r="D27" s="7" t="s">
        <v>60</v>
      </c>
      <c r="E27" s="5" t="s">
        <v>9</v>
      </c>
      <c r="F27" s="5" t="s">
        <v>12</v>
      </c>
      <c r="G27" s="5" t="s">
        <v>14</v>
      </c>
      <c r="H27" s="6" t="s">
        <v>212</v>
      </c>
      <c r="I27" s="6" t="s">
        <v>1221</v>
      </c>
      <c r="J27" s="59" t="s">
        <v>1211</v>
      </c>
      <c r="K27" s="6" t="s">
        <v>1240</v>
      </c>
      <c r="L27" s="16"/>
      <c r="M27" s="34"/>
      <c r="N27" s="64"/>
      <c r="O27" s="18"/>
    </row>
    <row r="28" spans="1:15" ht="153">
      <c r="A28" s="5" t="s">
        <v>100</v>
      </c>
      <c r="B28" s="6" t="s">
        <v>48</v>
      </c>
      <c r="C28" s="5">
        <v>4.3</v>
      </c>
      <c r="D28" s="7" t="s">
        <v>61</v>
      </c>
      <c r="E28" s="5" t="s">
        <v>9</v>
      </c>
      <c r="F28" s="5" t="s">
        <v>12</v>
      </c>
      <c r="G28" s="5" t="s">
        <v>14</v>
      </c>
      <c r="H28" s="6" t="s">
        <v>212</v>
      </c>
      <c r="I28" s="6" t="s">
        <v>1221</v>
      </c>
      <c r="J28" s="59" t="s">
        <v>1211</v>
      </c>
      <c r="K28" s="6" t="s">
        <v>1240</v>
      </c>
      <c r="L28" s="16"/>
      <c r="M28" s="34"/>
      <c r="N28" s="64"/>
      <c r="O28" s="18"/>
    </row>
    <row r="29" spans="1:15" ht="153">
      <c r="A29" s="5" t="s">
        <v>100</v>
      </c>
      <c r="B29" s="6" t="s">
        <v>48</v>
      </c>
      <c r="C29" s="5">
        <v>4.4000000000000004</v>
      </c>
      <c r="D29" s="7" t="s">
        <v>62</v>
      </c>
      <c r="E29" s="5" t="s">
        <v>9</v>
      </c>
      <c r="F29" s="5" t="s">
        <v>12</v>
      </c>
      <c r="G29" s="5" t="s">
        <v>14</v>
      </c>
      <c r="H29" s="6" t="s">
        <v>212</v>
      </c>
      <c r="I29" s="6" t="s">
        <v>1221</v>
      </c>
      <c r="J29" s="59" t="s">
        <v>1211</v>
      </c>
      <c r="K29" s="6" t="s">
        <v>1240</v>
      </c>
      <c r="L29" s="16"/>
      <c r="M29" s="34"/>
      <c r="N29" s="64"/>
      <c r="O29" s="18"/>
    </row>
    <row r="30" spans="1:15" ht="272">
      <c r="A30" s="5" t="s">
        <v>100</v>
      </c>
      <c r="B30" s="6" t="s">
        <v>63</v>
      </c>
      <c r="C30" s="5">
        <v>5.0999999999999996</v>
      </c>
      <c r="D30" s="7" t="s">
        <v>67</v>
      </c>
      <c r="E30" s="5" t="s">
        <v>9</v>
      </c>
      <c r="F30" s="5" t="s">
        <v>9</v>
      </c>
      <c r="G30" s="5" t="s">
        <v>9</v>
      </c>
      <c r="H30" s="6" t="s">
        <v>212</v>
      </c>
      <c r="I30" s="6" t="s">
        <v>1223</v>
      </c>
      <c r="J30" s="59" t="s">
        <v>1211</v>
      </c>
      <c r="K30" s="6" t="s">
        <v>1241</v>
      </c>
      <c r="L30" s="16"/>
      <c r="M30" s="34"/>
      <c r="N30" s="64"/>
      <c r="O30" s="18"/>
    </row>
    <row r="31" spans="1:15" ht="272">
      <c r="A31" s="5" t="s">
        <v>100</v>
      </c>
      <c r="B31" s="6" t="s">
        <v>63</v>
      </c>
      <c r="C31" s="5">
        <v>5.2</v>
      </c>
      <c r="D31" s="7" t="s">
        <v>68</v>
      </c>
      <c r="E31" s="5" t="s">
        <v>9</v>
      </c>
      <c r="F31" s="5" t="s">
        <v>12</v>
      </c>
      <c r="G31" s="5" t="s">
        <v>14</v>
      </c>
      <c r="H31" s="6" t="s">
        <v>212</v>
      </c>
      <c r="I31" s="6" t="s">
        <v>1223</v>
      </c>
      <c r="J31" s="59" t="s">
        <v>1211</v>
      </c>
      <c r="K31" s="6" t="s">
        <v>1241</v>
      </c>
      <c r="L31" s="16"/>
      <c r="M31" s="34"/>
      <c r="N31" s="64"/>
      <c r="O31" s="18"/>
    </row>
    <row r="32" spans="1:15" ht="272">
      <c r="A32" s="5" t="s">
        <v>100</v>
      </c>
      <c r="B32" s="6" t="s">
        <v>63</v>
      </c>
      <c r="C32" s="8" t="s">
        <v>64</v>
      </c>
      <c r="D32" s="7" t="s">
        <v>69</v>
      </c>
      <c r="E32" s="5" t="s">
        <v>9</v>
      </c>
      <c r="F32" s="5" t="s">
        <v>12</v>
      </c>
      <c r="G32" s="5" t="s">
        <v>14</v>
      </c>
      <c r="H32" s="6" t="s">
        <v>212</v>
      </c>
      <c r="I32" s="6" t="s">
        <v>1223</v>
      </c>
      <c r="J32" s="59" t="s">
        <v>1211</v>
      </c>
      <c r="K32" s="6" t="s">
        <v>1241</v>
      </c>
      <c r="L32" s="16"/>
      <c r="M32" s="34"/>
      <c r="N32" s="64"/>
      <c r="O32" s="18"/>
    </row>
    <row r="33" spans="1:15" ht="272">
      <c r="A33" s="5" t="s">
        <v>100</v>
      </c>
      <c r="B33" s="6" t="s">
        <v>63</v>
      </c>
      <c r="C33" s="8" t="s">
        <v>65</v>
      </c>
      <c r="D33" s="7" t="s">
        <v>70</v>
      </c>
      <c r="E33" s="5" t="s">
        <v>9</v>
      </c>
      <c r="F33" s="5" t="s">
        <v>12</v>
      </c>
      <c r="G33" s="5" t="s">
        <v>14</v>
      </c>
      <c r="H33" s="6" t="s">
        <v>212</v>
      </c>
      <c r="I33" s="6" t="s">
        <v>1223</v>
      </c>
      <c r="J33" s="59" t="s">
        <v>1211</v>
      </c>
      <c r="K33" s="6" t="s">
        <v>1241</v>
      </c>
      <c r="L33" s="16"/>
      <c r="M33" s="34"/>
      <c r="N33" s="64"/>
      <c r="O33" s="18"/>
    </row>
    <row r="34" spans="1:15" ht="272">
      <c r="A34" s="5" t="s">
        <v>100</v>
      </c>
      <c r="B34" s="6" t="s">
        <v>63</v>
      </c>
      <c r="C34" s="8" t="s">
        <v>66</v>
      </c>
      <c r="D34" s="7" t="s">
        <v>71</v>
      </c>
      <c r="E34" s="5" t="s">
        <v>9</v>
      </c>
      <c r="F34" s="5" t="s">
        <v>12</v>
      </c>
      <c r="G34" s="5" t="s">
        <v>14</v>
      </c>
      <c r="H34" s="6" t="s">
        <v>212</v>
      </c>
      <c r="I34" s="6" t="s">
        <v>1223</v>
      </c>
      <c r="J34" s="59" t="s">
        <v>1211</v>
      </c>
      <c r="K34" s="6" t="s">
        <v>1241</v>
      </c>
      <c r="L34" s="16"/>
      <c r="M34" s="34"/>
      <c r="N34" s="64"/>
      <c r="O34" s="18"/>
    </row>
    <row r="35" spans="1:15" ht="272">
      <c r="A35" s="5" t="s">
        <v>100</v>
      </c>
      <c r="B35" s="6" t="s">
        <v>63</v>
      </c>
      <c r="C35" s="5">
        <v>5.3</v>
      </c>
      <c r="D35" s="7" t="s">
        <v>72</v>
      </c>
      <c r="E35" s="5" t="s">
        <v>9</v>
      </c>
      <c r="F35" s="5" t="s">
        <v>9</v>
      </c>
      <c r="G35" s="5" t="s">
        <v>9</v>
      </c>
      <c r="H35" s="6" t="s">
        <v>212</v>
      </c>
      <c r="I35" s="6" t="s">
        <v>1223</v>
      </c>
      <c r="J35" s="59" t="s">
        <v>1211</v>
      </c>
      <c r="K35" s="6" t="s">
        <v>1241</v>
      </c>
      <c r="L35" s="16"/>
      <c r="M35" s="34"/>
      <c r="N35" s="64"/>
      <c r="O35" s="18"/>
    </row>
    <row r="36" spans="1:15" ht="289">
      <c r="A36" s="5" t="s">
        <v>100</v>
      </c>
      <c r="B36" s="6" t="s">
        <v>73</v>
      </c>
      <c r="C36" s="5">
        <v>6.1</v>
      </c>
      <c r="D36" s="7" t="s">
        <v>78</v>
      </c>
      <c r="E36" s="5" t="s">
        <v>9</v>
      </c>
      <c r="F36" s="5" t="s">
        <v>9</v>
      </c>
      <c r="G36" s="5" t="s">
        <v>9</v>
      </c>
      <c r="H36" s="6" t="s">
        <v>212</v>
      </c>
      <c r="I36" s="6" t="s">
        <v>1224</v>
      </c>
      <c r="J36" s="59" t="s">
        <v>1212</v>
      </c>
      <c r="K36" s="6" t="s">
        <v>1242</v>
      </c>
      <c r="L36" s="16"/>
      <c r="M36" s="34"/>
      <c r="N36" s="64"/>
      <c r="O36" s="18"/>
    </row>
    <row r="37" spans="1:15" ht="289">
      <c r="A37" s="5" t="s">
        <v>100</v>
      </c>
      <c r="B37" s="6" t="s">
        <v>73</v>
      </c>
      <c r="C37" s="8" t="s">
        <v>74</v>
      </c>
      <c r="D37" s="7" t="s">
        <v>79</v>
      </c>
      <c r="E37" s="5" t="s">
        <v>9</v>
      </c>
      <c r="F37" s="5" t="s">
        <v>9</v>
      </c>
      <c r="G37" s="5" t="s">
        <v>12</v>
      </c>
      <c r="H37" s="6" t="s">
        <v>212</v>
      </c>
      <c r="I37" s="6" t="s">
        <v>1224</v>
      </c>
      <c r="J37" s="59" t="s">
        <v>1212</v>
      </c>
      <c r="K37" s="6" t="s">
        <v>1242</v>
      </c>
      <c r="L37" s="16"/>
      <c r="M37" s="34"/>
      <c r="N37" s="64"/>
      <c r="O37" s="18"/>
    </row>
    <row r="38" spans="1:15" ht="289">
      <c r="A38" s="5" t="s">
        <v>100</v>
      </c>
      <c r="B38" s="6" t="s">
        <v>73</v>
      </c>
      <c r="C38" s="8" t="s">
        <v>75</v>
      </c>
      <c r="D38" s="7" t="s">
        <v>80</v>
      </c>
      <c r="E38" s="5" t="s">
        <v>9</v>
      </c>
      <c r="F38" s="5" t="s">
        <v>9</v>
      </c>
      <c r="G38" s="5" t="s">
        <v>12</v>
      </c>
      <c r="H38" s="6" t="s">
        <v>212</v>
      </c>
      <c r="I38" s="6" t="s">
        <v>1224</v>
      </c>
      <c r="J38" s="59" t="s">
        <v>1212</v>
      </c>
      <c r="K38" s="6" t="s">
        <v>1242</v>
      </c>
      <c r="L38" s="16"/>
      <c r="M38" s="34"/>
      <c r="N38" s="64"/>
      <c r="O38" s="18"/>
    </row>
    <row r="39" spans="1:15" ht="289">
      <c r="A39" s="5" t="s">
        <v>100</v>
      </c>
      <c r="B39" s="6" t="s">
        <v>73</v>
      </c>
      <c r="C39" s="8" t="s">
        <v>76</v>
      </c>
      <c r="D39" s="7" t="s">
        <v>81</v>
      </c>
      <c r="E39" s="5" t="s">
        <v>9</v>
      </c>
      <c r="F39" s="5" t="s">
        <v>9</v>
      </c>
      <c r="G39" s="5" t="s">
        <v>12</v>
      </c>
      <c r="H39" s="6" t="s">
        <v>212</v>
      </c>
      <c r="I39" s="6" t="s">
        <v>1224</v>
      </c>
      <c r="J39" s="59" t="s">
        <v>1212</v>
      </c>
      <c r="K39" s="6" t="s">
        <v>1242</v>
      </c>
      <c r="L39" s="16"/>
      <c r="M39" s="34"/>
      <c r="N39" s="64"/>
      <c r="O39" s="18"/>
    </row>
    <row r="40" spans="1:15" ht="289">
      <c r="A40" s="5" t="s">
        <v>100</v>
      </c>
      <c r="B40" s="6" t="s">
        <v>73</v>
      </c>
      <c r="C40" s="8" t="s">
        <v>77</v>
      </c>
      <c r="D40" s="7" t="s">
        <v>82</v>
      </c>
      <c r="E40" s="5" t="s">
        <v>9</v>
      </c>
      <c r="F40" s="5" t="s">
        <v>9</v>
      </c>
      <c r="G40" s="5" t="s">
        <v>12</v>
      </c>
      <c r="H40" s="6" t="s">
        <v>212</v>
      </c>
      <c r="I40" s="6" t="s">
        <v>1224</v>
      </c>
      <c r="J40" s="59" t="s">
        <v>1212</v>
      </c>
      <c r="K40" s="6" t="s">
        <v>1242</v>
      </c>
      <c r="L40" s="16"/>
      <c r="M40" s="34"/>
      <c r="N40" s="64"/>
      <c r="O40" s="18"/>
    </row>
    <row r="41" spans="1:15" ht="272">
      <c r="A41" s="5" t="s">
        <v>101</v>
      </c>
      <c r="B41" s="6" t="s">
        <v>83</v>
      </c>
      <c r="C41" s="5">
        <v>7.1</v>
      </c>
      <c r="D41" s="7" t="s">
        <v>84</v>
      </c>
      <c r="E41" s="5" t="s">
        <v>9</v>
      </c>
      <c r="F41" s="5" t="s">
        <v>9</v>
      </c>
      <c r="G41" s="5" t="s">
        <v>9</v>
      </c>
      <c r="H41" s="6" t="s">
        <v>212</v>
      </c>
      <c r="I41" s="6" t="s">
        <v>1223</v>
      </c>
      <c r="J41" s="59" t="s">
        <v>1211</v>
      </c>
      <c r="K41" s="6" t="s">
        <v>1241</v>
      </c>
      <c r="L41" s="16"/>
      <c r="M41" s="34"/>
      <c r="N41" s="64"/>
      <c r="O41" s="18"/>
    </row>
    <row r="42" spans="1:15" ht="272">
      <c r="A42" s="5" t="s">
        <v>101</v>
      </c>
      <c r="B42" s="6" t="s">
        <v>83</v>
      </c>
      <c r="C42" s="5">
        <v>7.2</v>
      </c>
      <c r="D42" s="7" t="s">
        <v>85</v>
      </c>
      <c r="E42" s="5" t="s">
        <v>12</v>
      </c>
      <c r="F42" s="5" t="s">
        <v>12</v>
      </c>
      <c r="G42" s="5" t="s">
        <v>14</v>
      </c>
      <c r="H42" s="6" t="s">
        <v>212</v>
      </c>
      <c r="I42" s="6" t="s">
        <v>1223</v>
      </c>
      <c r="J42" s="59" t="s">
        <v>1211</v>
      </c>
      <c r="K42" s="6" t="s">
        <v>1241</v>
      </c>
      <c r="L42" s="16"/>
      <c r="M42" s="34"/>
      <c r="N42" s="64"/>
      <c r="O42" s="18"/>
    </row>
    <row r="43" spans="1:15" ht="272">
      <c r="A43" s="5" t="s">
        <v>101</v>
      </c>
      <c r="B43" s="6" t="s">
        <v>83</v>
      </c>
      <c r="C43" s="5">
        <v>7.3</v>
      </c>
      <c r="D43" s="7" t="s">
        <v>86</v>
      </c>
      <c r="E43" s="5" t="s">
        <v>9</v>
      </c>
      <c r="F43" s="5" t="s">
        <v>9</v>
      </c>
      <c r="G43" s="5" t="s">
        <v>9</v>
      </c>
      <c r="H43" s="6" t="s">
        <v>212</v>
      </c>
      <c r="I43" s="6" t="s">
        <v>1223</v>
      </c>
      <c r="J43" s="59" t="s">
        <v>1211</v>
      </c>
      <c r="K43" s="6" t="s">
        <v>1241</v>
      </c>
      <c r="L43" s="16"/>
      <c r="M43" s="34"/>
      <c r="N43" s="64"/>
      <c r="O43" s="18"/>
    </row>
    <row r="44" spans="1:15" ht="272">
      <c r="A44" s="5" t="s">
        <v>101</v>
      </c>
      <c r="B44" s="6" t="s">
        <v>83</v>
      </c>
      <c r="C44" s="5">
        <v>7.4</v>
      </c>
      <c r="D44" s="7" t="s">
        <v>87</v>
      </c>
      <c r="E44" s="5" t="s">
        <v>12</v>
      </c>
      <c r="F44" s="5" t="s">
        <v>12</v>
      </c>
      <c r="G44" s="5" t="s">
        <v>14</v>
      </c>
      <c r="H44" s="6" t="s">
        <v>212</v>
      </c>
      <c r="I44" s="6" t="s">
        <v>1223</v>
      </c>
      <c r="J44" s="59" t="s">
        <v>1211</v>
      </c>
      <c r="K44" s="6" t="s">
        <v>1241</v>
      </c>
      <c r="L44" s="16"/>
      <c r="M44" s="34"/>
      <c r="N44" s="64"/>
      <c r="O44" s="18"/>
    </row>
    <row r="45" spans="1:15" ht="102">
      <c r="A45" s="5" t="s">
        <v>101</v>
      </c>
      <c r="B45" s="6" t="s">
        <v>88</v>
      </c>
      <c r="C45" s="5">
        <v>8.1</v>
      </c>
      <c r="D45" s="7" t="s">
        <v>93</v>
      </c>
      <c r="E45" s="5" t="s">
        <v>9</v>
      </c>
      <c r="F45" s="5" t="s">
        <v>9</v>
      </c>
      <c r="G45" s="5" t="s">
        <v>9</v>
      </c>
      <c r="H45" s="6" t="s">
        <v>212</v>
      </c>
      <c r="I45" s="6" t="s">
        <v>1225</v>
      </c>
      <c r="J45" s="59" t="s">
        <v>1214</v>
      </c>
      <c r="K45" s="6" t="s">
        <v>1243</v>
      </c>
      <c r="L45" s="16"/>
      <c r="M45" s="34"/>
      <c r="N45" s="64" t="s">
        <v>1253</v>
      </c>
      <c r="O45" s="18"/>
    </row>
    <row r="46" spans="1:15" ht="102">
      <c r="A46" s="5" t="s">
        <v>101</v>
      </c>
      <c r="B46" s="6" t="s">
        <v>88</v>
      </c>
      <c r="C46" s="8" t="s">
        <v>89</v>
      </c>
      <c r="D46" s="7" t="s">
        <v>94</v>
      </c>
      <c r="E46" s="5" t="s">
        <v>9</v>
      </c>
      <c r="F46" s="5" t="s">
        <v>9</v>
      </c>
      <c r="G46" s="5" t="s">
        <v>12</v>
      </c>
      <c r="H46" s="6" t="s">
        <v>212</v>
      </c>
      <c r="I46" s="6" t="s">
        <v>1225</v>
      </c>
      <c r="J46" s="59" t="s">
        <v>1214</v>
      </c>
      <c r="K46" s="6" t="s">
        <v>1243</v>
      </c>
      <c r="L46" s="16"/>
      <c r="M46" s="34"/>
      <c r="N46" s="64"/>
      <c r="O46" s="18"/>
    </row>
    <row r="47" spans="1:15" ht="102">
      <c r="A47" s="5" t="s">
        <v>101</v>
      </c>
      <c r="B47" s="6" t="s">
        <v>88</v>
      </c>
      <c r="C47" s="8" t="s">
        <v>90</v>
      </c>
      <c r="D47" s="7" t="s">
        <v>95</v>
      </c>
      <c r="E47" s="5" t="s">
        <v>9</v>
      </c>
      <c r="F47" s="5" t="s">
        <v>9</v>
      </c>
      <c r="G47" s="5" t="s">
        <v>9</v>
      </c>
      <c r="H47" s="6" t="s">
        <v>212</v>
      </c>
      <c r="I47" s="6" t="s">
        <v>1225</v>
      </c>
      <c r="J47" s="59" t="s">
        <v>1214</v>
      </c>
      <c r="K47" s="6" t="s">
        <v>1243</v>
      </c>
      <c r="L47" s="16"/>
      <c r="M47" s="34"/>
      <c r="N47" s="64"/>
      <c r="O47" s="18"/>
    </row>
    <row r="48" spans="1:15" ht="102">
      <c r="A48" s="5" t="s">
        <v>101</v>
      </c>
      <c r="B48" s="6" t="s">
        <v>88</v>
      </c>
      <c r="C48" s="8" t="s">
        <v>91</v>
      </c>
      <c r="D48" s="7" t="s">
        <v>96</v>
      </c>
      <c r="E48" s="5" t="s">
        <v>9</v>
      </c>
      <c r="F48" s="5" t="s">
        <v>9</v>
      </c>
      <c r="G48" s="5" t="s">
        <v>9</v>
      </c>
      <c r="H48" s="6" t="s">
        <v>212</v>
      </c>
      <c r="I48" s="6" t="s">
        <v>1225</v>
      </c>
      <c r="J48" s="59" t="s">
        <v>1214</v>
      </c>
      <c r="K48" s="6" t="s">
        <v>1243</v>
      </c>
      <c r="L48" s="16"/>
      <c r="M48" s="34"/>
      <c r="N48" s="64"/>
      <c r="O48" s="18"/>
    </row>
    <row r="49" spans="1:15" ht="102">
      <c r="A49" s="5" t="s">
        <v>101</v>
      </c>
      <c r="B49" s="6" t="s">
        <v>88</v>
      </c>
      <c r="C49" s="8" t="s">
        <v>92</v>
      </c>
      <c r="D49" s="7" t="s">
        <v>97</v>
      </c>
      <c r="E49" s="5" t="s">
        <v>12</v>
      </c>
      <c r="F49" s="5" t="s">
        <v>12</v>
      </c>
      <c r="G49" s="5" t="s">
        <v>14</v>
      </c>
      <c r="H49" s="6" t="s">
        <v>212</v>
      </c>
      <c r="I49" s="6" t="s">
        <v>1225</v>
      </c>
      <c r="J49" s="59" t="s">
        <v>1214</v>
      </c>
      <c r="K49" s="6" t="s">
        <v>1243</v>
      </c>
      <c r="L49" s="16"/>
      <c r="M49" s="34"/>
      <c r="N49" s="64"/>
      <c r="O49" s="18"/>
    </row>
    <row r="50" spans="1:15" ht="102">
      <c r="A50" s="5" t="s">
        <v>101</v>
      </c>
      <c r="B50" s="6" t="s">
        <v>88</v>
      </c>
      <c r="C50" s="5">
        <v>8.1999999999999993</v>
      </c>
      <c r="D50" s="7" t="s">
        <v>98</v>
      </c>
      <c r="E50" s="5" t="s">
        <v>9</v>
      </c>
      <c r="F50" s="5" t="s">
        <v>9</v>
      </c>
      <c r="G50" s="5" t="s">
        <v>12</v>
      </c>
      <c r="H50" s="6" t="s">
        <v>212</v>
      </c>
      <c r="I50" s="6" t="s">
        <v>1225</v>
      </c>
      <c r="J50" s="59" t="s">
        <v>1214</v>
      </c>
      <c r="K50" s="6" t="s">
        <v>1243</v>
      </c>
      <c r="L50" s="16"/>
      <c r="M50" s="34"/>
      <c r="N50" s="64"/>
      <c r="O50" s="18"/>
    </row>
    <row r="51" spans="1:15" ht="221">
      <c r="A51" s="5" t="s">
        <v>101</v>
      </c>
      <c r="B51" s="6" t="s">
        <v>99</v>
      </c>
      <c r="C51" s="5">
        <v>9.1</v>
      </c>
      <c r="D51" s="7" t="s">
        <v>102</v>
      </c>
      <c r="E51" s="5" t="s">
        <v>9</v>
      </c>
      <c r="F51" s="5" t="s">
        <v>9</v>
      </c>
      <c r="G51" s="5" t="s">
        <v>9</v>
      </c>
      <c r="H51" s="6" t="s">
        <v>212</v>
      </c>
      <c r="I51" s="6" t="s">
        <v>1226</v>
      </c>
      <c r="J51" s="59" t="s">
        <v>1211</v>
      </c>
      <c r="K51" s="6">
        <v>1.4</v>
      </c>
      <c r="L51" s="16"/>
      <c r="M51" s="34"/>
      <c r="N51" s="64"/>
      <c r="O51" s="18"/>
    </row>
    <row r="52" spans="1:15" ht="221">
      <c r="A52" s="5" t="s">
        <v>101</v>
      </c>
      <c r="B52" s="6" t="s">
        <v>99</v>
      </c>
      <c r="C52" s="5">
        <v>9.1999999999999993</v>
      </c>
      <c r="D52" s="7" t="s">
        <v>103</v>
      </c>
      <c r="E52" s="5" t="s">
        <v>9</v>
      </c>
      <c r="F52" s="5" t="s">
        <v>9</v>
      </c>
      <c r="G52" s="5" t="s">
        <v>12</v>
      </c>
      <c r="H52" s="6" t="s">
        <v>212</v>
      </c>
      <c r="I52" s="6" t="s">
        <v>1226</v>
      </c>
      <c r="J52" s="59" t="s">
        <v>1211</v>
      </c>
      <c r="K52" s="6">
        <v>1.4</v>
      </c>
      <c r="L52" s="16"/>
      <c r="M52" s="34"/>
      <c r="N52" s="64"/>
      <c r="O52" s="18"/>
    </row>
    <row r="53" spans="1:15" ht="221">
      <c r="A53" s="5" t="s">
        <v>101</v>
      </c>
      <c r="B53" s="6" t="s">
        <v>99</v>
      </c>
      <c r="C53" s="5">
        <v>9.3000000000000007</v>
      </c>
      <c r="D53" s="7" t="s">
        <v>104</v>
      </c>
      <c r="E53" s="5" t="s">
        <v>9</v>
      </c>
      <c r="F53" s="5" t="s">
        <v>9</v>
      </c>
      <c r="G53" s="5" t="s">
        <v>12</v>
      </c>
      <c r="H53" s="6" t="s">
        <v>212</v>
      </c>
      <c r="I53" s="6" t="s">
        <v>1226</v>
      </c>
      <c r="J53" s="59" t="s">
        <v>1211</v>
      </c>
      <c r="K53" s="6">
        <v>1.4</v>
      </c>
      <c r="L53" s="16"/>
      <c r="M53" s="34"/>
      <c r="N53" s="64"/>
      <c r="O53" s="18"/>
    </row>
    <row r="54" spans="1:15" ht="221">
      <c r="A54" s="5" t="s">
        <v>101</v>
      </c>
      <c r="B54" s="6" t="s">
        <v>99</v>
      </c>
      <c r="C54" s="5">
        <v>9.4</v>
      </c>
      <c r="D54" s="7" t="s">
        <v>105</v>
      </c>
      <c r="E54" s="5" t="s">
        <v>12</v>
      </c>
      <c r="F54" s="5" t="s">
        <v>12</v>
      </c>
      <c r="G54" s="5" t="s">
        <v>14</v>
      </c>
      <c r="H54" s="6" t="s">
        <v>212</v>
      </c>
      <c r="I54" s="6" t="s">
        <v>1226</v>
      </c>
      <c r="J54" s="59" t="s">
        <v>1211</v>
      </c>
      <c r="K54" s="6">
        <v>1.4</v>
      </c>
      <c r="L54" s="16"/>
      <c r="M54" s="34"/>
      <c r="N54" s="64"/>
      <c r="O54" s="18"/>
    </row>
    <row r="55" spans="1:15" ht="85">
      <c r="A55" s="5" t="s">
        <v>101</v>
      </c>
      <c r="B55" s="6" t="s">
        <v>106</v>
      </c>
      <c r="C55" s="5">
        <v>10.1</v>
      </c>
      <c r="D55" s="7" t="s">
        <v>109</v>
      </c>
      <c r="E55" s="5" t="s">
        <v>9</v>
      </c>
      <c r="F55" s="5" t="s">
        <v>12</v>
      </c>
      <c r="G55" s="5" t="s">
        <v>14</v>
      </c>
      <c r="H55" s="6" t="s">
        <v>212</v>
      </c>
      <c r="I55" s="6" t="s">
        <v>1227</v>
      </c>
      <c r="J55" s="59" t="s">
        <v>1213</v>
      </c>
      <c r="K55" s="6" t="s">
        <v>1244</v>
      </c>
      <c r="L55" s="16"/>
      <c r="M55" s="34"/>
      <c r="N55" s="64"/>
      <c r="O55" s="18"/>
    </row>
    <row r="56" spans="1:15" ht="85">
      <c r="A56" s="5" t="s">
        <v>101</v>
      </c>
      <c r="B56" s="6" t="s">
        <v>106</v>
      </c>
      <c r="C56" s="5">
        <v>10.199999999999999</v>
      </c>
      <c r="D56" s="7" t="s">
        <v>110</v>
      </c>
      <c r="E56" s="5" t="s">
        <v>9</v>
      </c>
      <c r="F56" s="5" t="s">
        <v>12</v>
      </c>
      <c r="G56" s="5" t="s">
        <v>14</v>
      </c>
      <c r="H56" s="6" t="s">
        <v>212</v>
      </c>
      <c r="I56" s="6" t="s">
        <v>1227</v>
      </c>
      <c r="J56" s="59" t="s">
        <v>1213</v>
      </c>
      <c r="K56" s="6" t="s">
        <v>1244</v>
      </c>
      <c r="L56" s="16"/>
      <c r="M56" s="34"/>
      <c r="N56" s="64"/>
      <c r="O56" s="18"/>
    </row>
    <row r="57" spans="1:15" ht="85">
      <c r="A57" s="5" t="s">
        <v>101</v>
      </c>
      <c r="B57" s="6" t="s">
        <v>106</v>
      </c>
      <c r="C57" s="5">
        <v>10.3</v>
      </c>
      <c r="D57" s="7" t="s">
        <v>111</v>
      </c>
      <c r="E57" s="5" t="s">
        <v>9</v>
      </c>
      <c r="F57" s="5" t="s">
        <v>9</v>
      </c>
      <c r="G57" s="5" t="s">
        <v>9</v>
      </c>
      <c r="H57" s="6" t="s">
        <v>212</v>
      </c>
      <c r="I57" s="6" t="s">
        <v>1227</v>
      </c>
      <c r="J57" s="59" t="s">
        <v>1213</v>
      </c>
      <c r="K57" s="6" t="s">
        <v>1244</v>
      </c>
      <c r="L57" s="16"/>
      <c r="M57" s="34"/>
      <c r="N57" s="64"/>
      <c r="O57" s="18"/>
    </row>
    <row r="58" spans="1:15" ht="85">
      <c r="A58" s="5" t="s">
        <v>101</v>
      </c>
      <c r="B58" s="6" t="s">
        <v>106</v>
      </c>
      <c r="C58" s="8" t="s">
        <v>107</v>
      </c>
      <c r="D58" s="7" t="s">
        <v>112</v>
      </c>
      <c r="E58" s="5" t="s">
        <v>9</v>
      </c>
      <c r="F58" s="5" t="s">
        <v>9</v>
      </c>
      <c r="G58" s="5" t="s">
        <v>12</v>
      </c>
      <c r="H58" s="6" t="s">
        <v>212</v>
      </c>
      <c r="I58" s="6" t="s">
        <v>1227</v>
      </c>
      <c r="J58" s="59" t="s">
        <v>1213</v>
      </c>
      <c r="K58" s="6" t="s">
        <v>1244</v>
      </c>
      <c r="L58" s="16"/>
      <c r="M58" s="34"/>
      <c r="N58" s="64"/>
      <c r="O58" s="18"/>
    </row>
    <row r="59" spans="1:15" ht="85">
      <c r="A59" s="5" t="s">
        <v>101</v>
      </c>
      <c r="B59" s="6" t="s">
        <v>106</v>
      </c>
      <c r="C59" s="8" t="s">
        <v>108</v>
      </c>
      <c r="D59" s="7" t="s">
        <v>113</v>
      </c>
      <c r="E59" s="5" t="s">
        <v>9</v>
      </c>
      <c r="F59" s="5" t="s">
        <v>9</v>
      </c>
      <c r="G59" s="5" t="s">
        <v>9</v>
      </c>
      <c r="H59" s="6" t="s">
        <v>212</v>
      </c>
      <c r="I59" s="6" t="s">
        <v>1227</v>
      </c>
      <c r="J59" s="59" t="s">
        <v>1213</v>
      </c>
      <c r="K59" s="6" t="s">
        <v>1244</v>
      </c>
      <c r="L59" s="16"/>
      <c r="M59" s="34"/>
      <c r="N59" s="64"/>
      <c r="O59" s="18"/>
    </row>
    <row r="60" spans="1:15" ht="204">
      <c r="A60" s="5" t="s">
        <v>101</v>
      </c>
      <c r="B60" s="6" t="s">
        <v>114</v>
      </c>
      <c r="C60" s="5">
        <v>11.1</v>
      </c>
      <c r="D60" s="7" t="s">
        <v>115</v>
      </c>
      <c r="E60" s="5" t="s">
        <v>9</v>
      </c>
      <c r="F60" s="5" t="s">
        <v>9</v>
      </c>
      <c r="G60" s="5" t="s">
        <v>9</v>
      </c>
      <c r="H60" s="6" t="s">
        <v>212</v>
      </c>
      <c r="I60" s="6" t="s">
        <v>1228</v>
      </c>
      <c r="J60" s="60"/>
      <c r="K60" s="57" t="s">
        <v>1245</v>
      </c>
      <c r="L60" s="16"/>
      <c r="M60" s="34"/>
      <c r="N60" s="64"/>
      <c r="O60" s="18"/>
    </row>
    <row r="61" spans="1:15" ht="204">
      <c r="A61" s="5" t="s">
        <v>101</v>
      </c>
      <c r="B61" s="6" t="s">
        <v>114</v>
      </c>
      <c r="C61" s="8" t="s">
        <v>119</v>
      </c>
      <c r="D61" s="7" t="s">
        <v>0</v>
      </c>
      <c r="E61" s="5" t="s">
        <v>9</v>
      </c>
      <c r="F61" s="5" t="s">
        <v>9</v>
      </c>
      <c r="G61" s="5" t="s">
        <v>9</v>
      </c>
      <c r="H61" s="6" t="s">
        <v>212</v>
      </c>
      <c r="I61" s="6" t="s">
        <v>1228</v>
      </c>
      <c r="J61" s="60"/>
      <c r="K61" s="57" t="s">
        <v>1245</v>
      </c>
      <c r="L61" s="16"/>
      <c r="M61" s="34"/>
      <c r="N61" s="64"/>
      <c r="O61" s="18"/>
    </row>
    <row r="62" spans="1:15" ht="204">
      <c r="A62" s="5" t="s">
        <v>101</v>
      </c>
      <c r="B62" s="6" t="s">
        <v>114</v>
      </c>
      <c r="C62" s="5">
        <v>11.2</v>
      </c>
      <c r="D62" s="7" t="s">
        <v>116</v>
      </c>
      <c r="E62" s="5" t="s">
        <v>9</v>
      </c>
      <c r="F62" s="5" t="s">
        <v>9</v>
      </c>
      <c r="G62" s="5" t="s">
        <v>12</v>
      </c>
      <c r="H62" s="6" t="s">
        <v>212</v>
      </c>
      <c r="I62" s="6" t="s">
        <v>1228</v>
      </c>
      <c r="J62" s="60"/>
      <c r="K62" s="57" t="s">
        <v>1245</v>
      </c>
      <c r="L62" s="16"/>
      <c r="M62" s="34"/>
      <c r="N62" s="64"/>
      <c r="O62" s="18"/>
    </row>
    <row r="63" spans="1:15" ht="204">
      <c r="A63" s="5" t="s">
        <v>101</v>
      </c>
      <c r="B63" s="6" t="s">
        <v>114</v>
      </c>
      <c r="C63" s="5">
        <v>11.3</v>
      </c>
      <c r="D63" s="7" t="s">
        <v>120</v>
      </c>
      <c r="E63" s="5" t="s">
        <v>9</v>
      </c>
      <c r="F63" s="5" t="s">
        <v>9</v>
      </c>
      <c r="G63" s="5" t="s">
        <v>9</v>
      </c>
      <c r="H63" s="6" t="s">
        <v>212</v>
      </c>
      <c r="I63" s="6" t="s">
        <v>1228</v>
      </c>
      <c r="J63" s="60"/>
      <c r="K63" s="57" t="s">
        <v>1245</v>
      </c>
      <c r="L63" s="16"/>
      <c r="M63" s="34"/>
      <c r="N63" s="64"/>
      <c r="O63" s="18"/>
    </row>
    <row r="64" spans="1:15" ht="204">
      <c r="A64" s="5" t="s">
        <v>101</v>
      </c>
      <c r="B64" s="6" t="s">
        <v>114</v>
      </c>
      <c r="C64" s="5">
        <v>11.4</v>
      </c>
      <c r="D64" s="7" t="s">
        <v>117</v>
      </c>
      <c r="E64" s="5" t="s">
        <v>9</v>
      </c>
      <c r="F64" s="5" t="s">
        <v>12</v>
      </c>
      <c r="G64" s="5" t="s">
        <v>14</v>
      </c>
      <c r="H64" s="6" t="s">
        <v>212</v>
      </c>
      <c r="I64" s="6" t="s">
        <v>1228</v>
      </c>
      <c r="J64" s="60"/>
      <c r="K64" s="57" t="s">
        <v>1245</v>
      </c>
      <c r="L64" s="16"/>
      <c r="M64" s="34"/>
      <c r="N64" s="64"/>
      <c r="O64" s="18" t="s">
        <v>118</v>
      </c>
    </row>
    <row r="65" spans="1:15" ht="187">
      <c r="A65" s="5" t="s">
        <v>101</v>
      </c>
      <c r="B65" s="6" t="s">
        <v>121</v>
      </c>
      <c r="C65" s="5">
        <v>12.1</v>
      </c>
      <c r="D65" s="7" t="s">
        <v>130</v>
      </c>
      <c r="E65" s="5" t="s">
        <v>9</v>
      </c>
      <c r="F65" s="5" t="s">
        <v>9</v>
      </c>
      <c r="G65" s="5" t="s">
        <v>12</v>
      </c>
      <c r="H65" s="6" t="s">
        <v>212</v>
      </c>
      <c r="I65" s="6" t="s">
        <v>1229</v>
      </c>
      <c r="J65" s="60"/>
      <c r="K65" s="57" t="s">
        <v>1246</v>
      </c>
      <c r="L65" s="16"/>
      <c r="M65" s="34"/>
      <c r="N65" s="64"/>
      <c r="O65" s="18"/>
    </row>
    <row r="66" spans="1:15" ht="187">
      <c r="A66" s="5" t="s">
        <v>101</v>
      </c>
      <c r="B66" s="6" t="s">
        <v>121</v>
      </c>
      <c r="C66" s="5">
        <v>12.2</v>
      </c>
      <c r="D66" s="7" t="s">
        <v>195</v>
      </c>
      <c r="E66" s="5" t="s">
        <v>9</v>
      </c>
      <c r="F66" s="5" t="s">
        <v>12</v>
      </c>
      <c r="G66" s="5" t="s">
        <v>14</v>
      </c>
      <c r="H66" s="6" t="s">
        <v>212</v>
      </c>
      <c r="I66" s="6" t="s">
        <v>1229</v>
      </c>
      <c r="J66" s="60"/>
      <c r="K66" s="57" t="s">
        <v>1246</v>
      </c>
      <c r="L66" s="16"/>
      <c r="M66" s="34"/>
      <c r="N66" s="64"/>
      <c r="O66" s="18"/>
    </row>
    <row r="67" spans="1:15" ht="187">
      <c r="A67" s="5" t="s">
        <v>101</v>
      </c>
      <c r="B67" s="6" t="s">
        <v>121</v>
      </c>
      <c r="C67" s="5">
        <v>12.3</v>
      </c>
      <c r="D67" s="7" t="s">
        <v>133</v>
      </c>
      <c r="E67" s="5" t="s">
        <v>12</v>
      </c>
      <c r="F67" s="5" t="s">
        <v>12</v>
      </c>
      <c r="G67" s="5" t="s">
        <v>14</v>
      </c>
      <c r="H67" s="6" t="s">
        <v>212</v>
      </c>
      <c r="I67" s="6" t="s">
        <v>1229</v>
      </c>
      <c r="J67" s="60"/>
      <c r="K67" s="57" t="s">
        <v>1246</v>
      </c>
      <c r="L67" s="16"/>
      <c r="M67" s="34"/>
      <c r="N67" s="64"/>
      <c r="O67" s="18" t="s">
        <v>134</v>
      </c>
    </row>
    <row r="68" spans="1:15" ht="187">
      <c r="A68" s="5" t="s">
        <v>101</v>
      </c>
      <c r="B68" s="6" t="s">
        <v>121</v>
      </c>
      <c r="C68" s="5">
        <v>12.4</v>
      </c>
      <c r="D68" s="7" t="s">
        <v>196</v>
      </c>
      <c r="E68" s="5" t="s">
        <v>9</v>
      </c>
      <c r="F68" s="5" t="s">
        <v>12</v>
      </c>
      <c r="G68" s="5" t="s">
        <v>14</v>
      </c>
      <c r="H68" s="6" t="s">
        <v>212</v>
      </c>
      <c r="I68" s="6" t="s">
        <v>1229</v>
      </c>
      <c r="J68" s="60"/>
      <c r="K68" s="57" t="s">
        <v>1246</v>
      </c>
      <c r="L68" s="16"/>
      <c r="M68" s="34"/>
      <c r="N68" s="64"/>
      <c r="O68" s="18"/>
    </row>
    <row r="69" spans="1:15" ht="187">
      <c r="A69" s="5" t="s">
        <v>101</v>
      </c>
      <c r="B69" s="6" t="s">
        <v>121</v>
      </c>
      <c r="C69" s="5">
        <v>12.5</v>
      </c>
      <c r="D69" s="7" t="s">
        <v>135</v>
      </c>
      <c r="E69" s="5" t="s">
        <v>9</v>
      </c>
      <c r="F69" s="5" t="s">
        <v>12</v>
      </c>
      <c r="G69" s="5" t="s">
        <v>14</v>
      </c>
      <c r="H69" s="6" t="s">
        <v>212</v>
      </c>
      <c r="I69" s="6" t="s">
        <v>1229</v>
      </c>
      <c r="J69" s="60"/>
      <c r="K69" s="57" t="s">
        <v>1246</v>
      </c>
      <c r="L69" s="16"/>
      <c r="M69" s="34"/>
      <c r="N69" s="64"/>
      <c r="O69" s="18" t="s">
        <v>197</v>
      </c>
    </row>
    <row r="70" spans="1:15" ht="187">
      <c r="A70" s="5" t="s">
        <v>101</v>
      </c>
      <c r="B70" s="6" t="s">
        <v>121</v>
      </c>
      <c r="C70" s="5">
        <v>12.6</v>
      </c>
      <c r="D70" s="7" t="s">
        <v>131</v>
      </c>
      <c r="E70" s="5" t="s">
        <v>9</v>
      </c>
      <c r="F70" s="5" t="s">
        <v>12</v>
      </c>
      <c r="G70" s="5" t="s">
        <v>12</v>
      </c>
      <c r="H70" s="6" t="s">
        <v>212</v>
      </c>
      <c r="I70" s="6" t="s">
        <v>1229</v>
      </c>
      <c r="J70" s="60"/>
      <c r="K70" s="57" t="s">
        <v>1246</v>
      </c>
      <c r="L70" s="16"/>
      <c r="M70" s="34"/>
      <c r="N70" s="64"/>
      <c r="O70" s="18" t="s">
        <v>132</v>
      </c>
    </row>
    <row r="71" spans="1:15" ht="221">
      <c r="A71" s="5" t="s">
        <v>101</v>
      </c>
      <c r="B71" s="6" t="s">
        <v>122</v>
      </c>
      <c r="C71" s="5">
        <v>13.1</v>
      </c>
      <c r="D71" s="7" t="s">
        <v>139</v>
      </c>
      <c r="E71" s="5" t="s">
        <v>9</v>
      </c>
      <c r="F71" s="5" t="s">
        <v>9</v>
      </c>
      <c r="G71" s="5" t="s">
        <v>12</v>
      </c>
      <c r="H71" s="6" t="s">
        <v>212</v>
      </c>
      <c r="I71" s="6" t="s">
        <v>1230</v>
      </c>
      <c r="J71" s="59" t="s">
        <v>1210</v>
      </c>
      <c r="K71" s="57" t="s">
        <v>1247</v>
      </c>
      <c r="L71" s="16"/>
      <c r="M71" s="34"/>
      <c r="N71" s="64"/>
      <c r="O71" s="18"/>
    </row>
    <row r="72" spans="1:15" ht="221">
      <c r="A72" s="5" t="s">
        <v>101</v>
      </c>
      <c r="B72" s="6" t="s">
        <v>122</v>
      </c>
      <c r="C72" s="5">
        <v>13.2</v>
      </c>
      <c r="D72" s="7" t="s">
        <v>137</v>
      </c>
      <c r="E72" s="5" t="s">
        <v>9</v>
      </c>
      <c r="F72" s="5" t="s">
        <v>12</v>
      </c>
      <c r="G72" s="5" t="s">
        <v>12</v>
      </c>
      <c r="H72" s="6" t="s">
        <v>212</v>
      </c>
      <c r="I72" s="6" t="s">
        <v>1230</v>
      </c>
      <c r="J72" s="59" t="s">
        <v>1210</v>
      </c>
      <c r="K72" s="57" t="s">
        <v>1247</v>
      </c>
      <c r="L72" s="16"/>
      <c r="M72" s="34"/>
      <c r="N72" s="64"/>
      <c r="O72" s="18"/>
    </row>
    <row r="73" spans="1:15" ht="221">
      <c r="A73" s="5" t="s">
        <v>101</v>
      </c>
      <c r="B73" s="6" t="s">
        <v>122</v>
      </c>
      <c r="C73" s="5">
        <v>13.3</v>
      </c>
      <c r="D73" s="7" t="s">
        <v>136</v>
      </c>
      <c r="E73" s="5" t="s">
        <v>9</v>
      </c>
      <c r="F73" s="5" t="s">
        <v>12</v>
      </c>
      <c r="G73" s="5" t="s">
        <v>12</v>
      </c>
      <c r="H73" s="6" t="s">
        <v>212</v>
      </c>
      <c r="I73" s="6" t="s">
        <v>1230</v>
      </c>
      <c r="J73" s="59" t="s">
        <v>1210</v>
      </c>
      <c r="K73" s="57" t="s">
        <v>1247</v>
      </c>
      <c r="L73" s="16"/>
      <c r="M73" s="34"/>
      <c r="N73" s="64"/>
      <c r="O73" s="18"/>
    </row>
    <row r="74" spans="1:15" ht="221">
      <c r="A74" s="5" t="s">
        <v>101</v>
      </c>
      <c r="B74" s="6" t="s">
        <v>122</v>
      </c>
      <c r="C74" s="5">
        <v>13.4</v>
      </c>
      <c r="D74" s="7" t="s">
        <v>198</v>
      </c>
      <c r="E74" s="5" t="s">
        <v>9</v>
      </c>
      <c r="F74" s="5" t="s">
        <v>12</v>
      </c>
      <c r="G74" s="5" t="s">
        <v>12</v>
      </c>
      <c r="H74" s="6" t="s">
        <v>212</v>
      </c>
      <c r="I74" s="6" t="s">
        <v>1230</v>
      </c>
      <c r="J74" s="59" t="s">
        <v>1210</v>
      </c>
      <c r="K74" s="57" t="s">
        <v>1247</v>
      </c>
      <c r="L74" s="16"/>
      <c r="M74" s="34"/>
      <c r="N74" s="64"/>
      <c r="O74" s="18"/>
    </row>
    <row r="75" spans="1:15" ht="221">
      <c r="A75" s="5" t="s">
        <v>101</v>
      </c>
      <c r="B75" s="6" t="s">
        <v>122</v>
      </c>
      <c r="C75" s="5">
        <v>13.5</v>
      </c>
      <c r="D75" s="7" t="s">
        <v>138</v>
      </c>
      <c r="E75" s="5" t="s">
        <v>9</v>
      </c>
      <c r="F75" s="5" t="s">
        <v>9</v>
      </c>
      <c r="G75" s="5" t="s">
        <v>14</v>
      </c>
      <c r="H75" s="6" t="s">
        <v>212</v>
      </c>
      <c r="I75" s="6" t="s">
        <v>1230</v>
      </c>
      <c r="J75" s="59" t="s">
        <v>1210</v>
      </c>
      <c r="K75" s="57" t="s">
        <v>1247</v>
      </c>
      <c r="L75" s="16"/>
      <c r="M75" s="34"/>
      <c r="N75" s="64"/>
      <c r="O75" s="18"/>
    </row>
    <row r="76" spans="1:15" ht="221">
      <c r="A76" s="5" t="s">
        <v>101</v>
      </c>
      <c r="B76" s="6" t="s">
        <v>122</v>
      </c>
      <c r="C76" s="5">
        <v>13.6</v>
      </c>
      <c r="D76" s="7" t="s">
        <v>140</v>
      </c>
      <c r="E76" s="5" t="s">
        <v>9</v>
      </c>
      <c r="F76" s="5" t="s">
        <v>12</v>
      </c>
      <c r="G76" s="5" t="s">
        <v>14</v>
      </c>
      <c r="H76" s="6" t="s">
        <v>212</v>
      </c>
      <c r="I76" s="6" t="s">
        <v>1230</v>
      </c>
      <c r="J76" s="59" t="s">
        <v>1210</v>
      </c>
      <c r="K76" s="57" t="s">
        <v>1247</v>
      </c>
      <c r="L76" s="16"/>
      <c r="M76" s="34"/>
      <c r="N76" s="64"/>
      <c r="O76" s="18"/>
    </row>
    <row r="77" spans="1:15" ht="221">
      <c r="A77" s="5" t="s">
        <v>101</v>
      </c>
      <c r="B77" s="6" t="s">
        <v>122</v>
      </c>
      <c r="C77" s="5">
        <v>13.7</v>
      </c>
      <c r="D77" s="7" t="s">
        <v>141</v>
      </c>
      <c r="E77" s="5" t="s">
        <v>9</v>
      </c>
      <c r="F77" s="5" t="s">
        <v>12</v>
      </c>
      <c r="G77" s="5" t="s">
        <v>14</v>
      </c>
      <c r="H77" s="6" t="s">
        <v>212</v>
      </c>
      <c r="I77" s="6" t="s">
        <v>1230</v>
      </c>
      <c r="J77" s="59" t="s">
        <v>1210</v>
      </c>
      <c r="K77" s="57" t="s">
        <v>1247</v>
      </c>
      <c r="L77" s="16"/>
      <c r="M77" s="34"/>
      <c r="N77" s="64"/>
      <c r="O77" s="18"/>
    </row>
    <row r="78" spans="1:15" ht="170">
      <c r="A78" s="5" t="s">
        <v>101</v>
      </c>
      <c r="B78" s="6" t="s">
        <v>123</v>
      </c>
      <c r="C78" s="5">
        <v>14.1</v>
      </c>
      <c r="D78" s="7" t="s">
        <v>163</v>
      </c>
      <c r="E78" s="5" t="s">
        <v>9</v>
      </c>
      <c r="F78" s="5" t="s">
        <v>9</v>
      </c>
      <c r="G78" s="5" t="s">
        <v>9</v>
      </c>
      <c r="H78" s="6" t="s">
        <v>212</v>
      </c>
      <c r="I78" s="6" t="s">
        <v>1231</v>
      </c>
      <c r="J78" s="55" t="s">
        <v>1215</v>
      </c>
      <c r="K78" s="57" t="s">
        <v>1248</v>
      </c>
      <c r="L78" s="16"/>
      <c r="M78" s="34"/>
      <c r="N78" s="64"/>
      <c r="O78" s="18"/>
    </row>
    <row r="79" spans="1:15" ht="170">
      <c r="A79" s="5" t="s">
        <v>101</v>
      </c>
      <c r="B79" s="6" t="s">
        <v>123</v>
      </c>
      <c r="C79" s="5">
        <v>14.2</v>
      </c>
      <c r="D79" s="7" t="s">
        <v>199</v>
      </c>
      <c r="E79" s="5" t="s">
        <v>9</v>
      </c>
      <c r="F79" s="5" t="s">
        <v>9</v>
      </c>
      <c r="G79" s="5" t="s">
        <v>9</v>
      </c>
      <c r="H79" s="6" t="s">
        <v>212</v>
      </c>
      <c r="I79" s="6" t="s">
        <v>1231</v>
      </c>
      <c r="J79" s="55" t="s">
        <v>1215</v>
      </c>
      <c r="K79" s="57" t="s">
        <v>1248</v>
      </c>
      <c r="L79" s="16"/>
      <c r="M79" s="34"/>
      <c r="N79" s="64"/>
      <c r="O79" s="18" t="s">
        <v>200</v>
      </c>
    </row>
    <row r="80" spans="1:15" ht="170">
      <c r="A80" s="5" t="s">
        <v>101</v>
      </c>
      <c r="B80" s="6" t="s">
        <v>123</v>
      </c>
      <c r="C80" s="5">
        <v>14.3</v>
      </c>
      <c r="D80" s="7" t="s">
        <v>166</v>
      </c>
      <c r="E80" s="5" t="s">
        <v>9</v>
      </c>
      <c r="F80" s="5" t="s">
        <v>9</v>
      </c>
      <c r="G80" s="5" t="s">
        <v>9</v>
      </c>
      <c r="H80" s="6" t="s">
        <v>212</v>
      </c>
      <c r="I80" s="6" t="s">
        <v>1231</v>
      </c>
      <c r="J80" s="55" t="s">
        <v>1215</v>
      </c>
      <c r="K80" s="57" t="s">
        <v>1248</v>
      </c>
      <c r="L80" s="16"/>
      <c r="M80" s="34"/>
      <c r="N80" s="64"/>
      <c r="O80" s="18" t="s">
        <v>164</v>
      </c>
    </row>
    <row r="81" spans="1:15" ht="170">
      <c r="A81" s="5" t="s">
        <v>101</v>
      </c>
      <c r="B81" s="6" t="s">
        <v>123</v>
      </c>
      <c r="C81" s="5">
        <v>14.4</v>
      </c>
      <c r="D81" s="7" t="s">
        <v>165</v>
      </c>
      <c r="E81" s="5" t="s">
        <v>9</v>
      </c>
      <c r="F81" s="5" t="s">
        <v>12</v>
      </c>
      <c r="G81" s="5" t="s">
        <v>14</v>
      </c>
      <c r="H81" s="6" t="s">
        <v>212</v>
      </c>
      <c r="I81" s="6" t="s">
        <v>1231</v>
      </c>
      <c r="J81" s="55" t="s">
        <v>1215</v>
      </c>
      <c r="K81" s="57" t="s">
        <v>1248</v>
      </c>
      <c r="L81" s="16"/>
      <c r="M81" s="34"/>
      <c r="N81" s="64"/>
      <c r="O81" s="18"/>
    </row>
    <row r="82" spans="1:15" ht="170">
      <c r="A82" s="5" t="s">
        <v>101</v>
      </c>
      <c r="B82" s="6" t="s">
        <v>124</v>
      </c>
      <c r="C82" s="5">
        <v>15.1</v>
      </c>
      <c r="D82" s="7" t="s">
        <v>170</v>
      </c>
      <c r="E82" s="5" t="s">
        <v>9</v>
      </c>
      <c r="F82" s="5" t="s">
        <v>9</v>
      </c>
      <c r="G82" s="5" t="s">
        <v>12</v>
      </c>
      <c r="H82" s="6" t="s">
        <v>212</v>
      </c>
      <c r="I82" s="6" t="s">
        <v>1232</v>
      </c>
      <c r="J82" s="60"/>
      <c r="K82" s="57" t="s">
        <v>1249</v>
      </c>
      <c r="L82" s="16"/>
      <c r="M82" s="34"/>
      <c r="N82" s="64"/>
      <c r="O82" s="18"/>
    </row>
    <row r="83" spans="1:15" ht="170">
      <c r="A83" s="5" t="s">
        <v>101</v>
      </c>
      <c r="B83" s="6" t="s">
        <v>124</v>
      </c>
      <c r="C83" s="5">
        <v>15.2</v>
      </c>
      <c r="D83" s="7" t="s">
        <v>201</v>
      </c>
      <c r="E83" s="5" t="s">
        <v>9</v>
      </c>
      <c r="F83" s="5" t="s">
        <v>12</v>
      </c>
      <c r="G83" s="5" t="s">
        <v>14</v>
      </c>
      <c r="H83" s="6" t="s">
        <v>212</v>
      </c>
      <c r="I83" s="6" t="s">
        <v>1232</v>
      </c>
      <c r="J83" s="60"/>
      <c r="K83" s="57" t="s">
        <v>1249</v>
      </c>
      <c r="L83" s="16"/>
      <c r="M83" s="34"/>
      <c r="N83" s="64"/>
      <c r="O83" s="18"/>
    </row>
    <row r="84" spans="1:15" ht="170">
      <c r="A84" s="5" t="s">
        <v>101</v>
      </c>
      <c r="B84" s="6" t="s">
        <v>124</v>
      </c>
      <c r="C84" s="5">
        <v>15.3</v>
      </c>
      <c r="D84" s="7" t="s">
        <v>167</v>
      </c>
      <c r="E84" s="5" t="s">
        <v>9</v>
      </c>
      <c r="F84" s="5" t="s">
        <v>9</v>
      </c>
      <c r="G84" s="5" t="s">
        <v>14</v>
      </c>
      <c r="H84" s="6" t="s">
        <v>212</v>
      </c>
      <c r="I84" s="6" t="s">
        <v>1232</v>
      </c>
      <c r="J84" s="60"/>
      <c r="K84" s="57" t="s">
        <v>1249</v>
      </c>
      <c r="L84" s="16"/>
      <c r="M84" s="34"/>
      <c r="N84" s="64"/>
      <c r="O84" s="18"/>
    </row>
    <row r="85" spans="1:15" ht="170">
      <c r="A85" s="5" t="s">
        <v>101</v>
      </c>
      <c r="B85" s="6" t="s">
        <v>124</v>
      </c>
      <c r="C85" s="5">
        <v>15.4</v>
      </c>
      <c r="D85" s="7" t="s">
        <v>202</v>
      </c>
      <c r="E85" s="5" t="s">
        <v>9</v>
      </c>
      <c r="F85" s="5" t="s">
        <v>12</v>
      </c>
      <c r="G85" s="5" t="s">
        <v>14</v>
      </c>
      <c r="H85" s="6" t="s">
        <v>212</v>
      </c>
      <c r="I85" s="6" t="s">
        <v>1232</v>
      </c>
      <c r="J85" s="60"/>
      <c r="K85" s="57" t="s">
        <v>1249</v>
      </c>
      <c r="L85" s="16"/>
      <c r="M85" s="34"/>
      <c r="N85" s="64"/>
      <c r="O85" s="18"/>
    </row>
    <row r="86" spans="1:15" ht="170">
      <c r="A86" s="5" t="s">
        <v>101</v>
      </c>
      <c r="B86" s="6" t="s">
        <v>124</v>
      </c>
      <c r="C86" s="5">
        <v>15.5</v>
      </c>
      <c r="D86" s="7" t="s">
        <v>168</v>
      </c>
      <c r="E86" s="5" t="s">
        <v>9</v>
      </c>
      <c r="F86" s="5" t="s">
        <v>9</v>
      </c>
      <c r="G86" s="5" t="s">
        <v>12</v>
      </c>
      <c r="H86" s="6" t="s">
        <v>212</v>
      </c>
      <c r="I86" s="6" t="s">
        <v>1232</v>
      </c>
      <c r="J86" s="60"/>
      <c r="K86" s="57" t="s">
        <v>1249</v>
      </c>
      <c r="L86" s="16"/>
      <c r="M86" s="34"/>
      <c r="N86" s="64"/>
      <c r="O86" s="18" t="s">
        <v>169</v>
      </c>
    </row>
    <row r="87" spans="1:15" ht="187">
      <c r="A87" s="5" t="s">
        <v>146</v>
      </c>
      <c r="B87" s="6" t="s">
        <v>125</v>
      </c>
      <c r="C87" s="5">
        <v>16.100000000000001</v>
      </c>
      <c r="D87" s="7" t="s">
        <v>157</v>
      </c>
      <c r="E87" s="5" t="s">
        <v>9</v>
      </c>
      <c r="F87" s="5" t="s">
        <v>9</v>
      </c>
      <c r="G87" s="5" t="s">
        <v>12</v>
      </c>
      <c r="H87" s="6" t="s">
        <v>212</v>
      </c>
      <c r="I87" s="6" t="s">
        <v>1233</v>
      </c>
      <c r="J87" s="55" t="s">
        <v>1216</v>
      </c>
      <c r="K87" s="57" t="s">
        <v>1250</v>
      </c>
      <c r="L87" s="16"/>
      <c r="M87" s="34"/>
      <c r="N87" s="64"/>
      <c r="O87" s="18"/>
    </row>
    <row r="88" spans="1:15" ht="187">
      <c r="A88" s="5" t="s">
        <v>146</v>
      </c>
      <c r="B88" s="6" t="s">
        <v>125</v>
      </c>
      <c r="C88" s="5">
        <v>16.2</v>
      </c>
      <c r="D88" s="7" t="s">
        <v>203</v>
      </c>
      <c r="E88" s="5" t="s">
        <v>9</v>
      </c>
      <c r="F88" s="5" t="s">
        <v>9</v>
      </c>
      <c r="G88" s="5" t="s">
        <v>9</v>
      </c>
      <c r="H88" s="6" t="s">
        <v>212</v>
      </c>
      <c r="I88" s="6" t="s">
        <v>1233</v>
      </c>
      <c r="J88" s="55" t="s">
        <v>1216</v>
      </c>
      <c r="K88" s="57" t="s">
        <v>1250</v>
      </c>
      <c r="L88" s="16"/>
      <c r="M88" s="34"/>
      <c r="N88" s="64"/>
      <c r="O88" s="18"/>
    </row>
    <row r="89" spans="1:15" ht="187">
      <c r="A89" s="5" t="s">
        <v>146</v>
      </c>
      <c r="B89" s="6" t="s">
        <v>125</v>
      </c>
      <c r="C89" s="5">
        <v>16.3</v>
      </c>
      <c r="D89" s="7" t="s">
        <v>204</v>
      </c>
      <c r="E89" s="5" t="s">
        <v>9</v>
      </c>
      <c r="F89" s="5" t="s">
        <v>9</v>
      </c>
      <c r="G89" s="5" t="s">
        <v>12</v>
      </c>
      <c r="H89" s="6" t="s">
        <v>212</v>
      </c>
      <c r="I89" s="6" t="s">
        <v>1233</v>
      </c>
      <c r="J89" s="55" t="s">
        <v>1216</v>
      </c>
      <c r="K89" s="57" t="s">
        <v>1250</v>
      </c>
      <c r="L89" s="16"/>
      <c r="M89" s="34"/>
      <c r="N89" s="64"/>
      <c r="O89" s="18"/>
    </row>
    <row r="90" spans="1:15" ht="187">
      <c r="A90" s="5" t="s">
        <v>146</v>
      </c>
      <c r="B90" s="6" t="s">
        <v>125</v>
      </c>
      <c r="C90" s="5">
        <v>16.399999999999999</v>
      </c>
      <c r="D90" s="7" t="s">
        <v>158</v>
      </c>
      <c r="E90" s="5" t="s">
        <v>9</v>
      </c>
      <c r="F90" s="5" t="s">
        <v>12</v>
      </c>
      <c r="G90" s="5" t="s">
        <v>12</v>
      </c>
      <c r="H90" s="6" t="s">
        <v>212</v>
      </c>
      <c r="I90" s="6" t="s">
        <v>1233</v>
      </c>
      <c r="J90" s="55" t="s">
        <v>1216</v>
      </c>
      <c r="K90" s="57" t="s">
        <v>1250</v>
      </c>
      <c r="L90" s="16"/>
      <c r="M90" s="34"/>
      <c r="N90" s="64"/>
      <c r="O90" s="18"/>
    </row>
    <row r="91" spans="1:15" ht="187">
      <c r="A91" s="5" t="s">
        <v>146</v>
      </c>
      <c r="B91" s="6" t="s">
        <v>125</v>
      </c>
      <c r="C91" s="5">
        <v>16.5</v>
      </c>
      <c r="D91" s="7" t="s">
        <v>159</v>
      </c>
      <c r="E91" s="5" t="s">
        <v>9</v>
      </c>
      <c r="F91" s="5" t="s">
        <v>9</v>
      </c>
      <c r="G91" s="5" t="s">
        <v>12</v>
      </c>
      <c r="H91" s="6" t="s">
        <v>212</v>
      </c>
      <c r="I91" s="6" t="s">
        <v>1233</v>
      </c>
      <c r="J91" s="55" t="s">
        <v>1216</v>
      </c>
      <c r="K91" s="57" t="s">
        <v>1250</v>
      </c>
      <c r="L91" s="16"/>
      <c r="M91" s="34"/>
      <c r="N91" s="64"/>
      <c r="O91" s="18"/>
    </row>
    <row r="92" spans="1:15" ht="187">
      <c r="A92" s="5" t="s">
        <v>146</v>
      </c>
      <c r="B92" s="6" t="s">
        <v>125</v>
      </c>
      <c r="C92" s="5">
        <v>16.600000000000001</v>
      </c>
      <c r="D92" s="7" t="s">
        <v>155</v>
      </c>
      <c r="E92" s="5" t="s">
        <v>9</v>
      </c>
      <c r="F92" s="5" t="s">
        <v>9</v>
      </c>
      <c r="G92" s="5" t="s">
        <v>12</v>
      </c>
      <c r="H92" s="6" t="s">
        <v>212</v>
      </c>
      <c r="I92" s="6" t="s">
        <v>1233</v>
      </c>
      <c r="J92" s="55" t="s">
        <v>1216</v>
      </c>
      <c r="K92" s="57" t="s">
        <v>1250</v>
      </c>
      <c r="L92" s="16"/>
      <c r="M92" s="34"/>
      <c r="N92" s="64"/>
      <c r="O92" s="18" t="s">
        <v>156</v>
      </c>
    </row>
    <row r="93" spans="1:15" ht="187">
      <c r="A93" s="5" t="s">
        <v>146</v>
      </c>
      <c r="B93" s="6" t="s">
        <v>125</v>
      </c>
      <c r="C93" s="5">
        <v>16.7</v>
      </c>
      <c r="D93" s="7" t="s">
        <v>154</v>
      </c>
      <c r="E93" s="5" t="s">
        <v>9</v>
      </c>
      <c r="F93" s="5" t="s">
        <v>9</v>
      </c>
      <c r="G93" s="5" t="s">
        <v>12</v>
      </c>
      <c r="H93" s="6" t="s">
        <v>212</v>
      </c>
      <c r="I93" s="6" t="s">
        <v>1233</v>
      </c>
      <c r="J93" s="55" t="s">
        <v>1216</v>
      </c>
      <c r="K93" s="57" t="s">
        <v>1250</v>
      </c>
      <c r="L93" s="16"/>
      <c r="M93" s="34"/>
      <c r="N93" s="64"/>
      <c r="O93" s="18"/>
    </row>
    <row r="94" spans="1:15" ht="187">
      <c r="A94" s="5" t="s">
        <v>146</v>
      </c>
      <c r="B94" s="6" t="s">
        <v>125</v>
      </c>
      <c r="C94" s="5">
        <v>16.8</v>
      </c>
      <c r="D94" s="7" t="s">
        <v>205</v>
      </c>
      <c r="E94" s="5" t="s">
        <v>9</v>
      </c>
      <c r="F94" s="5" t="s">
        <v>9</v>
      </c>
      <c r="G94" s="5" t="s">
        <v>12</v>
      </c>
      <c r="H94" s="6" t="s">
        <v>212</v>
      </c>
      <c r="I94" s="6" t="s">
        <v>1233</v>
      </c>
      <c r="J94" s="55" t="s">
        <v>1216</v>
      </c>
      <c r="K94" s="57" t="s">
        <v>1250</v>
      </c>
      <c r="L94" s="16"/>
      <c r="M94" s="34"/>
      <c r="N94" s="64"/>
      <c r="O94" s="18"/>
    </row>
    <row r="95" spans="1:15" ht="187">
      <c r="A95" s="5" t="s">
        <v>146</v>
      </c>
      <c r="B95" s="6" t="s">
        <v>125</v>
      </c>
      <c r="C95" s="5">
        <v>16.899999999999999</v>
      </c>
      <c r="D95" s="7" t="s">
        <v>206</v>
      </c>
      <c r="E95" s="5" t="s">
        <v>9</v>
      </c>
      <c r="F95" s="5" t="s">
        <v>9</v>
      </c>
      <c r="G95" s="5" t="s">
        <v>12</v>
      </c>
      <c r="H95" s="6" t="s">
        <v>212</v>
      </c>
      <c r="I95" s="6" t="s">
        <v>1233</v>
      </c>
      <c r="J95" s="55" t="s">
        <v>1216</v>
      </c>
      <c r="K95" s="57" t="s">
        <v>1250</v>
      </c>
      <c r="L95" s="16"/>
      <c r="M95" s="34"/>
      <c r="N95" s="64"/>
      <c r="O95" s="18" t="s">
        <v>1</v>
      </c>
    </row>
    <row r="96" spans="1:15" ht="187">
      <c r="A96" s="5" t="s">
        <v>146</v>
      </c>
      <c r="B96" s="6" t="s">
        <v>125</v>
      </c>
      <c r="C96" s="13">
        <v>16.100000000000001</v>
      </c>
      <c r="D96" s="7" t="s">
        <v>161</v>
      </c>
      <c r="E96" s="5" t="s">
        <v>9</v>
      </c>
      <c r="F96" s="5" t="s">
        <v>9</v>
      </c>
      <c r="G96" s="5" t="s">
        <v>12</v>
      </c>
      <c r="H96" s="6" t="s">
        <v>212</v>
      </c>
      <c r="I96" s="6" t="s">
        <v>1233</v>
      </c>
      <c r="J96" s="55" t="s">
        <v>1216</v>
      </c>
      <c r="K96" s="57" t="s">
        <v>1250</v>
      </c>
      <c r="L96" s="16"/>
      <c r="M96" s="34"/>
      <c r="N96" s="64"/>
      <c r="O96" s="18"/>
    </row>
    <row r="97" spans="1:15" ht="187">
      <c r="A97" s="5" t="s">
        <v>146</v>
      </c>
      <c r="B97" s="6" t="s">
        <v>125</v>
      </c>
      <c r="C97" s="5">
        <v>16.11</v>
      </c>
      <c r="D97" s="7" t="s">
        <v>162</v>
      </c>
      <c r="E97" s="5" t="s">
        <v>9</v>
      </c>
      <c r="F97" s="5" t="s">
        <v>9</v>
      </c>
      <c r="G97" s="5" t="s">
        <v>12</v>
      </c>
      <c r="H97" s="6" t="s">
        <v>212</v>
      </c>
      <c r="I97" s="6" t="s">
        <v>1233</v>
      </c>
      <c r="J97" s="55" t="s">
        <v>1216</v>
      </c>
      <c r="K97" s="57" t="s">
        <v>1250</v>
      </c>
      <c r="L97" s="16"/>
      <c r="M97" s="34"/>
      <c r="N97" s="64"/>
      <c r="O97" s="18"/>
    </row>
    <row r="98" spans="1:15" ht="187">
      <c r="A98" s="5" t="s">
        <v>146</v>
      </c>
      <c r="B98" s="6" t="s">
        <v>125</v>
      </c>
      <c r="C98" s="5">
        <v>16.12</v>
      </c>
      <c r="D98" s="7" t="s">
        <v>160</v>
      </c>
      <c r="E98" s="5" t="s">
        <v>12</v>
      </c>
      <c r="F98" s="5" t="s">
        <v>12</v>
      </c>
      <c r="G98" s="5" t="s">
        <v>14</v>
      </c>
      <c r="H98" s="6" t="s">
        <v>212</v>
      </c>
      <c r="I98" s="6" t="s">
        <v>1233</v>
      </c>
      <c r="J98" s="55" t="s">
        <v>1216</v>
      </c>
      <c r="K98" s="57" t="s">
        <v>1250</v>
      </c>
      <c r="L98" s="16"/>
      <c r="M98" s="34"/>
      <c r="N98" s="64"/>
      <c r="O98" s="18"/>
    </row>
    <row r="99" spans="1:15" ht="153">
      <c r="A99" s="5" t="s">
        <v>146</v>
      </c>
      <c r="B99" s="6" t="s">
        <v>126</v>
      </c>
      <c r="C99" s="5">
        <v>17.100000000000001</v>
      </c>
      <c r="D99" s="7" t="s">
        <v>2</v>
      </c>
      <c r="E99" s="5" t="s">
        <v>9</v>
      </c>
      <c r="F99" s="5" t="s">
        <v>9</v>
      </c>
      <c r="G99" s="5" t="s">
        <v>9</v>
      </c>
      <c r="H99" s="6" t="s">
        <v>212</v>
      </c>
      <c r="I99" s="6" t="s">
        <v>1234</v>
      </c>
      <c r="J99" s="55" t="s">
        <v>1217</v>
      </c>
      <c r="K99" s="57">
        <v>12.6</v>
      </c>
      <c r="L99" s="16"/>
      <c r="M99" s="34"/>
      <c r="N99" s="64"/>
      <c r="O99" s="18"/>
    </row>
    <row r="100" spans="1:15" ht="153">
      <c r="A100" s="5" t="s">
        <v>146</v>
      </c>
      <c r="B100" s="6" t="s">
        <v>126</v>
      </c>
      <c r="C100" s="8" t="s">
        <v>178</v>
      </c>
      <c r="D100" s="7" t="s">
        <v>172</v>
      </c>
      <c r="E100" s="5" t="s">
        <v>9</v>
      </c>
      <c r="F100" s="5" t="s">
        <v>9</v>
      </c>
      <c r="G100" s="5" t="s">
        <v>9</v>
      </c>
      <c r="H100" s="6" t="s">
        <v>212</v>
      </c>
      <c r="I100" s="6" t="s">
        <v>1234</v>
      </c>
      <c r="J100" s="55" t="s">
        <v>1217</v>
      </c>
      <c r="K100" s="57">
        <v>12.6</v>
      </c>
      <c r="L100" s="16"/>
      <c r="M100" s="34"/>
      <c r="N100" s="64"/>
      <c r="O100" s="18"/>
    </row>
    <row r="101" spans="1:15" ht="153">
      <c r="A101" s="5" t="s">
        <v>146</v>
      </c>
      <c r="B101" s="6" t="s">
        <v>126</v>
      </c>
      <c r="C101" s="8" t="s">
        <v>179</v>
      </c>
      <c r="D101" s="7" t="s">
        <v>173</v>
      </c>
      <c r="E101" s="5" t="s">
        <v>9</v>
      </c>
      <c r="F101" s="5" t="s">
        <v>9</v>
      </c>
      <c r="G101" s="5" t="s">
        <v>9</v>
      </c>
      <c r="H101" s="6" t="s">
        <v>212</v>
      </c>
      <c r="I101" s="6" t="s">
        <v>1234</v>
      </c>
      <c r="J101" s="55" t="s">
        <v>1217</v>
      </c>
      <c r="K101" s="57">
        <v>12.6</v>
      </c>
      <c r="L101" s="16"/>
      <c r="M101" s="34"/>
      <c r="N101" s="64"/>
      <c r="O101" s="18"/>
    </row>
    <row r="102" spans="1:15" ht="153">
      <c r="A102" s="5" t="s">
        <v>146</v>
      </c>
      <c r="B102" s="6" t="s">
        <v>126</v>
      </c>
      <c r="C102" s="8" t="s">
        <v>180</v>
      </c>
      <c r="D102" s="7" t="s">
        <v>174</v>
      </c>
      <c r="E102" s="5" t="s">
        <v>9</v>
      </c>
      <c r="F102" s="5" t="s">
        <v>9</v>
      </c>
      <c r="G102" s="5" t="s">
        <v>9</v>
      </c>
      <c r="H102" s="6" t="s">
        <v>212</v>
      </c>
      <c r="I102" s="6" t="s">
        <v>1234</v>
      </c>
      <c r="J102" s="55" t="s">
        <v>1217</v>
      </c>
      <c r="K102" s="57">
        <v>12.6</v>
      </c>
      <c r="L102" s="16"/>
      <c r="M102" s="34"/>
      <c r="N102" s="64"/>
      <c r="O102" s="18"/>
    </row>
    <row r="103" spans="1:15" ht="153">
      <c r="A103" s="5" t="s">
        <v>146</v>
      </c>
      <c r="B103" s="6" t="s">
        <v>126</v>
      </c>
      <c r="C103" s="8" t="s">
        <v>181</v>
      </c>
      <c r="D103" s="7" t="s">
        <v>175</v>
      </c>
      <c r="E103" s="5" t="s">
        <v>9</v>
      </c>
      <c r="F103" s="5" t="s">
        <v>9</v>
      </c>
      <c r="G103" s="5" t="s">
        <v>9</v>
      </c>
      <c r="H103" s="6" t="s">
        <v>212</v>
      </c>
      <c r="I103" s="6" t="s">
        <v>1234</v>
      </c>
      <c r="J103" s="55" t="s">
        <v>1217</v>
      </c>
      <c r="K103" s="57">
        <v>12.6</v>
      </c>
      <c r="L103" s="16"/>
      <c r="M103" s="34"/>
      <c r="N103" s="64"/>
      <c r="O103" s="18"/>
    </row>
    <row r="104" spans="1:15" ht="153">
      <c r="A104" s="5" t="s">
        <v>146</v>
      </c>
      <c r="B104" s="6" t="s">
        <v>126</v>
      </c>
      <c r="C104" s="8" t="s">
        <v>177</v>
      </c>
      <c r="D104" s="7" t="s">
        <v>176</v>
      </c>
      <c r="E104" s="5" t="s">
        <v>9</v>
      </c>
      <c r="F104" s="5" t="s">
        <v>9</v>
      </c>
      <c r="G104" s="5" t="s">
        <v>9</v>
      </c>
      <c r="H104" s="6" t="s">
        <v>212</v>
      </c>
      <c r="I104" s="6" t="s">
        <v>1234</v>
      </c>
      <c r="J104" s="55" t="s">
        <v>1217</v>
      </c>
      <c r="K104" s="57">
        <v>12.6</v>
      </c>
      <c r="L104" s="16"/>
      <c r="M104" s="34"/>
      <c r="N104" s="64"/>
      <c r="O104" s="18"/>
    </row>
    <row r="105" spans="1:15" ht="187">
      <c r="A105" s="5" t="s">
        <v>146</v>
      </c>
      <c r="B105" s="6" t="s">
        <v>127</v>
      </c>
      <c r="C105" s="5">
        <v>18.100000000000001</v>
      </c>
      <c r="D105" s="7" t="s">
        <v>187</v>
      </c>
      <c r="E105" s="5" t="s">
        <v>9</v>
      </c>
      <c r="F105" s="5" t="s">
        <v>9</v>
      </c>
      <c r="G105" s="5" t="s">
        <v>9</v>
      </c>
      <c r="H105" s="6" t="s">
        <v>212</v>
      </c>
      <c r="I105" s="6" t="s">
        <v>1235</v>
      </c>
      <c r="J105" s="60"/>
      <c r="K105" s="57" t="s">
        <v>1251</v>
      </c>
      <c r="L105" s="16"/>
      <c r="M105" s="34"/>
      <c r="N105" s="64"/>
      <c r="O105" s="18" t="s">
        <v>186</v>
      </c>
    </row>
    <row r="106" spans="1:15" ht="187">
      <c r="A106" s="5" t="s">
        <v>146</v>
      </c>
      <c r="B106" s="6" t="s">
        <v>127</v>
      </c>
      <c r="C106" s="5">
        <v>18.2</v>
      </c>
      <c r="D106" s="7" t="s">
        <v>182</v>
      </c>
      <c r="E106" s="5" t="s">
        <v>9</v>
      </c>
      <c r="F106" s="5" t="s">
        <v>9</v>
      </c>
      <c r="G106" s="5" t="s">
        <v>9</v>
      </c>
      <c r="H106" s="6" t="s">
        <v>212</v>
      </c>
      <c r="I106" s="6" t="s">
        <v>1235</v>
      </c>
      <c r="J106" s="60"/>
      <c r="K106" s="57" t="s">
        <v>1251</v>
      </c>
      <c r="L106" s="16"/>
      <c r="M106" s="34"/>
      <c r="N106" s="64"/>
      <c r="O106" s="18"/>
    </row>
    <row r="107" spans="1:15" ht="187">
      <c r="A107" s="5" t="s">
        <v>146</v>
      </c>
      <c r="B107" s="6" t="s">
        <v>127</v>
      </c>
      <c r="C107" s="5">
        <v>18.3</v>
      </c>
      <c r="D107" s="7" t="s">
        <v>207</v>
      </c>
      <c r="E107" s="5" t="s">
        <v>9</v>
      </c>
      <c r="F107" s="5" t="s">
        <v>9</v>
      </c>
      <c r="G107" s="5" t="s">
        <v>9</v>
      </c>
      <c r="H107" s="6" t="s">
        <v>212</v>
      </c>
      <c r="I107" s="6" t="s">
        <v>1235</v>
      </c>
      <c r="J107" s="60"/>
      <c r="K107" s="57" t="s">
        <v>1251</v>
      </c>
      <c r="L107" s="16"/>
      <c r="M107" s="34"/>
      <c r="N107" s="64"/>
      <c r="O107" s="18"/>
    </row>
    <row r="108" spans="1:15" ht="187">
      <c r="A108" s="5" t="s">
        <v>146</v>
      </c>
      <c r="B108" s="6" t="s">
        <v>127</v>
      </c>
      <c r="C108" s="5">
        <v>18.399999999999999</v>
      </c>
      <c r="D108" s="7" t="s">
        <v>188</v>
      </c>
      <c r="E108" s="5" t="s">
        <v>9</v>
      </c>
      <c r="F108" s="5" t="s">
        <v>9</v>
      </c>
      <c r="G108" s="5" t="s">
        <v>9</v>
      </c>
      <c r="H108" s="6" t="s">
        <v>212</v>
      </c>
      <c r="I108" s="6" t="s">
        <v>1235</v>
      </c>
      <c r="J108" s="60"/>
      <c r="K108" s="57" t="s">
        <v>1251</v>
      </c>
      <c r="L108" s="16"/>
      <c r="M108" s="34"/>
      <c r="N108" s="64"/>
      <c r="O108" s="18"/>
    </row>
    <row r="109" spans="1:15" ht="187">
      <c r="A109" s="5" t="s">
        <v>146</v>
      </c>
      <c r="B109" s="6" t="s">
        <v>127</v>
      </c>
      <c r="C109" s="5">
        <v>18.5</v>
      </c>
      <c r="D109" s="7" t="s">
        <v>183</v>
      </c>
      <c r="E109" s="5" t="s">
        <v>9</v>
      </c>
      <c r="F109" s="5" t="s">
        <v>9</v>
      </c>
      <c r="G109" s="5" t="s">
        <v>12</v>
      </c>
      <c r="H109" s="6" t="s">
        <v>212</v>
      </c>
      <c r="I109" s="6" t="s">
        <v>1235</v>
      </c>
      <c r="J109" s="60"/>
      <c r="K109" s="57" t="s">
        <v>1251</v>
      </c>
      <c r="L109" s="16"/>
      <c r="M109" s="34"/>
      <c r="N109" s="64"/>
      <c r="O109" s="18"/>
    </row>
    <row r="110" spans="1:15" ht="187">
      <c r="A110" s="5" t="s">
        <v>146</v>
      </c>
      <c r="B110" s="6" t="s">
        <v>127</v>
      </c>
      <c r="C110" s="5">
        <v>18.600000000000001</v>
      </c>
      <c r="D110" s="7" t="s">
        <v>208</v>
      </c>
      <c r="E110" s="5" t="s">
        <v>9</v>
      </c>
      <c r="F110" s="5" t="s">
        <v>9</v>
      </c>
      <c r="G110" s="5" t="s">
        <v>9</v>
      </c>
      <c r="H110" s="6" t="s">
        <v>212</v>
      </c>
      <c r="I110" s="6" t="s">
        <v>1235</v>
      </c>
      <c r="J110" s="60"/>
      <c r="K110" s="57" t="s">
        <v>1251</v>
      </c>
      <c r="L110" s="16"/>
      <c r="M110" s="34"/>
      <c r="N110" s="64"/>
      <c r="O110" s="18"/>
    </row>
    <row r="111" spans="1:15" ht="187">
      <c r="A111" s="5" t="s">
        <v>146</v>
      </c>
      <c r="B111" s="6" t="s">
        <v>127</v>
      </c>
      <c r="C111" s="5">
        <v>18.7</v>
      </c>
      <c r="D111" s="7" t="s">
        <v>184</v>
      </c>
      <c r="E111" s="5" t="s">
        <v>9</v>
      </c>
      <c r="F111" s="5" t="s">
        <v>9</v>
      </c>
      <c r="G111" s="5" t="s">
        <v>14</v>
      </c>
      <c r="H111" s="6" t="s">
        <v>212</v>
      </c>
      <c r="I111" s="6" t="s">
        <v>1235</v>
      </c>
      <c r="J111" s="60"/>
      <c r="K111" s="57" t="s">
        <v>1251</v>
      </c>
      <c r="L111" s="16"/>
      <c r="M111" s="34"/>
      <c r="N111" s="64"/>
      <c r="O111" s="18"/>
    </row>
    <row r="112" spans="1:15" ht="187">
      <c r="A112" s="5" t="s">
        <v>146</v>
      </c>
      <c r="B112" s="6" t="s">
        <v>127</v>
      </c>
      <c r="C112" s="5">
        <v>18.8</v>
      </c>
      <c r="D112" s="7" t="s">
        <v>189</v>
      </c>
      <c r="E112" s="5" t="s">
        <v>9</v>
      </c>
      <c r="F112" s="5" t="s">
        <v>12</v>
      </c>
      <c r="G112" s="5" t="s">
        <v>14</v>
      </c>
      <c r="H112" s="6" t="s">
        <v>212</v>
      </c>
      <c r="I112" s="6" t="s">
        <v>1235</v>
      </c>
      <c r="J112" s="60"/>
      <c r="K112" s="57" t="s">
        <v>1251</v>
      </c>
      <c r="L112" s="16"/>
      <c r="M112" s="34"/>
      <c r="N112" s="64"/>
      <c r="O112" s="18"/>
    </row>
    <row r="113" spans="1:15" ht="187">
      <c r="A113" s="5" t="s">
        <v>146</v>
      </c>
      <c r="B113" s="6" t="s">
        <v>127</v>
      </c>
      <c r="C113" s="5">
        <v>18.899999999999999</v>
      </c>
      <c r="D113" s="7" t="s">
        <v>185</v>
      </c>
      <c r="E113" s="5" t="s">
        <v>9</v>
      </c>
      <c r="F113" s="5" t="s">
        <v>9</v>
      </c>
      <c r="G113" s="5" t="s">
        <v>12</v>
      </c>
      <c r="H113" s="6" t="s">
        <v>212</v>
      </c>
      <c r="I113" s="6" t="s">
        <v>1235</v>
      </c>
      <c r="J113" s="60"/>
      <c r="K113" s="57" t="s">
        <v>1251</v>
      </c>
      <c r="L113" s="16"/>
      <c r="M113" s="34"/>
      <c r="N113" s="64"/>
      <c r="O113" s="18"/>
    </row>
    <row r="114" spans="1:15" ht="153">
      <c r="A114" s="5" t="s">
        <v>146</v>
      </c>
      <c r="B114" s="6" t="s">
        <v>128</v>
      </c>
      <c r="C114" s="5">
        <v>19.100000000000001</v>
      </c>
      <c r="D114" s="7" t="s">
        <v>190</v>
      </c>
      <c r="E114" s="5" t="s">
        <v>9</v>
      </c>
      <c r="F114" s="5" t="s">
        <v>9</v>
      </c>
      <c r="G114" s="5" t="s">
        <v>9</v>
      </c>
      <c r="H114" s="6" t="s">
        <v>212</v>
      </c>
      <c r="I114" s="6" t="s">
        <v>1236</v>
      </c>
      <c r="J114" s="61" t="s">
        <v>1218</v>
      </c>
      <c r="K114" s="58">
        <v>12.1</v>
      </c>
      <c r="L114" s="16"/>
      <c r="M114" s="34"/>
      <c r="N114" s="64"/>
      <c r="O114" s="18"/>
    </row>
    <row r="115" spans="1:15" ht="153">
      <c r="A115" s="5" t="s">
        <v>146</v>
      </c>
      <c r="B115" s="6" t="s">
        <v>128</v>
      </c>
      <c r="C115" s="8" t="s">
        <v>151</v>
      </c>
      <c r="D115" s="7" t="s">
        <v>142</v>
      </c>
      <c r="E115" s="5" t="s">
        <v>9</v>
      </c>
      <c r="F115" s="5" t="s">
        <v>9</v>
      </c>
      <c r="G115" s="5" t="s">
        <v>9</v>
      </c>
      <c r="H115" s="6" t="s">
        <v>212</v>
      </c>
      <c r="I115" s="6" t="s">
        <v>1236</v>
      </c>
      <c r="J115" s="61" t="s">
        <v>1218</v>
      </c>
      <c r="K115" s="58">
        <v>12.1</v>
      </c>
      <c r="L115" s="16"/>
      <c r="M115" s="34"/>
      <c r="N115" s="64"/>
      <c r="O115" s="18"/>
    </row>
    <row r="116" spans="1:15" ht="153">
      <c r="A116" s="5" t="s">
        <v>146</v>
      </c>
      <c r="B116" s="6" t="s">
        <v>128</v>
      </c>
      <c r="C116" s="8" t="s">
        <v>152</v>
      </c>
      <c r="D116" s="7" t="s">
        <v>143</v>
      </c>
      <c r="E116" s="5" t="s">
        <v>9</v>
      </c>
      <c r="F116" s="5" t="s">
        <v>9</v>
      </c>
      <c r="G116" s="5" t="s">
        <v>9</v>
      </c>
      <c r="H116" s="6" t="s">
        <v>212</v>
      </c>
      <c r="I116" s="6" t="s">
        <v>1236</v>
      </c>
      <c r="J116" s="61" t="s">
        <v>1218</v>
      </c>
      <c r="K116" s="58">
        <v>12.1</v>
      </c>
      <c r="L116" s="16"/>
      <c r="M116" s="34"/>
      <c r="N116" s="64"/>
      <c r="O116" s="18"/>
    </row>
    <row r="117" spans="1:15" ht="153">
      <c r="A117" s="5" t="s">
        <v>146</v>
      </c>
      <c r="B117" s="6" t="s">
        <v>128</v>
      </c>
      <c r="C117" s="8" t="s">
        <v>153</v>
      </c>
      <c r="D117" s="7" t="s">
        <v>144</v>
      </c>
      <c r="E117" s="5" t="s">
        <v>9</v>
      </c>
      <c r="F117" s="5" t="s">
        <v>9</v>
      </c>
      <c r="G117" s="5" t="s">
        <v>9</v>
      </c>
      <c r="H117" s="6" t="s">
        <v>212</v>
      </c>
      <c r="I117" s="6" t="s">
        <v>1236</v>
      </c>
      <c r="J117" s="61" t="s">
        <v>1218</v>
      </c>
      <c r="K117" s="58">
        <v>12.1</v>
      </c>
      <c r="L117" s="16"/>
      <c r="M117" s="34"/>
      <c r="N117" s="64"/>
      <c r="O117" s="18" t="s">
        <v>145</v>
      </c>
    </row>
    <row r="118" spans="1:15" ht="153">
      <c r="A118" s="5" t="s">
        <v>146</v>
      </c>
      <c r="B118" s="6" t="s">
        <v>128</v>
      </c>
      <c r="C118" s="5">
        <v>19.2</v>
      </c>
      <c r="D118" s="7" t="s">
        <v>191</v>
      </c>
      <c r="E118" s="5" t="s">
        <v>9</v>
      </c>
      <c r="F118" s="5" t="s">
        <v>9</v>
      </c>
      <c r="G118" s="5" t="s">
        <v>9</v>
      </c>
      <c r="H118" s="6" t="s">
        <v>212</v>
      </c>
      <c r="I118" s="6" t="s">
        <v>1236</v>
      </c>
      <c r="J118" s="61" t="s">
        <v>1218</v>
      </c>
      <c r="K118" s="58">
        <v>12.1</v>
      </c>
      <c r="L118" s="16"/>
      <c r="M118" s="34"/>
      <c r="N118" s="64"/>
      <c r="O118" s="18" t="s">
        <v>192</v>
      </c>
    </row>
    <row r="119" spans="1:15" ht="136">
      <c r="A119" s="5" t="s">
        <v>146</v>
      </c>
      <c r="B119" s="6" t="s">
        <v>129</v>
      </c>
      <c r="C119" s="5">
        <v>20.100000000000001</v>
      </c>
      <c r="D119" s="7" t="s">
        <v>150</v>
      </c>
      <c r="E119" s="5" t="s">
        <v>9</v>
      </c>
      <c r="F119" s="5" t="s">
        <v>12</v>
      </c>
      <c r="G119" s="5" t="s">
        <v>14</v>
      </c>
      <c r="H119" s="6" t="s">
        <v>212</v>
      </c>
      <c r="I119" s="6" t="s">
        <v>1237</v>
      </c>
      <c r="J119" s="60"/>
      <c r="K119" s="56">
        <v>11.3</v>
      </c>
      <c r="L119" s="16"/>
      <c r="M119" s="34"/>
      <c r="N119" s="64"/>
      <c r="O119" s="18"/>
    </row>
    <row r="120" spans="1:15" ht="136">
      <c r="A120" s="5" t="s">
        <v>146</v>
      </c>
      <c r="B120" s="6" t="s">
        <v>129</v>
      </c>
      <c r="C120" s="8" t="s">
        <v>147</v>
      </c>
      <c r="D120" s="7" t="s">
        <v>193</v>
      </c>
      <c r="E120" s="5" t="s">
        <v>9</v>
      </c>
      <c r="F120" s="5" t="s">
        <v>12</v>
      </c>
      <c r="G120" s="5" t="s">
        <v>14</v>
      </c>
      <c r="H120" s="6" t="s">
        <v>212</v>
      </c>
      <c r="I120" s="6" t="s">
        <v>1237</v>
      </c>
      <c r="J120" s="60"/>
      <c r="K120" s="56">
        <v>11.3</v>
      </c>
      <c r="L120" s="16"/>
      <c r="M120" s="34"/>
      <c r="N120" s="64"/>
      <c r="O120" s="18"/>
    </row>
    <row r="121" spans="1:15" ht="136">
      <c r="A121" s="5" t="s">
        <v>146</v>
      </c>
      <c r="B121" s="6" t="s">
        <v>129</v>
      </c>
      <c r="C121" s="8" t="s">
        <v>149</v>
      </c>
      <c r="D121" s="7" t="s">
        <v>148</v>
      </c>
      <c r="E121" s="5" t="s">
        <v>9</v>
      </c>
      <c r="F121" s="5" t="s">
        <v>12</v>
      </c>
      <c r="G121" s="5" t="s">
        <v>14</v>
      </c>
      <c r="H121" s="6" t="s">
        <v>212</v>
      </c>
      <c r="I121" s="6" t="s">
        <v>1237</v>
      </c>
      <c r="J121" s="60"/>
      <c r="K121" s="56">
        <v>11.3</v>
      </c>
      <c r="L121" s="16"/>
      <c r="M121" s="34"/>
      <c r="N121" s="64"/>
      <c r="O121" s="18"/>
    </row>
    <row r="122" spans="1:15" ht="136">
      <c r="A122" s="5" t="s">
        <v>146</v>
      </c>
      <c r="B122" s="6" t="s">
        <v>129</v>
      </c>
      <c r="C122" s="5">
        <v>20.2</v>
      </c>
      <c r="D122" s="7" t="s">
        <v>194</v>
      </c>
      <c r="E122" s="5" t="s">
        <v>9</v>
      </c>
      <c r="F122" s="5" t="s">
        <v>12</v>
      </c>
      <c r="G122" s="5" t="s">
        <v>14</v>
      </c>
      <c r="H122" s="6" t="s">
        <v>212</v>
      </c>
      <c r="I122" s="6" t="s">
        <v>1237</v>
      </c>
      <c r="J122" s="60"/>
      <c r="K122" s="56">
        <v>11.3</v>
      </c>
      <c r="L122" s="16"/>
      <c r="M122" s="34"/>
      <c r="N122" s="64"/>
      <c r="O122" s="18"/>
    </row>
    <row r="123" spans="1:15">
      <c r="A123" s="5"/>
      <c r="B123" s="6"/>
      <c r="C123" s="5"/>
      <c r="D123" s="7"/>
      <c r="E123" s="5"/>
      <c r="F123" s="5"/>
      <c r="G123" s="5"/>
      <c r="H123" s="5"/>
      <c r="I123" s="5"/>
      <c r="J123" s="5"/>
      <c r="K123" s="5"/>
      <c r="L123" s="16"/>
      <c r="M123" s="34"/>
      <c r="N123" s="64"/>
      <c r="O123" s="18"/>
    </row>
    <row r="124" spans="1:15">
      <c r="A124" s="5"/>
      <c r="B124" s="6"/>
      <c r="C124" s="5"/>
      <c r="D124" s="7"/>
      <c r="E124" s="5"/>
      <c r="F124" s="5"/>
      <c r="G124" s="5"/>
      <c r="H124" s="5"/>
      <c r="I124" s="5"/>
      <c r="J124" s="5"/>
      <c r="K124" s="5"/>
      <c r="L124" s="16"/>
      <c r="M124" s="34"/>
      <c r="N124" s="64"/>
      <c r="O124" s="18"/>
    </row>
    <row r="125" spans="1:15">
      <c r="A125" s="5"/>
      <c r="B125" s="6"/>
      <c r="C125" s="5"/>
      <c r="D125" s="7"/>
      <c r="E125" s="5"/>
      <c r="F125" s="5"/>
      <c r="G125" s="5"/>
      <c r="H125" s="5"/>
      <c r="I125" s="5"/>
      <c r="J125" s="5"/>
      <c r="K125" s="5"/>
      <c r="L125" s="16"/>
      <c r="M125" s="34"/>
      <c r="N125" s="64"/>
      <c r="O125" s="18"/>
    </row>
    <row r="126" spans="1:15" ht="20">
      <c r="D126" s="9" t="s">
        <v>9</v>
      </c>
      <c r="E126" s="5">
        <f>COUNTIF(E3:E125, "Required")</f>
        <v>111</v>
      </c>
      <c r="F126" s="5">
        <f>COUNTIF(F3:F125, "Required")</f>
        <v>79</v>
      </c>
      <c r="G126" s="5">
        <f>COUNTIF(G3:G125, "Required")</f>
        <v>41</v>
      </c>
      <c r="H126" s="14"/>
    </row>
    <row r="127" spans="1:15" ht="20">
      <c r="D127" s="9" t="s">
        <v>12</v>
      </c>
      <c r="E127" s="5">
        <f>COUNTIF(E3:E125, "Recommend")</f>
        <v>9</v>
      </c>
      <c r="F127" s="5">
        <f>COUNTIF(F3:F125, "Recommend")</f>
        <v>38</v>
      </c>
      <c r="G127" s="5">
        <f>COUNTIF(G3:G125, "Recommend")</f>
        <v>39</v>
      </c>
      <c r="H127" s="14"/>
    </row>
    <row r="128" spans="1:15" ht="20">
      <c r="D128" s="9" t="s">
        <v>14</v>
      </c>
      <c r="E128" s="5">
        <f>COUNTIF(E3:E125, "Optional")</f>
        <v>0</v>
      </c>
      <c r="F128" s="5">
        <f>COUNTIF(F3:F125, "Optional")</f>
        <v>3</v>
      </c>
      <c r="G128" s="5">
        <f>COUNTIF(G3:G125, "Optional")</f>
        <v>40</v>
      </c>
      <c r="H128" s="14"/>
    </row>
    <row r="129" spans="4:8" ht="20">
      <c r="D129" s="9" t="s">
        <v>171</v>
      </c>
      <c r="E129" s="10">
        <f>SUM(E126:E128)</f>
        <v>120</v>
      </c>
      <c r="F129" s="10">
        <f>SUM(F126:F127)</f>
        <v>117</v>
      </c>
      <c r="G129" s="10">
        <f>SUM(G126:G127)</f>
        <v>80</v>
      </c>
      <c r="H129" s="62"/>
    </row>
  </sheetData>
  <conditionalFormatting sqref="O2 E75:G76 E70:G73 E84:G84 E82:G82 E123:H1048576 E86:G122">
    <cfRule type="containsText" dxfId="329" priority="328" operator="containsText" text="Optional">
      <formula>NOT(ISERROR(SEARCH("Optional",E2)))</formula>
    </cfRule>
    <cfRule type="containsText" dxfId="328" priority="329" operator="containsText" text="Recommend">
      <formula>NOT(ISERROR(SEARCH("Recommend",E2)))</formula>
    </cfRule>
    <cfRule type="containsText" dxfId="327" priority="330" operator="containsText" text="Required">
      <formula>NOT(ISERROR(SEARCH("Required",E2)))</formula>
    </cfRule>
  </conditionalFormatting>
  <conditionalFormatting sqref="E1:E10 E17 E19:E20 E42 E55 E65">
    <cfRule type="containsText" dxfId="326" priority="325" operator="containsText" text="Optional">
      <formula>NOT(ISERROR(SEARCH("Optional",E1)))</formula>
    </cfRule>
    <cfRule type="containsText" dxfId="325" priority="326" operator="containsText" text="Recommend">
      <formula>NOT(ISERROR(SEARCH("Recommend",E1)))</formula>
    </cfRule>
    <cfRule type="containsText" dxfId="324" priority="327" operator="containsText" text="Required">
      <formula>NOT(ISERROR(SEARCH("Required",E1)))</formula>
    </cfRule>
  </conditionalFormatting>
  <conditionalFormatting sqref="F1:H3 F17:G17 F19:G20 F42:G42 F55:G55 G67:G68 F65:G65 F4:G10">
    <cfRule type="containsText" dxfId="323" priority="322" operator="containsText" text="Optional">
      <formula>NOT(ISERROR(SEARCH("Optional",F1)))</formula>
    </cfRule>
    <cfRule type="containsText" dxfId="322" priority="323" operator="containsText" text="Recommend">
      <formula>NOT(ISERROR(SEARCH("Recommend",F1)))</formula>
    </cfRule>
    <cfRule type="containsText" dxfId="321" priority="324" operator="containsText" text="Required">
      <formula>NOT(ISERROR(SEARCH("Required",F1)))</formula>
    </cfRule>
  </conditionalFormatting>
  <conditionalFormatting sqref="E18">
    <cfRule type="containsText" dxfId="320" priority="301" operator="containsText" text="Optional">
      <formula>NOT(ISERROR(SEARCH("Optional",E18)))</formula>
    </cfRule>
    <cfRule type="containsText" dxfId="319" priority="302" operator="containsText" text="Recommend">
      <formula>NOT(ISERROR(SEARCH("Recommend",E18)))</formula>
    </cfRule>
    <cfRule type="containsText" dxfId="318" priority="303" operator="containsText" text="Required">
      <formula>NOT(ISERROR(SEARCH("Required",E18)))</formula>
    </cfRule>
  </conditionalFormatting>
  <conditionalFormatting sqref="F18:G18">
    <cfRule type="containsText" dxfId="317" priority="298" operator="containsText" text="Optional">
      <formula>NOT(ISERROR(SEARCH("Optional",F18)))</formula>
    </cfRule>
    <cfRule type="containsText" dxfId="316" priority="299" operator="containsText" text="Recommend">
      <formula>NOT(ISERROR(SEARCH("Recommend",F18)))</formula>
    </cfRule>
    <cfRule type="containsText" dxfId="315" priority="300" operator="containsText" text="Required">
      <formula>NOT(ISERROR(SEARCH("Required",F18)))</formula>
    </cfRule>
  </conditionalFormatting>
  <conditionalFormatting sqref="E11:E12">
    <cfRule type="containsText" dxfId="314" priority="319" operator="containsText" text="Optional">
      <formula>NOT(ISERROR(SEARCH("Optional",E11)))</formula>
    </cfRule>
    <cfRule type="containsText" dxfId="313" priority="320" operator="containsText" text="Recommend">
      <formula>NOT(ISERROR(SEARCH("Recommend",E11)))</formula>
    </cfRule>
    <cfRule type="containsText" dxfId="312" priority="321" operator="containsText" text="Required">
      <formula>NOT(ISERROR(SEARCH("Required",E11)))</formula>
    </cfRule>
  </conditionalFormatting>
  <conditionalFormatting sqref="F11:G12">
    <cfRule type="containsText" dxfId="311" priority="316" operator="containsText" text="Optional">
      <formula>NOT(ISERROR(SEARCH("Optional",F11)))</formula>
    </cfRule>
    <cfRule type="containsText" dxfId="310" priority="317" operator="containsText" text="Recommend">
      <formula>NOT(ISERROR(SEARCH("Recommend",F11)))</formula>
    </cfRule>
    <cfRule type="containsText" dxfId="309" priority="318" operator="containsText" text="Required">
      <formula>NOT(ISERROR(SEARCH("Required",F11)))</formula>
    </cfRule>
  </conditionalFormatting>
  <conditionalFormatting sqref="E13">
    <cfRule type="containsText" dxfId="308" priority="313" operator="containsText" text="Optional">
      <formula>NOT(ISERROR(SEARCH("Optional",E13)))</formula>
    </cfRule>
    <cfRule type="containsText" dxfId="307" priority="314" operator="containsText" text="Recommend">
      <formula>NOT(ISERROR(SEARCH("Recommend",E13)))</formula>
    </cfRule>
    <cfRule type="containsText" dxfId="306" priority="315" operator="containsText" text="Required">
      <formula>NOT(ISERROR(SEARCH("Required",E13)))</formula>
    </cfRule>
  </conditionalFormatting>
  <conditionalFormatting sqref="F13:G13">
    <cfRule type="containsText" dxfId="305" priority="310" operator="containsText" text="Optional">
      <formula>NOT(ISERROR(SEARCH("Optional",F13)))</formula>
    </cfRule>
    <cfRule type="containsText" dxfId="304" priority="311" operator="containsText" text="Recommend">
      <formula>NOT(ISERROR(SEARCH("Recommend",F13)))</formula>
    </cfRule>
    <cfRule type="containsText" dxfId="303" priority="312" operator="containsText" text="Required">
      <formula>NOT(ISERROR(SEARCH("Required",F13)))</formula>
    </cfRule>
  </conditionalFormatting>
  <conditionalFormatting sqref="E14:E16">
    <cfRule type="containsText" dxfId="302" priority="307" operator="containsText" text="Optional">
      <formula>NOT(ISERROR(SEARCH("Optional",E14)))</formula>
    </cfRule>
    <cfRule type="containsText" dxfId="301" priority="308" operator="containsText" text="Recommend">
      <formula>NOT(ISERROR(SEARCH("Recommend",E14)))</formula>
    </cfRule>
    <cfRule type="containsText" dxfId="300" priority="309" operator="containsText" text="Required">
      <formula>NOT(ISERROR(SEARCH("Required",E14)))</formula>
    </cfRule>
  </conditionalFormatting>
  <conditionalFormatting sqref="F14:G16">
    <cfRule type="containsText" dxfId="299" priority="304" operator="containsText" text="Optional">
      <formula>NOT(ISERROR(SEARCH("Optional",F14)))</formula>
    </cfRule>
    <cfRule type="containsText" dxfId="298" priority="305" operator="containsText" text="Recommend">
      <formula>NOT(ISERROR(SEARCH("Recommend",F14)))</formula>
    </cfRule>
    <cfRule type="containsText" dxfId="297" priority="306" operator="containsText" text="Required">
      <formula>NOT(ISERROR(SEARCH("Required",F14)))</formula>
    </cfRule>
  </conditionalFormatting>
  <conditionalFormatting sqref="E27">
    <cfRule type="containsText" dxfId="296" priority="295" operator="containsText" text="Optional">
      <formula>NOT(ISERROR(SEARCH("Optional",E27)))</formula>
    </cfRule>
    <cfRule type="containsText" dxfId="295" priority="296" operator="containsText" text="Recommend">
      <formula>NOT(ISERROR(SEARCH("Recommend",E27)))</formula>
    </cfRule>
    <cfRule type="containsText" dxfId="294" priority="297" operator="containsText" text="Required">
      <formula>NOT(ISERROR(SEARCH("Required",E27)))</formula>
    </cfRule>
  </conditionalFormatting>
  <conditionalFormatting sqref="F27:G27">
    <cfRule type="containsText" dxfId="293" priority="292" operator="containsText" text="Optional">
      <formula>NOT(ISERROR(SEARCH("Optional",F27)))</formula>
    </cfRule>
    <cfRule type="containsText" dxfId="292" priority="293" operator="containsText" text="Recommend">
      <formula>NOT(ISERROR(SEARCH("Recommend",F27)))</formula>
    </cfRule>
    <cfRule type="containsText" dxfId="291" priority="294" operator="containsText" text="Required">
      <formula>NOT(ISERROR(SEARCH("Required",F27)))</formula>
    </cfRule>
  </conditionalFormatting>
  <conditionalFormatting sqref="E21:E22">
    <cfRule type="containsText" dxfId="290" priority="289" operator="containsText" text="Optional">
      <formula>NOT(ISERROR(SEARCH("Optional",E21)))</formula>
    </cfRule>
    <cfRule type="containsText" dxfId="289" priority="290" operator="containsText" text="Recommend">
      <formula>NOT(ISERROR(SEARCH("Recommend",E21)))</formula>
    </cfRule>
    <cfRule type="containsText" dxfId="288" priority="291" operator="containsText" text="Required">
      <formula>NOT(ISERROR(SEARCH("Required",E21)))</formula>
    </cfRule>
  </conditionalFormatting>
  <conditionalFormatting sqref="F21:G22">
    <cfRule type="containsText" dxfId="287" priority="286" operator="containsText" text="Optional">
      <formula>NOT(ISERROR(SEARCH("Optional",F21)))</formula>
    </cfRule>
    <cfRule type="containsText" dxfId="286" priority="287" operator="containsText" text="Recommend">
      <formula>NOT(ISERROR(SEARCH("Recommend",F21)))</formula>
    </cfRule>
    <cfRule type="containsText" dxfId="285" priority="288" operator="containsText" text="Required">
      <formula>NOT(ISERROR(SEARCH("Required",F21)))</formula>
    </cfRule>
  </conditionalFormatting>
  <conditionalFormatting sqref="E23:E26">
    <cfRule type="containsText" dxfId="284" priority="283" operator="containsText" text="Optional">
      <formula>NOT(ISERROR(SEARCH("Optional",E23)))</formula>
    </cfRule>
    <cfRule type="containsText" dxfId="283" priority="284" operator="containsText" text="Recommend">
      <formula>NOT(ISERROR(SEARCH("Recommend",E23)))</formula>
    </cfRule>
    <cfRule type="containsText" dxfId="282" priority="285" operator="containsText" text="Required">
      <formula>NOT(ISERROR(SEARCH("Required",E23)))</formula>
    </cfRule>
  </conditionalFormatting>
  <conditionalFormatting sqref="F23:G26">
    <cfRule type="containsText" dxfId="281" priority="280" operator="containsText" text="Optional">
      <formula>NOT(ISERROR(SEARCH("Optional",F23)))</formula>
    </cfRule>
    <cfRule type="containsText" dxfId="280" priority="281" operator="containsText" text="Recommend">
      <formula>NOT(ISERROR(SEARCH("Recommend",F23)))</formula>
    </cfRule>
    <cfRule type="containsText" dxfId="279" priority="282" operator="containsText" text="Required">
      <formula>NOT(ISERROR(SEARCH("Required",F23)))</formula>
    </cfRule>
  </conditionalFormatting>
  <conditionalFormatting sqref="E28:E29">
    <cfRule type="containsText" dxfId="278" priority="277" operator="containsText" text="Optional">
      <formula>NOT(ISERROR(SEARCH("Optional",E28)))</formula>
    </cfRule>
    <cfRule type="containsText" dxfId="277" priority="278" operator="containsText" text="Recommend">
      <formula>NOT(ISERROR(SEARCH("Recommend",E28)))</formula>
    </cfRule>
    <cfRule type="containsText" dxfId="276" priority="279" operator="containsText" text="Required">
      <formula>NOT(ISERROR(SEARCH("Required",E28)))</formula>
    </cfRule>
  </conditionalFormatting>
  <conditionalFormatting sqref="F28:G29">
    <cfRule type="containsText" dxfId="275" priority="274" operator="containsText" text="Optional">
      <formula>NOT(ISERROR(SEARCH("Optional",F28)))</formula>
    </cfRule>
    <cfRule type="containsText" dxfId="274" priority="275" operator="containsText" text="Recommend">
      <formula>NOT(ISERROR(SEARCH("Recommend",F28)))</formula>
    </cfRule>
    <cfRule type="containsText" dxfId="273" priority="276" operator="containsText" text="Required">
      <formula>NOT(ISERROR(SEARCH("Required",F28)))</formula>
    </cfRule>
  </conditionalFormatting>
  <conditionalFormatting sqref="E30">
    <cfRule type="containsText" dxfId="272" priority="271" operator="containsText" text="Optional">
      <formula>NOT(ISERROR(SEARCH("Optional",E30)))</formula>
    </cfRule>
    <cfRule type="containsText" dxfId="271" priority="272" operator="containsText" text="Recommend">
      <formula>NOT(ISERROR(SEARCH("Recommend",E30)))</formula>
    </cfRule>
    <cfRule type="containsText" dxfId="270" priority="273" operator="containsText" text="Required">
      <formula>NOT(ISERROR(SEARCH("Required",E30)))</formula>
    </cfRule>
  </conditionalFormatting>
  <conditionalFormatting sqref="F30:G30">
    <cfRule type="containsText" dxfId="269" priority="268" operator="containsText" text="Optional">
      <formula>NOT(ISERROR(SEARCH("Optional",F30)))</formula>
    </cfRule>
    <cfRule type="containsText" dxfId="268" priority="269" operator="containsText" text="Recommend">
      <formula>NOT(ISERROR(SEARCH("Recommend",F30)))</formula>
    </cfRule>
    <cfRule type="containsText" dxfId="267" priority="270" operator="containsText" text="Required">
      <formula>NOT(ISERROR(SEARCH("Required",F30)))</formula>
    </cfRule>
  </conditionalFormatting>
  <conditionalFormatting sqref="E31:E34">
    <cfRule type="containsText" dxfId="266" priority="265" operator="containsText" text="Optional">
      <formula>NOT(ISERROR(SEARCH("Optional",E31)))</formula>
    </cfRule>
    <cfRule type="containsText" dxfId="265" priority="266" operator="containsText" text="Recommend">
      <formula>NOT(ISERROR(SEARCH("Recommend",E31)))</formula>
    </cfRule>
    <cfRule type="containsText" dxfId="264" priority="267" operator="containsText" text="Required">
      <formula>NOT(ISERROR(SEARCH("Required",E31)))</formula>
    </cfRule>
  </conditionalFormatting>
  <conditionalFormatting sqref="F31:G34">
    <cfRule type="containsText" dxfId="263" priority="262" operator="containsText" text="Optional">
      <formula>NOT(ISERROR(SEARCH("Optional",F31)))</formula>
    </cfRule>
    <cfRule type="containsText" dxfId="262" priority="263" operator="containsText" text="Recommend">
      <formula>NOT(ISERROR(SEARCH("Recommend",F31)))</formula>
    </cfRule>
    <cfRule type="containsText" dxfId="261" priority="264" operator="containsText" text="Required">
      <formula>NOT(ISERROR(SEARCH("Required",F31)))</formula>
    </cfRule>
  </conditionalFormatting>
  <conditionalFormatting sqref="E35">
    <cfRule type="containsText" dxfId="260" priority="259" operator="containsText" text="Optional">
      <formula>NOT(ISERROR(SEARCH("Optional",E35)))</formula>
    </cfRule>
    <cfRule type="containsText" dxfId="259" priority="260" operator="containsText" text="Recommend">
      <formula>NOT(ISERROR(SEARCH("Recommend",E35)))</formula>
    </cfRule>
    <cfRule type="containsText" dxfId="258" priority="261" operator="containsText" text="Required">
      <formula>NOT(ISERROR(SEARCH("Required",E35)))</formula>
    </cfRule>
  </conditionalFormatting>
  <conditionalFormatting sqref="F35:G35">
    <cfRule type="containsText" dxfId="257" priority="256" operator="containsText" text="Optional">
      <formula>NOT(ISERROR(SEARCH("Optional",F35)))</formula>
    </cfRule>
    <cfRule type="containsText" dxfId="256" priority="257" operator="containsText" text="Recommend">
      <formula>NOT(ISERROR(SEARCH("Recommend",F35)))</formula>
    </cfRule>
    <cfRule type="containsText" dxfId="255" priority="258" operator="containsText" text="Required">
      <formula>NOT(ISERROR(SEARCH("Required",F35)))</formula>
    </cfRule>
  </conditionalFormatting>
  <conditionalFormatting sqref="E36">
    <cfRule type="containsText" dxfId="254" priority="253" operator="containsText" text="Optional">
      <formula>NOT(ISERROR(SEARCH("Optional",E36)))</formula>
    </cfRule>
    <cfRule type="containsText" dxfId="253" priority="254" operator="containsText" text="Recommend">
      <formula>NOT(ISERROR(SEARCH("Recommend",E36)))</formula>
    </cfRule>
    <cfRule type="containsText" dxfId="252" priority="255" operator="containsText" text="Required">
      <formula>NOT(ISERROR(SEARCH("Required",E36)))</formula>
    </cfRule>
  </conditionalFormatting>
  <conditionalFormatting sqref="F36:G36">
    <cfRule type="containsText" dxfId="251" priority="250" operator="containsText" text="Optional">
      <formula>NOT(ISERROR(SEARCH("Optional",F36)))</formula>
    </cfRule>
    <cfRule type="containsText" dxfId="250" priority="251" operator="containsText" text="Recommend">
      <formula>NOT(ISERROR(SEARCH("Recommend",F36)))</formula>
    </cfRule>
    <cfRule type="containsText" dxfId="249" priority="252" operator="containsText" text="Required">
      <formula>NOT(ISERROR(SEARCH("Required",F36)))</formula>
    </cfRule>
  </conditionalFormatting>
  <conditionalFormatting sqref="E37:E40">
    <cfRule type="containsText" dxfId="248" priority="247" operator="containsText" text="Optional">
      <formula>NOT(ISERROR(SEARCH("Optional",E37)))</formula>
    </cfRule>
    <cfRule type="containsText" dxfId="247" priority="248" operator="containsText" text="Recommend">
      <formula>NOT(ISERROR(SEARCH("Recommend",E37)))</formula>
    </cfRule>
    <cfRule type="containsText" dxfId="246" priority="249" operator="containsText" text="Required">
      <formula>NOT(ISERROR(SEARCH("Required",E37)))</formula>
    </cfRule>
  </conditionalFormatting>
  <conditionalFormatting sqref="F37:G40">
    <cfRule type="containsText" dxfId="245" priority="244" operator="containsText" text="Optional">
      <formula>NOT(ISERROR(SEARCH("Optional",F37)))</formula>
    </cfRule>
    <cfRule type="containsText" dxfId="244" priority="245" operator="containsText" text="Recommend">
      <formula>NOT(ISERROR(SEARCH("Recommend",F37)))</formula>
    </cfRule>
    <cfRule type="containsText" dxfId="243" priority="246" operator="containsText" text="Required">
      <formula>NOT(ISERROR(SEARCH("Required",F37)))</formula>
    </cfRule>
  </conditionalFormatting>
  <conditionalFormatting sqref="E41">
    <cfRule type="containsText" dxfId="242" priority="241" operator="containsText" text="Optional">
      <formula>NOT(ISERROR(SEARCH("Optional",E41)))</formula>
    </cfRule>
    <cfRule type="containsText" dxfId="241" priority="242" operator="containsText" text="Recommend">
      <formula>NOT(ISERROR(SEARCH("Recommend",E41)))</formula>
    </cfRule>
    <cfRule type="containsText" dxfId="240" priority="243" operator="containsText" text="Required">
      <formula>NOT(ISERROR(SEARCH("Required",E41)))</formula>
    </cfRule>
  </conditionalFormatting>
  <conditionalFormatting sqref="F41:G41">
    <cfRule type="containsText" dxfId="239" priority="238" operator="containsText" text="Optional">
      <formula>NOT(ISERROR(SEARCH("Optional",F41)))</formula>
    </cfRule>
    <cfRule type="containsText" dxfId="238" priority="239" operator="containsText" text="Recommend">
      <formula>NOT(ISERROR(SEARCH("Recommend",F41)))</formula>
    </cfRule>
    <cfRule type="containsText" dxfId="237" priority="240" operator="containsText" text="Required">
      <formula>NOT(ISERROR(SEARCH("Required",F41)))</formula>
    </cfRule>
  </conditionalFormatting>
  <conditionalFormatting sqref="E43">
    <cfRule type="containsText" dxfId="236" priority="235" operator="containsText" text="Optional">
      <formula>NOT(ISERROR(SEARCH("Optional",E43)))</formula>
    </cfRule>
    <cfRule type="containsText" dxfId="235" priority="236" operator="containsText" text="Recommend">
      <formula>NOT(ISERROR(SEARCH("Recommend",E43)))</formula>
    </cfRule>
    <cfRule type="containsText" dxfId="234" priority="237" operator="containsText" text="Required">
      <formula>NOT(ISERROR(SEARCH("Required",E43)))</formula>
    </cfRule>
  </conditionalFormatting>
  <conditionalFormatting sqref="F43:G43">
    <cfRule type="containsText" dxfId="233" priority="232" operator="containsText" text="Optional">
      <formula>NOT(ISERROR(SEARCH("Optional",F43)))</formula>
    </cfRule>
    <cfRule type="containsText" dxfId="232" priority="233" operator="containsText" text="Recommend">
      <formula>NOT(ISERROR(SEARCH("Recommend",F43)))</formula>
    </cfRule>
    <cfRule type="containsText" dxfId="231" priority="234" operator="containsText" text="Required">
      <formula>NOT(ISERROR(SEARCH("Required",F43)))</formula>
    </cfRule>
  </conditionalFormatting>
  <conditionalFormatting sqref="E44">
    <cfRule type="containsText" dxfId="230" priority="229" operator="containsText" text="Optional">
      <formula>NOT(ISERROR(SEARCH("Optional",E44)))</formula>
    </cfRule>
    <cfRule type="containsText" dxfId="229" priority="230" operator="containsText" text="Recommend">
      <formula>NOT(ISERROR(SEARCH("Recommend",E44)))</formula>
    </cfRule>
    <cfRule type="containsText" dxfId="228" priority="231" operator="containsText" text="Required">
      <formula>NOT(ISERROR(SEARCH("Required",E44)))</formula>
    </cfRule>
  </conditionalFormatting>
  <conditionalFormatting sqref="F44:G44">
    <cfRule type="containsText" dxfId="227" priority="226" operator="containsText" text="Optional">
      <formula>NOT(ISERROR(SEARCH("Optional",F44)))</formula>
    </cfRule>
    <cfRule type="containsText" dxfId="226" priority="227" operator="containsText" text="Recommend">
      <formula>NOT(ISERROR(SEARCH("Recommend",F44)))</formula>
    </cfRule>
    <cfRule type="containsText" dxfId="225" priority="228" operator="containsText" text="Required">
      <formula>NOT(ISERROR(SEARCH("Required",F44)))</formula>
    </cfRule>
  </conditionalFormatting>
  <conditionalFormatting sqref="E45">
    <cfRule type="containsText" dxfId="224" priority="223" operator="containsText" text="Optional">
      <formula>NOT(ISERROR(SEARCH("Optional",E45)))</formula>
    </cfRule>
    <cfRule type="containsText" dxfId="223" priority="224" operator="containsText" text="Recommend">
      <formula>NOT(ISERROR(SEARCH("Recommend",E45)))</formula>
    </cfRule>
    <cfRule type="containsText" dxfId="222" priority="225" operator="containsText" text="Required">
      <formula>NOT(ISERROR(SEARCH("Required",E45)))</formula>
    </cfRule>
  </conditionalFormatting>
  <conditionalFormatting sqref="F45:G45">
    <cfRule type="containsText" dxfId="221" priority="220" operator="containsText" text="Optional">
      <formula>NOT(ISERROR(SEARCH("Optional",F45)))</formula>
    </cfRule>
    <cfRule type="containsText" dxfId="220" priority="221" operator="containsText" text="Recommend">
      <formula>NOT(ISERROR(SEARCH("Recommend",F45)))</formula>
    </cfRule>
    <cfRule type="containsText" dxfId="219" priority="222" operator="containsText" text="Required">
      <formula>NOT(ISERROR(SEARCH("Required",F45)))</formula>
    </cfRule>
  </conditionalFormatting>
  <conditionalFormatting sqref="E46">
    <cfRule type="containsText" dxfId="218" priority="217" operator="containsText" text="Optional">
      <formula>NOT(ISERROR(SEARCH("Optional",E46)))</formula>
    </cfRule>
    <cfRule type="containsText" dxfId="217" priority="218" operator="containsText" text="Recommend">
      <formula>NOT(ISERROR(SEARCH("Recommend",E46)))</formula>
    </cfRule>
    <cfRule type="containsText" dxfId="216" priority="219" operator="containsText" text="Required">
      <formula>NOT(ISERROR(SEARCH("Required",E46)))</formula>
    </cfRule>
  </conditionalFormatting>
  <conditionalFormatting sqref="F46:G46">
    <cfRule type="containsText" dxfId="215" priority="214" operator="containsText" text="Optional">
      <formula>NOT(ISERROR(SEARCH("Optional",F46)))</formula>
    </cfRule>
    <cfRule type="containsText" dxfId="214" priority="215" operator="containsText" text="Recommend">
      <formula>NOT(ISERROR(SEARCH("Recommend",F46)))</formula>
    </cfRule>
    <cfRule type="containsText" dxfId="213" priority="216" operator="containsText" text="Required">
      <formula>NOT(ISERROR(SEARCH("Required",F46)))</formula>
    </cfRule>
  </conditionalFormatting>
  <conditionalFormatting sqref="E47:E48">
    <cfRule type="containsText" dxfId="212" priority="211" operator="containsText" text="Optional">
      <formula>NOT(ISERROR(SEARCH("Optional",E47)))</formula>
    </cfRule>
    <cfRule type="containsText" dxfId="211" priority="212" operator="containsText" text="Recommend">
      <formula>NOT(ISERROR(SEARCH("Recommend",E47)))</formula>
    </cfRule>
    <cfRule type="containsText" dxfId="210" priority="213" operator="containsText" text="Required">
      <formula>NOT(ISERROR(SEARCH("Required",E47)))</formula>
    </cfRule>
  </conditionalFormatting>
  <conditionalFormatting sqref="F47:G48">
    <cfRule type="containsText" dxfId="209" priority="208" operator="containsText" text="Optional">
      <formula>NOT(ISERROR(SEARCH("Optional",F47)))</formula>
    </cfRule>
    <cfRule type="containsText" dxfId="208" priority="209" operator="containsText" text="Recommend">
      <formula>NOT(ISERROR(SEARCH("Recommend",F47)))</formula>
    </cfRule>
    <cfRule type="containsText" dxfId="207" priority="210" operator="containsText" text="Required">
      <formula>NOT(ISERROR(SEARCH("Required",F47)))</formula>
    </cfRule>
  </conditionalFormatting>
  <conditionalFormatting sqref="E49">
    <cfRule type="containsText" dxfId="206" priority="205" operator="containsText" text="Optional">
      <formula>NOT(ISERROR(SEARCH("Optional",E49)))</formula>
    </cfRule>
    <cfRule type="containsText" dxfId="205" priority="206" operator="containsText" text="Recommend">
      <formula>NOT(ISERROR(SEARCH("Recommend",E49)))</formula>
    </cfRule>
    <cfRule type="containsText" dxfId="204" priority="207" operator="containsText" text="Required">
      <formula>NOT(ISERROR(SEARCH("Required",E49)))</formula>
    </cfRule>
  </conditionalFormatting>
  <conditionalFormatting sqref="F49:G49">
    <cfRule type="containsText" dxfId="203" priority="202" operator="containsText" text="Optional">
      <formula>NOT(ISERROR(SEARCH("Optional",F49)))</formula>
    </cfRule>
    <cfRule type="containsText" dxfId="202" priority="203" operator="containsText" text="Recommend">
      <formula>NOT(ISERROR(SEARCH("Recommend",F49)))</formula>
    </cfRule>
    <cfRule type="containsText" dxfId="201" priority="204" operator="containsText" text="Required">
      <formula>NOT(ISERROR(SEARCH("Required",F49)))</formula>
    </cfRule>
  </conditionalFormatting>
  <conditionalFormatting sqref="E50">
    <cfRule type="containsText" dxfId="200" priority="199" operator="containsText" text="Optional">
      <formula>NOT(ISERROR(SEARCH("Optional",E50)))</formula>
    </cfRule>
    <cfRule type="containsText" dxfId="199" priority="200" operator="containsText" text="Recommend">
      <formula>NOT(ISERROR(SEARCH("Recommend",E50)))</formula>
    </cfRule>
    <cfRule type="containsText" dxfId="198" priority="201" operator="containsText" text="Required">
      <formula>NOT(ISERROR(SEARCH("Required",E50)))</formula>
    </cfRule>
  </conditionalFormatting>
  <conditionalFormatting sqref="F50:G50">
    <cfRule type="containsText" dxfId="197" priority="196" operator="containsText" text="Optional">
      <formula>NOT(ISERROR(SEARCH("Optional",F50)))</formula>
    </cfRule>
    <cfRule type="containsText" dxfId="196" priority="197" operator="containsText" text="Recommend">
      <formula>NOT(ISERROR(SEARCH("Recommend",F50)))</formula>
    </cfRule>
    <cfRule type="containsText" dxfId="195" priority="198" operator="containsText" text="Required">
      <formula>NOT(ISERROR(SEARCH("Required",F50)))</formula>
    </cfRule>
  </conditionalFormatting>
  <conditionalFormatting sqref="E51">
    <cfRule type="containsText" dxfId="194" priority="193" operator="containsText" text="Optional">
      <formula>NOT(ISERROR(SEARCH("Optional",E51)))</formula>
    </cfRule>
    <cfRule type="containsText" dxfId="193" priority="194" operator="containsText" text="Recommend">
      <formula>NOT(ISERROR(SEARCH("Recommend",E51)))</formula>
    </cfRule>
    <cfRule type="containsText" dxfId="192" priority="195" operator="containsText" text="Required">
      <formula>NOT(ISERROR(SEARCH("Required",E51)))</formula>
    </cfRule>
  </conditionalFormatting>
  <conditionalFormatting sqref="F51:G51">
    <cfRule type="containsText" dxfId="191" priority="190" operator="containsText" text="Optional">
      <formula>NOT(ISERROR(SEARCH("Optional",F51)))</formula>
    </cfRule>
    <cfRule type="containsText" dxfId="190" priority="191" operator="containsText" text="Recommend">
      <formula>NOT(ISERROR(SEARCH("Recommend",F51)))</formula>
    </cfRule>
    <cfRule type="containsText" dxfId="189" priority="192" operator="containsText" text="Required">
      <formula>NOT(ISERROR(SEARCH("Required",F51)))</formula>
    </cfRule>
  </conditionalFormatting>
  <conditionalFormatting sqref="E52:E53">
    <cfRule type="containsText" dxfId="188" priority="187" operator="containsText" text="Optional">
      <formula>NOT(ISERROR(SEARCH("Optional",E52)))</formula>
    </cfRule>
    <cfRule type="containsText" dxfId="187" priority="188" operator="containsText" text="Recommend">
      <formula>NOT(ISERROR(SEARCH("Recommend",E52)))</formula>
    </cfRule>
    <cfRule type="containsText" dxfId="186" priority="189" operator="containsText" text="Required">
      <formula>NOT(ISERROR(SEARCH("Required",E52)))</formula>
    </cfRule>
  </conditionalFormatting>
  <conditionalFormatting sqref="F52:G53">
    <cfRule type="containsText" dxfId="185" priority="184" operator="containsText" text="Optional">
      <formula>NOT(ISERROR(SEARCH("Optional",F52)))</formula>
    </cfRule>
    <cfRule type="containsText" dxfId="184" priority="185" operator="containsText" text="Recommend">
      <formula>NOT(ISERROR(SEARCH("Recommend",F52)))</formula>
    </cfRule>
    <cfRule type="containsText" dxfId="183" priority="186" operator="containsText" text="Required">
      <formula>NOT(ISERROR(SEARCH("Required",F52)))</formula>
    </cfRule>
  </conditionalFormatting>
  <conditionalFormatting sqref="E54">
    <cfRule type="containsText" dxfId="182" priority="181" operator="containsText" text="Optional">
      <formula>NOT(ISERROR(SEARCH("Optional",E54)))</formula>
    </cfRule>
    <cfRule type="containsText" dxfId="181" priority="182" operator="containsText" text="Recommend">
      <formula>NOT(ISERROR(SEARCH("Recommend",E54)))</formula>
    </cfRule>
    <cfRule type="containsText" dxfId="180" priority="183" operator="containsText" text="Required">
      <formula>NOT(ISERROR(SEARCH("Required",E54)))</formula>
    </cfRule>
  </conditionalFormatting>
  <conditionalFormatting sqref="F54:G54">
    <cfRule type="containsText" dxfId="179" priority="178" operator="containsText" text="Optional">
      <formula>NOT(ISERROR(SEARCH("Optional",F54)))</formula>
    </cfRule>
    <cfRule type="containsText" dxfId="178" priority="179" operator="containsText" text="Recommend">
      <formula>NOT(ISERROR(SEARCH("Recommend",F54)))</formula>
    </cfRule>
    <cfRule type="containsText" dxfId="177" priority="180" operator="containsText" text="Required">
      <formula>NOT(ISERROR(SEARCH("Required",F54)))</formula>
    </cfRule>
  </conditionalFormatting>
  <conditionalFormatting sqref="E56">
    <cfRule type="containsText" dxfId="176" priority="175" operator="containsText" text="Optional">
      <formula>NOT(ISERROR(SEARCH("Optional",E56)))</formula>
    </cfRule>
    <cfRule type="containsText" dxfId="175" priority="176" operator="containsText" text="Recommend">
      <formula>NOT(ISERROR(SEARCH("Recommend",E56)))</formula>
    </cfRule>
    <cfRule type="containsText" dxfId="174" priority="177" operator="containsText" text="Required">
      <formula>NOT(ISERROR(SEARCH("Required",E56)))</formula>
    </cfRule>
  </conditionalFormatting>
  <conditionalFormatting sqref="F56:G56">
    <cfRule type="containsText" dxfId="173" priority="172" operator="containsText" text="Optional">
      <formula>NOT(ISERROR(SEARCH("Optional",F56)))</formula>
    </cfRule>
    <cfRule type="containsText" dxfId="172" priority="173" operator="containsText" text="Recommend">
      <formula>NOT(ISERROR(SEARCH("Recommend",F56)))</formula>
    </cfRule>
    <cfRule type="containsText" dxfId="171" priority="174" operator="containsText" text="Required">
      <formula>NOT(ISERROR(SEARCH("Required",F56)))</formula>
    </cfRule>
  </conditionalFormatting>
  <conditionalFormatting sqref="E57">
    <cfRule type="containsText" dxfId="170" priority="169" operator="containsText" text="Optional">
      <formula>NOT(ISERROR(SEARCH("Optional",E57)))</formula>
    </cfRule>
    <cfRule type="containsText" dxfId="169" priority="170" operator="containsText" text="Recommend">
      <formula>NOT(ISERROR(SEARCH("Recommend",E57)))</formula>
    </cfRule>
    <cfRule type="containsText" dxfId="168" priority="171" operator="containsText" text="Required">
      <formula>NOT(ISERROR(SEARCH("Required",E57)))</formula>
    </cfRule>
  </conditionalFormatting>
  <conditionalFormatting sqref="F57:G57">
    <cfRule type="containsText" dxfId="167" priority="166" operator="containsText" text="Optional">
      <formula>NOT(ISERROR(SEARCH("Optional",F57)))</formula>
    </cfRule>
    <cfRule type="containsText" dxfId="166" priority="167" operator="containsText" text="Recommend">
      <formula>NOT(ISERROR(SEARCH("Recommend",F57)))</formula>
    </cfRule>
    <cfRule type="containsText" dxfId="165" priority="168" operator="containsText" text="Required">
      <formula>NOT(ISERROR(SEARCH("Required",F57)))</formula>
    </cfRule>
  </conditionalFormatting>
  <conditionalFormatting sqref="E59">
    <cfRule type="containsText" dxfId="164" priority="163" operator="containsText" text="Optional">
      <formula>NOT(ISERROR(SEARCH("Optional",E59)))</formula>
    </cfRule>
    <cfRule type="containsText" dxfId="163" priority="164" operator="containsText" text="Recommend">
      <formula>NOT(ISERROR(SEARCH("Recommend",E59)))</formula>
    </cfRule>
    <cfRule type="containsText" dxfId="162" priority="165" operator="containsText" text="Required">
      <formula>NOT(ISERROR(SEARCH("Required",E59)))</formula>
    </cfRule>
  </conditionalFormatting>
  <conditionalFormatting sqref="F59:G59">
    <cfRule type="containsText" dxfId="161" priority="160" operator="containsText" text="Optional">
      <formula>NOT(ISERROR(SEARCH("Optional",F59)))</formula>
    </cfRule>
    <cfRule type="containsText" dxfId="160" priority="161" operator="containsText" text="Recommend">
      <formula>NOT(ISERROR(SEARCH("Recommend",F59)))</formula>
    </cfRule>
    <cfRule type="containsText" dxfId="159" priority="162" operator="containsText" text="Required">
      <formula>NOT(ISERROR(SEARCH("Required",F59)))</formula>
    </cfRule>
  </conditionalFormatting>
  <conditionalFormatting sqref="E58">
    <cfRule type="containsText" dxfId="158" priority="157" operator="containsText" text="Optional">
      <formula>NOT(ISERROR(SEARCH("Optional",E58)))</formula>
    </cfRule>
    <cfRule type="containsText" dxfId="157" priority="158" operator="containsText" text="Recommend">
      <formula>NOT(ISERROR(SEARCH("Recommend",E58)))</formula>
    </cfRule>
    <cfRule type="containsText" dxfId="156" priority="159" operator="containsText" text="Required">
      <formula>NOT(ISERROR(SEARCH("Required",E58)))</formula>
    </cfRule>
  </conditionalFormatting>
  <conditionalFormatting sqref="F58:G58">
    <cfRule type="containsText" dxfId="155" priority="154" operator="containsText" text="Optional">
      <formula>NOT(ISERROR(SEARCH("Optional",F58)))</formula>
    </cfRule>
    <cfRule type="containsText" dxfId="154" priority="155" operator="containsText" text="Recommend">
      <formula>NOT(ISERROR(SEARCH("Recommend",F58)))</formula>
    </cfRule>
    <cfRule type="containsText" dxfId="153" priority="156" operator="containsText" text="Required">
      <formula>NOT(ISERROR(SEARCH("Required",F58)))</formula>
    </cfRule>
  </conditionalFormatting>
  <conditionalFormatting sqref="E67:F68">
    <cfRule type="containsText" dxfId="152" priority="151" operator="containsText" text="Optional">
      <formula>NOT(ISERROR(SEARCH("Optional",E67)))</formula>
    </cfRule>
    <cfRule type="containsText" dxfId="151" priority="152" operator="containsText" text="Recommend">
      <formula>NOT(ISERROR(SEARCH("Recommend",E67)))</formula>
    </cfRule>
    <cfRule type="containsText" dxfId="150" priority="153" operator="containsText" text="Required">
      <formula>NOT(ISERROR(SEARCH("Required",E67)))</formula>
    </cfRule>
  </conditionalFormatting>
  <conditionalFormatting sqref="E68">
    <cfRule type="containsText" dxfId="149" priority="148" operator="containsText" text="Optional">
      <formula>NOT(ISERROR(SEARCH("Optional",E68)))</formula>
    </cfRule>
    <cfRule type="containsText" dxfId="148" priority="149" operator="containsText" text="Recommend">
      <formula>NOT(ISERROR(SEARCH("Recommend",E68)))</formula>
    </cfRule>
    <cfRule type="containsText" dxfId="147" priority="150" operator="containsText" text="Required">
      <formula>NOT(ISERROR(SEARCH("Required",E68)))</formula>
    </cfRule>
  </conditionalFormatting>
  <conditionalFormatting sqref="F68">
    <cfRule type="containsText" dxfId="146" priority="145" operator="containsText" text="Optional">
      <formula>NOT(ISERROR(SEARCH("Optional",F68)))</formula>
    </cfRule>
    <cfRule type="containsText" dxfId="145" priority="146" operator="containsText" text="Recommend">
      <formula>NOT(ISERROR(SEARCH("Recommend",F68)))</formula>
    </cfRule>
    <cfRule type="containsText" dxfId="144" priority="147" operator="containsText" text="Required">
      <formula>NOT(ISERROR(SEARCH("Required",F68)))</formula>
    </cfRule>
  </conditionalFormatting>
  <conditionalFormatting sqref="G68">
    <cfRule type="containsText" dxfId="143" priority="142" operator="containsText" text="Optional">
      <formula>NOT(ISERROR(SEARCH("Optional",G68)))</formula>
    </cfRule>
    <cfRule type="containsText" dxfId="142" priority="143" operator="containsText" text="Recommend">
      <formula>NOT(ISERROR(SEARCH("Recommend",G68)))</formula>
    </cfRule>
    <cfRule type="containsText" dxfId="141" priority="144" operator="containsText" text="Required">
      <formula>NOT(ISERROR(SEARCH("Required",G68)))</formula>
    </cfRule>
  </conditionalFormatting>
  <conditionalFormatting sqref="E66:E68">
    <cfRule type="containsText" dxfId="140" priority="139" operator="containsText" text="Optional">
      <formula>NOT(ISERROR(SEARCH("Optional",E66)))</formula>
    </cfRule>
    <cfRule type="containsText" dxfId="139" priority="140" operator="containsText" text="Recommend">
      <formula>NOT(ISERROR(SEARCH("Recommend",E66)))</formula>
    </cfRule>
    <cfRule type="containsText" dxfId="138" priority="141" operator="containsText" text="Required">
      <formula>NOT(ISERROR(SEARCH("Required",E66)))</formula>
    </cfRule>
  </conditionalFormatting>
  <conditionalFormatting sqref="F66:F68">
    <cfRule type="containsText" dxfId="137" priority="136" operator="containsText" text="Optional">
      <formula>NOT(ISERROR(SEARCH("Optional",F66)))</formula>
    </cfRule>
    <cfRule type="containsText" dxfId="136" priority="137" operator="containsText" text="Recommend">
      <formula>NOT(ISERROR(SEARCH("Recommend",F66)))</formula>
    </cfRule>
    <cfRule type="containsText" dxfId="135" priority="138" operator="containsText" text="Required">
      <formula>NOT(ISERROR(SEARCH("Required",F66)))</formula>
    </cfRule>
  </conditionalFormatting>
  <conditionalFormatting sqref="G66:G68">
    <cfRule type="containsText" dxfId="134" priority="133" operator="containsText" text="Optional">
      <formula>NOT(ISERROR(SEARCH("Optional",G66)))</formula>
    </cfRule>
    <cfRule type="containsText" dxfId="133" priority="134" operator="containsText" text="Recommend">
      <formula>NOT(ISERROR(SEARCH("Recommend",G66)))</formula>
    </cfRule>
    <cfRule type="containsText" dxfId="132" priority="135" operator="containsText" text="Required">
      <formula>NOT(ISERROR(SEARCH("Required",G66)))</formula>
    </cfRule>
  </conditionalFormatting>
  <conditionalFormatting sqref="E69">
    <cfRule type="containsText" dxfId="131" priority="130" operator="containsText" text="Optional">
      <formula>NOT(ISERROR(SEARCH("Optional",E69)))</formula>
    </cfRule>
    <cfRule type="containsText" dxfId="130" priority="131" operator="containsText" text="Recommend">
      <formula>NOT(ISERROR(SEARCH("Recommend",E69)))</formula>
    </cfRule>
    <cfRule type="containsText" dxfId="129" priority="132" operator="containsText" text="Required">
      <formula>NOT(ISERROR(SEARCH("Required",E69)))</formula>
    </cfRule>
  </conditionalFormatting>
  <conditionalFormatting sqref="F69">
    <cfRule type="containsText" dxfId="128" priority="127" operator="containsText" text="Optional">
      <formula>NOT(ISERROR(SEARCH("Optional",F69)))</formula>
    </cfRule>
    <cfRule type="containsText" dxfId="127" priority="128" operator="containsText" text="Recommend">
      <formula>NOT(ISERROR(SEARCH("Recommend",F69)))</formula>
    </cfRule>
    <cfRule type="containsText" dxfId="126" priority="129" operator="containsText" text="Required">
      <formula>NOT(ISERROR(SEARCH("Required",F69)))</formula>
    </cfRule>
  </conditionalFormatting>
  <conditionalFormatting sqref="G69">
    <cfRule type="containsText" dxfId="125" priority="124" operator="containsText" text="Optional">
      <formula>NOT(ISERROR(SEARCH("Optional",G69)))</formula>
    </cfRule>
    <cfRule type="containsText" dxfId="124" priority="125" operator="containsText" text="Recommend">
      <formula>NOT(ISERROR(SEARCH("Recommend",G69)))</formula>
    </cfRule>
    <cfRule type="containsText" dxfId="123" priority="126" operator="containsText" text="Required">
      <formula>NOT(ISERROR(SEARCH("Required",G69)))</formula>
    </cfRule>
  </conditionalFormatting>
  <conditionalFormatting sqref="E62">
    <cfRule type="containsText" dxfId="122" priority="121" operator="containsText" text="Optional">
      <formula>NOT(ISERROR(SEARCH("Optional",E62)))</formula>
    </cfRule>
    <cfRule type="containsText" dxfId="121" priority="122" operator="containsText" text="Recommend">
      <formula>NOT(ISERROR(SEARCH("Recommend",E62)))</formula>
    </cfRule>
    <cfRule type="containsText" dxfId="120" priority="123" operator="containsText" text="Required">
      <formula>NOT(ISERROR(SEARCH("Required",E62)))</formula>
    </cfRule>
  </conditionalFormatting>
  <conditionalFormatting sqref="F62:G62">
    <cfRule type="containsText" dxfId="119" priority="118" operator="containsText" text="Optional">
      <formula>NOT(ISERROR(SEARCH("Optional",F62)))</formula>
    </cfRule>
    <cfRule type="containsText" dxfId="118" priority="119" operator="containsText" text="Recommend">
      <formula>NOT(ISERROR(SEARCH("Recommend",F62)))</formula>
    </cfRule>
    <cfRule type="containsText" dxfId="117" priority="120" operator="containsText" text="Required">
      <formula>NOT(ISERROR(SEARCH("Required",F62)))</formula>
    </cfRule>
  </conditionalFormatting>
  <conditionalFormatting sqref="E63">
    <cfRule type="containsText" dxfId="116" priority="115" operator="containsText" text="Optional">
      <formula>NOT(ISERROR(SEARCH("Optional",E63)))</formula>
    </cfRule>
    <cfRule type="containsText" dxfId="115" priority="116" operator="containsText" text="Recommend">
      <formula>NOT(ISERROR(SEARCH("Recommend",E63)))</formula>
    </cfRule>
    <cfRule type="containsText" dxfId="114" priority="117" operator="containsText" text="Required">
      <formula>NOT(ISERROR(SEARCH("Required",E63)))</formula>
    </cfRule>
  </conditionalFormatting>
  <conditionalFormatting sqref="F63:G63">
    <cfRule type="containsText" dxfId="113" priority="112" operator="containsText" text="Optional">
      <formula>NOT(ISERROR(SEARCH("Optional",F63)))</formula>
    </cfRule>
    <cfRule type="containsText" dxfId="112" priority="113" operator="containsText" text="Recommend">
      <formula>NOT(ISERROR(SEARCH("Recommend",F63)))</formula>
    </cfRule>
    <cfRule type="containsText" dxfId="111" priority="114" operator="containsText" text="Required">
      <formula>NOT(ISERROR(SEARCH("Required",F63)))</formula>
    </cfRule>
  </conditionalFormatting>
  <conditionalFormatting sqref="E60">
    <cfRule type="containsText" dxfId="110" priority="109" operator="containsText" text="Optional">
      <formula>NOT(ISERROR(SEARCH("Optional",E60)))</formula>
    </cfRule>
    <cfRule type="containsText" dxfId="109" priority="110" operator="containsText" text="Recommend">
      <formula>NOT(ISERROR(SEARCH("Recommend",E60)))</formula>
    </cfRule>
    <cfRule type="containsText" dxfId="108" priority="111" operator="containsText" text="Required">
      <formula>NOT(ISERROR(SEARCH("Required",E60)))</formula>
    </cfRule>
  </conditionalFormatting>
  <conditionalFormatting sqref="F60:G60">
    <cfRule type="containsText" dxfId="107" priority="106" operator="containsText" text="Optional">
      <formula>NOT(ISERROR(SEARCH("Optional",F60)))</formula>
    </cfRule>
    <cfRule type="containsText" dxfId="106" priority="107" operator="containsText" text="Recommend">
      <formula>NOT(ISERROR(SEARCH("Recommend",F60)))</formula>
    </cfRule>
    <cfRule type="containsText" dxfId="105" priority="108" operator="containsText" text="Required">
      <formula>NOT(ISERROR(SEARCH("Required",F60)))</formula>
    </cfRule>
  </conditionalFormatting>
  <conditionalFormatting sqref="E61">
    <cfRule type="containsText" dxfId="104" priority="103" operator="containsText" text="Optional">
      <formula>NOT(ISERROR(SEARCH("Optional",E61)))</formula>
    </cfRule>
    <cfRule type="containsText" dxfId="103" priority="104" operator="containsText" text="Recommend">
      <formula>NOT(ISERROR(SEARCH("Recommend",E61)))</formula>
    </cfRule>
    <cfRule type="containsText" dxfId="102" priority="105" operator="containsText" text="Required">
      <formula>NOT(ISERROR(SEARCH("Required",E61)))</formula>
    </cfRule>
  </conditionalFormatting>
  <conditionalFormatting sqref="F61:G61">
    <cfRule type="containsText" dxfId="101" priority="100" operator="containsText" text="Optional">
      <formula>NOT(ISERROR(SEARCH("Optional",F61)))</formula>
    </cfRule>
    <cfRule type="containsText" dxfId="100" priority="101" operator="containsText" text="Recommend">
      <formula>NOT(ISERROR(SEARCH("Recommend",F61)))</formula>
    </cfRule>
    <cfRule type="containsText" dxfId="99" priority="102" operator="containsText" text="Required">
      <formula>NOT(ISERROR(SEARCH("Required",F61)))</formula>
    </cfRule>
  </conditionalFormatting>
  <conditionalFormatting sqref="E64">
    <cfRule type="containsText" dxfId="98" priority="97" operator="containsText" text="Optional">
      <formula>NOT(ISERROR(SEARCH("Optional",E64)))</formula>
    </cfRule>
    <cfRule type="containsText" dxfId="97" priority="98" operator="containsText" text="Recommend">
      <formula>NOT(ISERROR(SEARCH("Recommend",E64)))</formula>
    </cfRule>
    <cfRule type="containsText" dxfId="96" priority="99" operator="containsText" text="Required">
      <formula>NOT(ISERROR(SEARCH("Required",E64)))</formula>
    </cfRule>
  </conditionalFormatting>
  <conditionalFormatting sqref="F64">
    <cfRule type="containsText" dxfId="95" priority="94" operator="containsText" text="Optional">
      <formula>NOT(ISERROR(SEARCH("Optional",F64)))</formula>
    </cfRule>
    <cfRule type="containsText" dxfId="94" priority="95" operator="containsText" text="Recommend">
      <formula>NOT(ISERROR(SEARCH("Recommend",F64)))</formula>
    </cfRule>
    <cfRule type="containsText" dxfId="93" priority="96" operator="containsText" text="Required">
      <formula>NOT(ISERROR(SEARCH("Required",F64)))</formula>
    </cfRule>
  </conditionalFormatting>
  <conditionalFormatting sqref="G64">
    <cfRule type="containsText" dxfId="92" priority="91" operator="containsText" text="Optional">
      <formula>NOT(ISERROR(SEARCH("Optional",G64)))</formula>
    </cfRule>
    <cfRule type="containsText" dxfId="91" priority="92" operator="containsText" text="Recommend">
      <formula>NOT(ISERROR(SEARCH("Recommend",G64)))</formula>
    </cfRule>
    <cfRule type="containsText" dxfId="90" priority="93" operator="containsText" text="Required">
      <formula>NOT(ISERROR(SEARCH("Required",G64)))</formula>
    </cfRule>
  </conditionalFormatting>
  <conditionalFormatting sqref="E74">
    <cfRule type="containsText" dxfId="89" priority="88" operator="containsText" text="Optional">
      <formula>NOT(ISERROR(SEARCH("Optional",E74)))</formula>
    </cfRule>
    <cfRule type="containsText" dxfId="88" priority="89" operator="containsText" text="Recommend">
      <formula>NOT(ISERROR(SEARCH("Recommend",E74)))</formula>
    </cfRule>
    <cfRule type="containsText" dxfId="87" priority="90" operator="containsText" text="Required">
      <formula>NOT(ISERROR(SEARCH("Required",E74)))</formula>
    </cfRule>
  </conditionalFormatting>
  <conditionalFormatting sqref="F74">
    <cfRule type="containsText" dxfId="86" priority="85" operator="containsText" text="Optional">
      <formula>NOT(ISERROR(SEARCH("Optional",F74)))</formula>
    </cfRule>
    <cfRule type="containsText" dxfId="85" priority="86" operator="containsText" text="Recommend">
      <formula>NOT(ISERROR(SEARCH("Recommend",F74)))</formula>
    </cfRule>
    <cfRule type="containsText" dxfId="84" priority="87" operator="containsText" text="Required">
      <formula>NOT(ISERROR(SEARCH("Required",F74)))</formula>
    </cfRule>
  </conditionalFormatting>
  <conditionalFormatting sqref="E73">
    <cfRule type="containsText" dxfId="83" priority="82" operator="containsText" text="Optional">
      <formula>NOT(ISERROR(SEARCH("Optional",E73)))</formula>
    </cfRule>
    <cfRule type="containsText" dxfId="82" priority="83" operator="containsText" text="Recommend">
      <formula>NOT(ISERROR(SEARCH("Recommend",E73)))</formula>
    </cfRule>
    <cfRule type="containsText" dxfId="81" priority="84" operator="containsText" text="Required">
      <formula>NOT(ISERROR(SEARCH("Required",E73)))</formula>
    </cfRule>
  </conditionalFormatting>
  <conditionalFormatting sqref="F73">
    <cfRule type="containsText" dxfId="80" priority="79" operator="containsText" text="Optional">
      <formula>NOT(ISERROR(SEARCH("Optional",F73)))</formula>
    </cfRule>
    <cfRule type="containsText" dxfId="79" priority="80" operator="containsText" text="Recommend">
      <formula>NOT(ISERROR(SEARCH("Recommend",F73)))</formula>
    </cfRule>
    <cfRule type="containsText" dxfId="78" priority="81" operator="containsText" text="Required">
      <formula>NOT(ISERROR(SEARCH("Required",F73)))</formula>
    </cfRule>
  </conditionalFormatting>
  <conditionalFormatting sqref="G76">
    <cfRule type="containsText" dxfId="77" priority="70" operator="containsText" text="Optional">
      <formula>NOT(ISERROR(SEARCH("Optional",G76)))</formula>
    </cfRule>
    <cfRule type="containsText" dxfId="76" priority="71" operator="containsText" text="Recommend">
      <formula>NOT(ISERROR(SEARCH("Recommend",G76)))</formula>
    </cfRule>
    <cfRule type="containsText" dxfId="75" priority="72" operator="containsText" text="Required">
      <formula>NOT(ISERROR(SEARCH("Required",G76)))</formula>
    </cfRule>
  </conditionalFormatting>
  <conditionalFormatting sqref="E76">
    <cfRule type="containsText" dxfId="74" priority="76" operator="containsText" text="Optional">
      <formula>NOT(ISERROR(SEARCH("Optional",E76)))</formula>
    </cfRule>
    <cfRule type="containsText" dxfId="73" priority="77" operator="containsText" text="Recommend">
      <formula>NOT(ISERROR(SEARCH("Recommend",E76)))</formula>
    </cfRule>
    <cfRule type="containsText" dxfId="72" priority="78" operator="containsText" text="Required">
      <formula>NOT(ISERROR(SEARCH("Required",E76)))</formula>
    </cfRule>
  </conditionalFormatting>
  <conditionalFormatting sqref="F76">
    <cfRule type="containsText" dxfId="71" priority="73" operator="containsText" text="Optional">
      <formula>NOT(ISERROR(SEARCH("Optional",F76)))</formula>
    </cfRule>
    <cfRule type="containsText" dxfId="70" priority="74" operator="containsText" text="Recommend">
      <formula>NOT(ISERROR(SEARCH("Recommend",F76)))</formula>
    </cfRule>
    <cfRule type="containsText" dxfId="69" priority="75" operator="containsText" text="Required">
      <formula>NOT(ISERROR(SEARCH("Required",F76)))</formula>
    </cfRule>
  </conditionalFormatting>
  <conditionalFormatting sqref="G75:G76">
    <cfRule type="containsText" dxfId="68" priority="67" operator="containsText" text="Optional">
      <formula>NOT(ISERROR(SEARCH("Optional",G75)))</formula>
    </cfRule>
    <cfRule type="containsText" dxfId="67" priority="68" operator="containsText" text="Recommend">
      <formula>NOT(ISERROR(SEARCH("Recommend",G75)))</formula>
    </cfRule>
    <cfRule type="containsText" dxfId="66" priority="69" operator="containsText" text="Required">
      <formula>NOT(ISERROR(SEARCH("Required",G75)))</formula>
    </cfRule>
  </conditionalFormatting>
  <conditionalFormatting sqref="E71:F73">
    <cfRule type="containsText" dxfId="65" priority="64" operator="containsText" text="Optional">
      <formula>NOT(ISERROR(SEARCH("Optional",E71)))</formula>
    </cfRule>
    <cfRule type="containsText" dxfId="64" priority="65" operator="containsText" text="Recommend">
      <formula>NOT(ISERROR(SEARCH("Recommend",E71)))</formula>
    </cfRule>
    <cfRule type="containsText" dxfId="63" priority="66" operator="containsText" text="Required">
      <formula>NOT(ISERROR(SEARCH("Required",E71)))</formula>
    </cfRule>
  </conditionalFormatting>
  <conditionalFormatting sqref="F77">
    <cfRule type="containsText" dxfId="62" priority="58" operator="containsText" text="Optional">
      <formula>NOT(ISERROR(SEARCH("Optional",F77)))</formula>
    </cfRule>
    <cfRule type="containsText" dxfId="61" priority="59" operator="containsText" text="Recommend">
      <formula>NOT(ISERROR(SEARCH("Recommend",F77)))</formula>
    </cfRule>
    <cfRule type="containsText" dxfId="60" priority="60" operator="containsText" text="Required">
      <formula>NOT(ISERROR(SEARCH("Required",F77)))</formula>
    </cfRule>
  </conditionalFormatting>
  <conditionalFormatting sqref="E77">
    <cfRule type="containsText" dxfId="59" priority="61" operator="containsText" text="Optional">
      <formula>NOT(ISERROR(SEARCH("Optional",E77)))</formula>
    </cfRule>
    <cfRule type="containsText" dxfId="58" priority="62" operator="containsText" text="Recommend">
      <formula>NOT(ISERROR(SEARCH("Recommend",E77)))</formula>
    </cfRule>
    <cfRule type="containsText" dxfId="57" priority="63" operator="containsText" text="Required">
      <formula>NOT(ISERROR(SEARCH("Required",E77)))</formula>
    </cfRule>
  </conditionalFormatting>
  <conditionalFormatting sqref="G77">
    <cfRule type="containsText" dxfId="56" priority="55" operator="containsText" text="Optional">
      <formula>NOT(ISERROR(SEARCH("Optional",G77)))</formula>
    </cfRule>
    <cfRule type="containsText" dxfId="55" priority="56" operator="containsText" text="Recommend">
      <formula>NOT(ISERROR(SEARCH("Recommend",G77)))</formula>
    </cfRule>
    <cfRule type="containsText" dxfId="54" priority="57" operator="containsText" text="Required">
      <formula>NOT(ISERROR(SEARCH("Required",G77)))</formula>
    </cfRule>
  </conditionalFormatting>
  <conditionalFormatting sqref="G74">
    <cfRule type="containsText" dxfId="53" priority="52" operator="containsText" text="Optional">
      <formula>NOT(ISERROR(SEARCH("Optional",G74)))</formula>
    </cfRule>
    <cfRule type="containsText" dxfId="52" priority="53" operator="containsText" text="Recommend">
      <formula>NOT(ISERROR(SEARCH("Recommend",G74)))</formula>
    </cfRule>
    <cfRule type="containsText" dxfId="51" priority="54" operator="containsText" text="Required">
      <formula>NOT(ISERROR(SEARCH("Required",G74)))</formula>
    </cfRule>
  </conditionalFormatting>
  <conditionalFormatting sqref="G71:G73">
    <cfRule type="containsText" dxfId="50" priority="49" operator="containsText" text="Optional">
      <formula>NOT(ISERROR(SEARCH("Optional",G71)))</formula>
    </cfRule>
    <cfRule type="containsText" dxfId="49" priority="50" operator="containsText" text="Recommend">
      <formula>NOT(ISERROR(SEARCH("Recommend",G71)))</formula>
    </cfRule>
    <cfRule type="containsText" dxfId="48" priority="51" operator="containsText" text="Required">
      <formula>NOT(ISERROR(SEARCH("Required",G71)))</formula>
    </cfRule>
  </conditionalFormatting>
  <conditionalFormatting sqref="G73">
    <cfRule type="containsText" dxfId="47" priority="46" operator="containsText" text="Optional">
      <formula>NOT(ISERROR(SEARCH("Optional",G73)))</formula>
    </cfRule>
    <cfRule type="containsText" dxfId="46" priority="47" operator="containsText" text="Recommend">
      <formula>NOT(ISERROR(SEARCH("Recommend",G73)))</formula>
    </cfRule>
    <cfRule type="containsText" dxfId="45" priority="48" operator="containsText" text="Required">
      <formula>NOT(ISERROR(SEARCH("Required",G73)))</formula>
    </cfRule>
  </conditionalFormatting>
  <conditionalFormatting sqref="E79:G79">
    <cfRule type="containsText" dxfId="44" priority="43" operator="containsText" text="Optional">
      <formula>NOT(ISERROR(SEARCH("Optional",E79)))</formula>
    </cfRule>
    <cfRule type="containsText" dxfId="43" priority="44" operator="containsText" text="Recommend">
      <formula>NOT(ISERROR(SEARCH("Recommend",E79)))</formula>
    </cfRule>
    <cfRule type="containsText" dxfId="42" priority="45" operator="containsText" text="Required">
      <formula>NOT(ISERROR(SEARCH("Required",E79)))</formula>
    </cfRule>
  </conditionalFormatting>
  <conditionalFormatting sqref="E78:G78">
    <cfRule type="containsText" dxfId="41" priority="40" operator="containsText" text="Optional">
      <formula>NOT(ISERROR(SEARCH("Optional",E78)))</formula>
    </cfRule>
    <cfRule type="containsText" dxfId="40" priority="41" operator="containsText" text="Recommend">
      <formula>NOT(ISERROR(SEARCH("Recommend",E78)))</formula>
    </cfRule>
    <cfRule type="containsText" dxfId="39" priority="42" operator="containsText" text="Required">
      <formula>NOT(ISERROR(SEARCH("Required",E78)))</formula>
    </cfRule>
  </conditionalFormatting>
  <conditionalFormatting sqref="E80">
    <cfRule type="containsText" dxfId="38" priority="37" operator="containsText" text="Optional">
      <formula>NOT(ISERROR(SEARCH("Optional",E80)))</formula>
    </cfRule>
    <cfRule type="containsText" dxfId="37" priority="38" operator="containsText" text="Recommend">
      <formula>NOT(ISERROR(SEARCH("Recommend",E80)))</formula>
    </cfRule>
    <cfRule type="containsText" dxfId="36" priority="39" operator="containsText" text="Required">
      <formula>NOT(ISERROR(SEARCH("Required",E80)))</formula>
    </cfRule>
  </conditionalFormatting>
  <conditionalFormatting sqref="F80:G80">
    <cfRule type="containsText" dxfId="35" priority="34" operator="containsText" text="Optional">
      <formula>NOT(ISERROR(SEARCH("Optional",F80)))</formula>
    </cfRule>
    <cfRule type="containsText" dxfId="34" priority="35" operator="containsText" text="Recommend">
      <formula>NOT(ISERROR(SEARCH("Recommend",F80)))</formula>
    </cfRule>
    <cfRule type="containsText" dxfId="33" priority="36" operator="containsText" text="Required">
      <formula>NOT(ISERROR(SEARCH("Required",F80)))</formula>
    </cfRule>
  </conditionalFormatting>
  <conditionalFormatting sqref="F81">
    <cfRule type="containsText" dxfId="32" priority="28" operator="containsText" text="Optional">
      <formula>NOT(ISERROR(SEARCH("Optional",F81)))</formula>
    </cfRule>
    <cfRule type="containsText" dxfId="31" priority="29" operator="containsText" text="Recommend">
      <formula>NOT(ISERROR(SEARCH("Recommend",F81)))</formula>
    </cfRule>
    <cfRule type="containsText" dxfId="30" priority="30" operator="containsText" text="Required">
      <formula>NOT(ISERROR(SEARCH("Required",F81)))</formula>
    </cfRule>
  </conditionalFormatting>
  <conditionalFormatting sqref="E81">
    <cfRule type="containsText" dxfId="29" priority="31" operator="containsText" text="Optional">
      <formula>NOT(ISERROR(SEARCH("Optional",E81)))</formula>
    </cfRule>
    <cfRule type="containsText" dxfId="28" priority="32" operator="containsText" text="Recommend">
      <formula>NOT(ISERROR(SEARCH("Recommend",E81)))</formula>
    </cfRule>
    <cfRule type="containsText" dxfId="27" priority="33" operator="containsText" text="Required">
      <formula>NOT(ISERROR(SEARCH("Required",E81)))</formula>
    </cfRule>
  </conditionalFormatting>
  <conditionalFormatting sqref="G81">
    <cfRule type="containsText" dxfId="26" priority="25" operator="containsText" text="Optional">
      <formula>NOT(ISERROR(SEARCH("Optional",G81)))</formula>
    </cfRule>
    <cfRule type="containsText" dxfId="25" priority="26" operator="containsText" text="Recommend">
      <formula>NOT(ISERROR(SEARCH("Recommend",G81)))</formula>
    </cfRule>
    <cfRule type="containsText" dxfId="24" priority="27" operator="containsText" text="Required">
      <formula>NOT(ISERROR(SEARCH("Required",G81)))</formula>
    </cfRule>
  </conditionalFormatting>
  <conditionalFormatting sqref="F83">
    <cfRule type="containsText" dxfId="23" priority="19" operator="containsText" text="Optional">
      <formula>NOT(ISERROR(SEARCH("Optional",F83)))</formula>
    </cfRule>
    <cfRule type="containsText" dxfId="22" priority="20" operator="containsText" text="Recommend">
      <formula>NOT(ISERROR(SEARCH("Recommend",F83)))</formula>
    </cfRule>
    <cfRule type="containsText" dxfId="21" priority="21" operator="containsText" text="Required">
      <formula>NOT(ISERROR(SEARCH("Required",F83)))</formula>
    </cfRule>
  </conditionalFormatting>
  <conditionalFormatting sqref="E83">
    <cfRule type="containsText" dxfId="20" priority="22" operator="containsText" text="Optional">
      <formula>NOT(ISERROR(SEARCH("Optional",E83)))</formula>
    </cfRule>
    <cfRule type="containsText" dxfId="19" priority="23" operator="containsText" text="Recommend">
      <formula>NOT(ISERROR(SEARCH("Recommend",E83)))</formula>
    </cfRule>
    <cfRule type="containsText" dxfId="18" priority="24" operator="containsText" text="Required">
      <formula>NOT(ISERROR(SEARCH("Required",E83)))</formula>
    </cfRule>
  </conditionalFormatting>
  <conditionalFormatting sqref="G83">
    <cfRule type="containsText" dxfId="17" priority="16" operator="containsText" text="Optional">
      <formula>NOT(ISERROR(SEARCH("Optional",G83)))</formula>
    </cfRule>
    <cfRule type="containsText" dxfId="16" priority="17" operator="containsText" text="Recommend">
      <formula>NOT(ISERROR(SEARCH("Recommend",G83)))</formula>
    </cfRule>
    <cfRule type="containsText" dxfId="15" priority="18" operator="containsText" text="Required">
      <formula>NOT(ISERROR(SEARCH("Required",G83)))</formula>
    </cfRule>
  </conditionalFormatting>
  <conditionalFormatting sqref="G84">
    <cfRule type="containsText" dxfId="14" priority="13" operator="containsText" text="Optional">
      <formula>NOT(ISERROR(SEARCH("Optional",G84)))</formula>
    </cfRule>
    <cfRule type="containsText" dxfId="13" priority="14" operator="containsText" text="Recommend">
      <formula>NOT(ISERROR(SEARCH("Recommend",G84)))</formula>
    </cfRule>
    <cfRule type="containsText" dxfId="12" priority="15" operator="containsText" text="Required">
      <formula>NOT(ISERROR(SEARCH("Required",G84)))</formula>
    </cfRule>
  </conditionalFormatting>
  <conditionalFormatting sqref="F85">
    <cfRule type="containsText" dxfId="11" priority="7" operator="containsText" text="Optional">
      <formula>NOT(ISERROR(SEARCH("Optional",F85)))</formula>
    </cfRule>
    <cfRule type="containsText" dxfId="10" priority="8" operator="containsText" text="Recommend">
      <formula>NOT(ISERROR(SEARCH("Recommend",F85)))</formula>
    </cfRule>
    <cfRule type="containsText" dxfId="9" priority="9" operator="containsText" text="Required">
      <formula>NOT(ISERROR(SEARCH("Required",F85)))</formula>
    </cfRule>
  </conditionalFormatting>
  <conditionalFormatting sqref="E85">
    <cfRule type="containsText" dxfId="8" priority="10" operator="containsText" text="Optional">
      <formula>NOT(ISERROR(SEARCH("Optional",E85)))</formula>
    </cfRule>
    <cfRule type="containsText" dxfId="7" priority="11" operator="containsText" text="Recommend">
      <formula>NOT(ISERROR(SEARCH("Recommend",E85)))</formula>
    </cfRule>
    <cfRule type="containsText" dxfId="6" priority="12" operator="containsText" text="Required">
      <formula>NOT(ISERROR(SEARCH("Required",E85)))</formula>
    </cfRule>
  </conditionalFormatting>
  <conditionalFormatting sqref="G85">
    <cfRule type="containsText" dxfId="5" priority="4" operator="containsText" text="Optional">
      <formula>NOT(ISERROR(SEARCH("Optional",G85)))</formula>
    </cfRule>
    <cfRule type="containsText" dxfId="4" priority="5" operator="containsText" text="Recommend">
      <formula>NOT(ISERROR(SEARCH("Recommend",G85)))</formula>
    </cfRule>
    <cfRule type="containsText" dxfId="3" priority="6" operator="containsText" text="Required">
      <formula>NOT(ISERROR(SEARCH("Required",G85)))</formula>
    </cfRule>
  </conditionalFormatting>
  <conditionalFormatting sqref="H4:H122">
    <cfRule type="containsText" dxfId="2" priority="1" operator="containsText" text="Optional">
      <formula>NOT(ISERROR(SEARCH("Optional",H4)))</formula>
    </cfRule>
    <cfRule type="containsText" dxfId="1" priority="2" operator="containsText" text="Recommend">
      <formula>NOT(ISERROR(SEARCH("Recommend",H4)))</formula>
    </cfRule>
    <cfRule type="containsText" dxfId="0" priority="3" operator="containsText" text="Required">
      <formula>NOT(ISERROR(SEARCH("Required",H4)))</formula>
    </cfRule>
  </conditionalFormatting>
  <pageMargins left="0.25" right="0.25" top="0.75" bottom="0.75" header="0.3" footer="0.3"/>
  <pageSetup scale="39" fitToHeight="20"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VENDOR QUESTIONNAIRE</vt:lpstr>
      <vt:lpstr>Assessment Results</vt:lpstr>
      <vt:lpstr>Guide</vt:lpstr>
      <vt:lpstr>Revisions</vt:lpstr>
      <vt:lpstr>Technology MASTER</vt:lpstr>
      <vt:lpstr>Risk Calc</vt:lpstr>
      <vt:lpstr>Customer Gap Calc</vt:lpstr>
      <vt:lpstr>Vendor Gap Calc</vt:lpstr>
      <vt:lpstr>Medical Device MASTER</vt:lpstr>
      <vt:lpstr>Why CIS Top 20</vt:lpstr>
      <vt:lpstr>NIST Map</vt:lpstr>
      <vt:lpstr>HIPAA Map</vt:lpstr>
      <vt:lpstr>PCI Map</vt:lpstr>
      <vt:lpstr>Tech Questionnaire BACKUP</vt:lpstr>
      <vt:lpstr>'Assessment Results'!Print_Area</vt:lpstr>
      <vt:lpstr>'Medical Device MASTER'!Print_Area</vt:lpstr>
      <vt:lpstr>'Risk Calc'!Print_Area</vt:lpstr>
      <vt:lpstr>'Tech Questionnaire BACKUP'!Print_Area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2020-10-20T20:07:42Z</cp:lastPrinted>
  <dcterms:created xsi:type="dcterms:W3CDTF">2020-08-05T13:32:20Z</dcterms:created>
  <dcterms:modified xsi:type="dcterms:W3CDTF">2020-10-27T14:21:51Z</dcterms:modified>
</cp:coreProperties>
</file>