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nfanelli/Documents/Technology Assessment/"/>
    </mc:Choice>
  </mc:AlternateContent>
  <xr:revisionPtr revIDLastSave="0" documentId="8_{A512D981-6314-1F46-9822-E7F3DCF58F18}" xr6:coauthVersionLast="36" xr6:coauthVersionMax="36" xr10:uidLastSave="{00000000-0000-0000-0000-000000000000}"/>
  <bookViews>
    <workbookView xWindow="0" yWindow="460" windowWidth="25600" windowHeight="15460" tabRatio="914" xr2:uid="{E709C3FC-BAE0-1B45-8E1D-86ED04823D8D}"/>
  </bookViews>
  <sheets>
    <sheet name="VENDOR QUESTIONNAIRE" sheetId="23" r:id="rId1"/>
    <sheet name="Assessment Results" sheetId="10" r:id="rId2"/>
    <sheet name="AGGREGATE" sheetId="25" r:id="rId3"/>
    <sheet name="Guide" sheetId="17" r:id="rId4"/>
    <sheet name="Revisions" sheetId="12" r:id="rId5"/>
    <sheet name="Technology MASTER" sheetId="2" r:id="rId6"/>
    <sheet name="Risk Calc" sheetId="9" r:id="rId7"/>
    <sheet name="Customer Gap Calc" sheetId="21" r:id="rId8"/>
    <sheet name="Vendor Gap Calc" sheetId="24" r:id="rId9"/>
    <sheet name="Override Calc" sheetId="27" r:id="rId10"/>
    <sheet name="Why CIS Top 20" sheetId="7" r:id="rId11"/>
    <sheet name="NIST Map" sheetId="5" r:id="rId12"/>
    <sheet name="HIPAA Map" sheetId="3" r:id="rId13"/>
    <sheet name="PCI Map" sheetId="4" r:id="rId14"/>
  </sheets>
  <definedNames>
    <definedName name="_xlnm.Print_Area" localSheetId="1">'Assessment Results'!$A$1:$T$144</definedName>
    <definedName name="_xlnm.Print_Area" localSheetId="6">'Risk Calc'!$A$2:$AF$101</definedName>
    <definedName name="_xlnm.Print_Area" localSheetId="5">'Technology MASTER'!$D$2:$Q$110</definedName>
    <definedName name="_xlnm.Print_Area" localSheetId="0">'VENDOR QUESTIONNAIRE'!$B$57:$N$181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58" i="23" l="1"/>
  <c r="V59" i="23"/>
  <c r="V60" i="23"/>
  <c r="V61" i="23"/>
  <c r="V62" i="23"/>
  <c r="V64" i="23"/>
  <c r="V65" i="23"/>
  <c r="V66" i="23"/>
  <c r="V67" i="23"/>
  <c r="V69" i="23"/>
  <c r="V70" i="23"/>
  <c r="V71" i="23"/>
  <c r="V72" i="23"/>
  <c r="V73" i="23"/>
  <c r="V74" i="23"/>
  <c r="V76" i="23"/>
  <c r="V77" i="23"/>
  <c r="V78" i="23"/>
  <c r="V79" i="23"/>
  <c r="V80" i="23"/>
  <c r="V81" i="23"/>
  <c r="V82" i="23"/>
  <c r="V83" i="23"/>
  <c r="V85" i="23"/>
  <c r="V86" i="23"/>
  <c r="V87" i="23"/>
  <c r="V88" i="23"/>
  <c r="V90" i="23"/>
  <c r="V91" i="23"/>
  <c r="V92" i="23"/>
  <c r="V93" i="23"/>
  <c r="V94" i="23"/>
  <c r="V96" i="23"/>
  <c r="V97" i="23"/>
  <c r="V98" i="23"/>
  <c r="V99" i="23"/>
  <c r="V100" i="23"/>
  <c r="V101" i="23"/>
  <c r="V103" i="23"/>
  <c r="V104" i="23"/>
  <c r="V105" i="23"/>
  <c r="V106" i="23"/>
  <c r="V108" i="23"/>
  <c r="V109" i="23"/>
  <c r="V110" i="23"/>
  <c r="V111" i="23"/>
  <c r="V113" i="23"/>
  <c r="V114" i="23"/>
  <c r="V115" i="23"/>
  <c r="V116" i="23"/>
  <c r="V117" i="23"/>
  <c r="V119" i="23"/>
  <c r="V120" i="23"/>
  <c r="V121" i="23"/>
  <c r="V122" i="23"/>
  <c r="V123" i="23"/>
  <c r="V125" i="23"/>
  <c r="V126" i="23"/>
  <c r="V127" i="23"/>
  <c r="V128" i="23"/>
  <c r="V129" i="23"/>
  <c r="V130" i="23"/>
  <c r="V132" i="23"/>
  <c r="V133" i="23"/>
  <c r="V134" i="23"/>
  <c r="V135" i="23"/>
  <c r="V136" i="23"/>
  <c r="V138" i="23"/>
  <c r="V139" i="23"/>
  <c r="V140" i="23"/>
  <c r="V141" i="23"/>
  <c r="V143" i="23"/>
  <c r="V144" i="23"/>
  <c r="V145" i="23"/>
  <c r="V146" i="23"/>
  <c r="V147" i="23"/>
  <c r="V149" i="23"/>
  <c r="V150" i="23"/>
  <c r="V151" i="23"/>
  <c r="V152" i="23"/>
  <c r="V153" i="23"/>
  <c r="V154" i="23"/>
  <c r="V155" i="23"/>
  <c r="V156" i="23"/>
  <c r="V157" i="23"/>
  <c r="V158" i="23"/>
  <c r="V160" i="23"/>
  <c r="V161" i="23"/>
  <c r="V162" i="23"/>
  <c r="V163" i="23"/>
  <c r="V164" i="23"/>
  <c r="V165" i="23"/>
  <c r="V167" i="23"/>
  <c r="V168" i="23"/>
  <c r="V169" i="23"/>
  <c r="V170" i="23"/>
  <c r="V171" i="23"/>
  <c r="V172" i="23"/>
  <c r="V174" i="23"/>
  <c r="V175" i="23"/>
  <c r="V176" i="23"/>
  <c r="V177" i="23"/>
  <c r="V178" i="23"/>
  <c r="V180" i="23"/>
  <c r="V181" i="23"/>
  <c r="U41" i="9"/>
  <c r="U42" i="9"/>
  <c r="U43" i="9"/>
  <c r="U44" i="9"/>
  <c r="U40" i="9"/>
  <c r="T41" i="9"/>
  <c r="T42" i="9"/>
  <c r="T43" i="9"/>
  <c r="T44" i="9"/>
  <c r="T40" i="9"/>
  <c r="R58" i="23"/>
  <c r="R59" i="23"/>
  <c r="R60" i="23"/>
  <c r="R61" i="23"/>
  <c r="R62" i="23"/>
  <c r="R64" i="23"/>
  <c r="R65" i="23"/>
  <c r="R66" i="23"/>
  <c r="R67" i="23"/>
  <c r="R69" i="23"/>
  <c r="R70" i="23"/>
  <c r="R71" i="23"/>
  <c r="R72" i="23"/>
  <c r="R73" i="23"/>
  <c r="R74" i="23"/>
  <c r="R76" i="23"/>
  <c r="R77" i="23"/>
  <c r="R78" i="23"/>
  <c r="R79" i="23"/>
  <c r="R80" i="23"/>
  <c r="R81" i="23"/>
  <c r="R82" i="23"/>
  <c r="R83" i="23"/>
  <c r="R85" i="23"/>
  <c r="R86" i="23"/>
  <c r="R87" i="23"/>
  <c r="R88" i="23"/>
  <c r="R90" i="23"/>
  <c r="R91" i="23"/>
  <c r="R92" i="23"/>
  <c r="R93" i="23"/>
  <c r="R94" i="23"/>
  <c r="R96" i="23"/>
  <c r="R97" i="23"/>
  <c r="R98" i="23"/>
  <c r="R99" i="23"/>
  <c r="R100" i="23"/>
  <c r="R101" i="23"/>
  <c r="R103" i="23"/>
  <c r="R104" i="23"/>
  <c r="R105" i="23"/>
  <c r="R106" i="23"/>
  <c r="R108" i="23"/>
  <c r="R109" i="23"/>
  <c r="R110" i="23"/>
  <c r="R111" i="23"/>
  <c r="R113" i="23"/>
  <c r="R114" i="23"/>
  <c r="R115" i="23"/>
  <c r="R116" i="23"/>
  <c r="R117" i="23"/>
  <c r="R119" i="23"/>
  <c r="R120" i="23"/>
  <c r="R121" i="23"/>
  <c r="R122" i="23"/>
  <c r="R123" i="23"/>
  <c r="R125" i="23"/>
  <c r="R126" i="23"/>
  <c r="R127" i="23"/>
  <c r="R128" i="23"/>
  <c r="R129" i="23"/>
  <c r="R130" i="23"/>
  <c r="R132" i="23"/>
  <c r="R133" i="23"/>
  <c r="R134" i="23"/>
  <c r="R135" i="23"/>
  <c r="R136" i="23"/>
  <c r="R138" i="23"/>
  <c r="R139" i="23"/>
  <c r="R140" i="23"/>
  <c r="R141" i="23"/>
  <c r="R143" i="23"/>
  <c r="R144" i="23"/>
  <c r="R145" i="23"/>
  <c r="R146" i="23"/>
  <c r="R147" i="23"/>
  <c r="R149" i="23"/>
  <c r="R150" i="23"/>
  <c r="R151" i="23"/>
  <c r="R152" i="23"/>
  <c r="R153" i="23"/>
  <c r="R154" i="23"/>
  <c r="R155" i="23"/>
  <c r="R156" i="23"/>
  <c r="R157" i="23"/>
  <c r="R158" i="23"/>
  <c r="R160" i="23"/>
  <c r="R161" i="23"/>
  <c r="R162" i="23"/>
  <c r="R163" i="23"/>
  <c r="R164" i="23"/>
  <c r="R165" i="23"/>
  <c r="R167" i="23"/>
  <c r="R168" i="23"/>
  <c r="R169" i="23"/>
  <c r="R170" i="23"/>
  <c r="R171" i="23"/>
  <c r="R172" i="23"/>
  <c r="R174" i="23"/>
  <c r="R175" i="23"/>
  <c r="R176" i="23"/>
  <c r="R177" i="23"/>
  <c r="R178" i="23"/>
  <c r="R180" i="23"/>
  <c r="R181" i="23"/>
  <c r="S58" i="23"/>
  <c r="S59" i="23"/>
  <c r="S60" i="23"/>
  <c r="S61" i="23"/>
  <c r="S62" i="23"/>
  <c r="S64" i="23"/>
  <c r="S65" i="23"/>
  <c r="S66" i="23"/>
  <c r="S67" i="23"/>
  <c r="S69" i="23"/>
  <c r="S70" i="23"/>
  <c r="S71" i="23"/>
  <c r="S72" i="23"/>
  <c r="S73" i="23"/>
  <c r="S74" i="23"/>
  <c r="S76" i="23"/>
  <c r="S77" i="23"/>
  <c r="S78" i="23"/>
  <c r="S79" i="23"/>
  <c r="S80" i="23"/>
  <c r="S81" i="23"/>
  <c r="S82" i="23"/>
  <c r="S83" i="23"/>
  <c r="S85" i="23"/>
  <c r="S86" i="23"/>
  <c r="S87" i="23"/>
  <c r="S88" i="23"/>
  <c r="S90" i="23"/>
  <c r="S91" i="23"/>
  <c r="S92" i="23"/>
  <c r="S93" i="23"/>
  <c r="S94" i="23"/>
  <c r="S96" i="23"/>
  <c r="S97" i="23"/>
  <c r="S98" i="23"/>
  <c r="S99" i="23"/>
  <c r="S100" i="23"/>
  <c r="S101" i="23"/>
  <c r="S103" i="23"/>
  <c r="S104" i="23"/>
  <c r="S105" i="23"/>
  <c r="S106" i="23"/>
  <c r="S108" i="23"/>
  <c r="S109" i="23"/>
  <c r="S110" i="23"/>
  <c r="S111" i="23"/>
  <c r="S113" i="23"/>
  <c r="S114" i="23"/>
  <c r="S115" i="23"/>
  <c r="S116" i="23"/>
  <c r="S117" i="23"/>
  <c r="S119" i="23"/>
  <c r="S120" i="23"/>
  <c r="S121" i="23"/>
  <c r="S122" i="23"/>
  <c r="S123" i="23"/>
  <c r="S125" i="23"/>
  <c r="S126" i="23"/>
  <c r="S127" i="23"/>
  <c r="S128" i="23"/>
  <c r="S129" i="23"/>
  <c r="S130" i="23"/>
  <c r="S132" i="23"/>
  <c r="S133" i="23"/>
  <c r="S134" i="23"/>
  <c r="S135" i="23"/>
  <c r="S136" i="23"/>
  <c r="S138" i="23"/>
  <c r="S139" i="23"/>
  <c r="S140" i="23"/>
  <c r="S141" i="23"/>
  <c r="S143" i="23"/>
  <c r="S144" i="23"/>
  <c r="S145" i="23"/>
  <c r="S146" i="23"/>
  <c r="S147" i="23"/>
  <c r="S149" i="23"/>
  <c r="S150" i="23"/>
  <c r="S151" i="23"/>
  <c r="S152" i="23"/>
  <c r="S153" i="23"/>
  <c r="S154" i="23"/>
  <c r="S155" i="23"/>
  <c r="S156" i="23"/>
  <c r="S157" i="23"/>
  <c r="S158" i="23"/>
  <c r="S160" i="23"/>
  <c r="S161" i="23"/>
  <c r="S162" i="23"/>
  <c r="S163" i="23"/>
  <c r="S164" i="23"/>
  <c r="S165" i="23"/>
  <c r="S167" i="23"/>
  <c r="S168" i="23"/>
  <c r="S169" i="23"/>
  <c r="S170" i="23"/>
  <c r="S171" i="23"/>
  <c r="S172" i="23"/>
  <c r="S174" i="23"/>
  <c r="S175" i="23"/>
  <c r="S176" i="23"/>
  <c r="S177" i="23"/>
  <c r="S178" i="23"/>
  <c r="S180" i="23"/>
  <c r="S181" i="23"/>
  <c r="S19" i="10"/>
  <c r="S20" i="10"/>
  <c r="S21" i="10"/>
  <c r="S22" i="10"/>
  <c r="S23" i="10"/>
  <c r="S24" i="10"/>
  <c r="S25" i="10"/>
  <c r="S26" i="10"/>
  <c r="S27" i="10"/>
  <c r="S28" i="10"/>
  <c r="S29" i="10"/>
  <c r="S30" i="10"/>
  <c r="S31" i="10"/>
  <c r="S32" i="10"/>
  <c r="S33" i="10"/>
  <c r="S34" i="10"/>
  <c r="S35" i="10"/>
  <c r="S36" i="10"/>
  <c r="S37" i="10"/>
  <c r="S18" i="10"/>
  <c r="R19" i="10"/>
  <c r="R20" i="10"/>
  <c r="R21" i="10"/>
  <c r="R22" i="10"/>
  <c r="R23" i="10"/>
  <c r="R24" i="10"/>
  <c r="R25" i="10"/>
  <c r="R26" i="10"/>
  <c r="R27" i="10"/>
  <c r="R28" i="10"/>
  <c r="R29" i="10"/>
  <c r="R30" i="10"/>
  <c r="R31" i="10"/>
  <c r="R32" i="10"/>
  <c r="R33" i="10"/>
  <c r="R34" i="10"/>
  <c r="R35" i="10"/>
  <c r="R36" i="10"/>
  <c r="R37" i="10"/>
  <c r="R18" i="10"/>
  <c r="Q19" i="10"/>
  <c r="Q20" i="10"/>
  <c r="Q21" i="10"/>
  <c r="Q22" i="10"/>
  <c r="Q23" i="10"/>
  <c r="Q24" i="10"/>
  <c r="Q25" i="10"/>
  <c r="Q26" i="10"/>
  <c r="Q27" i="10"/>
  <c r="Q28" i="10"/>
  <c r="Q29" i="10"/>
  <c r="Q30" i="10"/>
  <c r="Q31" i="10"/>
  <c r="Q32" i="10"/>
  <c r="Q33" i="10"/>
  <c r="Q34" i="10"/>
  <c r="Q35" i="10"/>
  <c r="Q36" i="10"/>
  <c r="Q37" i="10"/>
  <c r="Q18" i="10"/>
  <c r="P19" i="10"/>
  <c r="P20" i="10"/>
  <c r="P21" i="10"/>
  <c r="P22" i="10"/>
  <c r="P23" i="10"/>
  <c r="P24" i="10"/>
  <c r="P25" i="10"/>
  <c r="P26" i="10"/>
  <c r="P27" i="10"/>
  <c r="P28" i="10"/>
  <c r="P29" i="10"/>
  <c r="P30" i="10"/>
  <c r="P31" i="10"/>
  <c r="P32" i="10"/>
  <c r="P33" i="10"/>
  <c r="P34" i="10"/>
  <c r="P35" i="10"/>
  <c r="P36" i="10"/>
  <c r="P37" i="10"/>
  <c r="P18" i="10"/>
  <c r="O19" i="10"/>
  <c r="O20" i="10"/>
  <c r="O21" i="10"/>
  <c r="O22" i="10"/>
  <c r="O23" i="10"/>
  <c r="O24" i="10"/>
  <c r="O25" i="10"/>
  <c r="O26" i="10"/>
  <c r="O27" i="10"/>
  <c r="O28" i="10"/>
  <c r="O29" i="10"/>
  <c r="O30" i="10"/>
  <c r="O31" i="10"/>
  <c r="O32" i="10"/>
  <c r="O33" i="10"/>
  <c r="O34" i="10"/>
  <c r="O35" i="10"/>
  <c r="O36" i="10"/>
  <c r="O37" i="10"/>
  <c r="O18" i="10"/>
  <c r="K19" i="10"/>
  <c r="K20" i="10"/>
  <c r="K21" i="10"/>
  <c r="K22" i="10"/>
  <c r="K23" i="10"/>
  <c r="K24" i="10"/>
  <c r="K25" i="10"/>
  <c r="K26" i="10"/>
  <c r="K27" i="10"/>
  <c r="K28" i="10"/>
  <c r="K29" i="10"/>
  <c r="K30" i="10"/>
  <c r="K31" i="10"/>
  <c r="K32" i="10"/>
  <c r="K33" i="10"/>
  <c r="K34" i="10"/>
  <c r="K35" i="10"/>
  <c r="K36" i="10"/>
  <c r="K37" i="10"/>
  <c r="K18" i="10"/>
  <c r="J19" i="10"/>
  <c r="J20" i="10"/>
  <c r="J21" i="10"/>
  <c r="J22" i="10"/>
  <c r="J23" i="10"/>
  <c r="J24" i="10"/>
  <c r="J25" i="10"/>
  <c r="J26" i="10"/>
  <c r="J27" i="10"/>
  <c r="J28" i="10"/>
  <c r="J29" i="10"/>
  <c r="J30" i="10"/>
  <c r="J31" i="10"/>
  <c r="J32" i="10"/>
  <c r="J33" i="10"/>
  <c r="J34" i="10"/>
  <c r="J35" i="10"/>
  <c r="J36" i="10"/>
  <c r="J37" i="10"/>
  <c r="J18" i="10"/>
  <c r="P14" i="9"/>
  <c r="R14" i="9"/>
  <c r="P15" i="9"/>
  <c r="R15" i="9"/>
  <c r="P16" i="9"/>
  <c r="R16" i="9"/>
  <c r="P17" i="9"/>
  <c r="R17" i="9"/>
  <c r="P18" i="9"/>
  <c r="R18" i="9"/>
  <c r="S14" i="9"/>
  <c r="U14" i="9"/>
  <c r="N28" i="23"/>
  <c r="T58" i="23"/>
  <c r="T59" i="23"/>
  <c r="T60" i="23"/>
  <c r="T61" i="23"/>
  <c r="T62" i="23"/>
  <c r="T64" i="23"/>
  <c r="T65" i="23"/>
  <c r="T66" i="23"/>
  <c r="T67" i="23"/>
  <c r="T69" i="23"/>
  <c r="T70" i="23"/>
  <c r="T71" i="23"/>
  <c r="T72" i="23"/>
  <c r="T73" i="23"/>
  <c r="T74" i="23"/>
  <c r="T76" i="23"/>
  <c r="T77" i="23"/>
  <c r="T78" i="23"/>
  <c r="T79" i="23"/>
  <c r="T80" i="23"/>
  <c r="T81" i="23"/>
  <c r="T82" i="23"/>
  <c r="T83" i="23"/>
  <c r="T85" i="23"/>
  <c r="T86" i="23"/>
  <c r="T87" i="23"/>
  <c r="T88" i="23"/>
  <c r="T90" i="23"/>
  <c r="T91" i="23"/>
  <c r="T92" i="23"/>
  <c r="T93" i="23"/>
  <c r="T94" i="23"/>
  <c r="T96" i="23"/>
  <c r="T97" i="23"/>
  <c r="T98" i="23"/>
  <c r="T99" i="23"/>
  <c r="T100" i="23"/>
  <c r="T101" i="23"/>
  <c r="T103" i="23"/>
  <c r="T104" i="23"/>
  <c r="T105" i="23"/>
  <c r="T106" i="23"/>
  <c r="T108" i="23"/>
  <c r="T109" i="23"/>
  <c r="T110" i="23"/>
  <c r="T111" i="23"/>
  <c r="T113" i="23"/>
  <c r="T114" i="23"/>
  <c r="T115" i="23"/>
  <c r="T116" i="23"/>
  <c r="T117" i="23"/>
  <c r="T119" i="23"/>
  <c r="T120" i="23"/>
  <c r="T121" i="23"/>
  <c r="T122" i="23"/>
  <c r="T123" i="23"/>
  <c r="T125" i="23"/>
  <c r="T126" i="23"/>
  <c r="T127" i="23"/>
  <c r="T128" i="23"/>
  <c r="T129" i="23"/>
  <c r="T130" i="23"/>
  <c r="T132" i="23"/>
  <c r="T133" i="23"/>
  <c r="T134" i="23"/>
  <c r="T135" i="23"/>
  <c r="T136" i="23"/>
  <c r="T138" i="23"/>
  <c r="T139" i="23"/>
  <c r="T140" i="23"/>
  <c r="T141" i="23"/>
  <c r="T143" i="23"/>
  <c r="T144" i="23"/>
  <c r="T145" i="23"/>
  <c r="T146" i="23"/>
  <c r="T147" i="23"/>
  <c r="T149" i="23"/>
  <c r="T150" i="23"/>
  <c r="T151" i="23"/>
  <c r="T152" i="23"/>
  <c r="T153" i="23"/>
  <c r="T154" i="23"/>
  <c r="T155" i="23"/>
  <c r="T156" i="23"/>
  <c r="T157" i="23"/>
  <c r="T158" i="23"/>
  <c r="T160" i="23"/>
  <c r="T161" i="23"/>
  <c r="T162" i="23"/>
  <c r="T163" i="23"/>
  <c r="T164" i="23"/>
  <c r="T165" i="23"/>
  <c r="T167" i="23"/>
  <c r="T168" i="23"/>
  <c r="T169" i="23"/>
  <c r="T170" i="23"/>
  <c r="T171" i="23"/>
  <c r="T172" i="23"/>
  <c r="T174" i="23"/>
  <c r="T175" i="23"/>
  <c r="T176" i="23"/>
  <c r="T177" i="23"/>
  <c r="T178" i="23"/>
  <c r="T180" i="23"/>
  <c r="T181" i="23"/>
  <c r="V41" i="9"/>
  <c r="W41" i="9"/>
  <c r="Y41" i="9"/>
  <c r="Z41" i="9"/>
  <c r="AA41" i="9"/>
  <c r="AB41" i="9"/>
  <c r="AC41" i="9"/>
  <c r="AD41" i="9"/>
  <c r="AE41" i="9"/>
  <c r="V42" i="9"/>
  <c r="W42" i="9"/>
  <c r="Y42" i="9"/>
  <c r="Z42" i="9"/>
  <c r="AA42" i="9"/>
  <c r="AB42" i="9"/>
  <c r="AC40" i="9"/>
  <c r="AC42" i="9"/>
  <c r="AD42" i="9"/>
  <c r="AE42" i="9"/>
  <c r="V43" i="9"/>
  <c r="W43" i="9"/>
  <c r="Y43" i="9"/>
  <c r="Z43" i="9"/>
  <c r="AA43" i="9"/>
  <c r="AB43" i="9"/>
  <c r="AC43" i="9"/>
  <c r="AD43" i="9"/>
  <c r="AE43" i="9"/>
  <c r="V44" i="9"/>
  <c r="W44" i="9"/>
  <c r="Y44" i="9"/>
  <c r="Z44" i="9"/>
  <c r="AA44" i="9"/>
  <c r="AB44" i="9"/>
  <c r="AC44" i="9"/>
  <c r="AD44" i="9"/>
  <c r="AE44" i="9"/>
  <c r="V40" i="9"/>
  <c r="W40" i="9"/>
  <c r="Y40" i="9"/>
  <c r="Z40" i="9"/>
  <c r="AA40" i="9"/>
  <c r="AB40" i="9"/>
  <c r="AD40" i="9"/>
  <c r="AE40" i="9"/>
  <c r="P9" i="23"/>
  <c r="FP2" i="25"/>
  <c r="FO2" i="25"/>
  <c r="C2" i="25"/>
  <c r="EU2" i="25"/>
  <c r="S1" i="10"/>
  <c r="Q4" i="27" a="1"/>
  <c r="Q4" i="27"/>
  <c r="U3" i="27"/>
  <c r="Q5" i="27" a="1"/>
  <c r="Q5" i="27"/>
  <c r="U4" i="27"/>
  <c r="Q6" i="27" a="1"/>
  <c r="Q6" i="27"/>
  <c r="U5" i="27"/>
  <c r="Q7" i="27" a="1"/>
  <c r="Q7" i="27"/>
  <c r="U6" i="27"/>
  <c r="Q8" i="27" a="1"/>
  <c r="Q8" i="27"/>
  <c r="U7" i="27"/>
  <c r="Q9" i="27" a="1"/>
  <c r="Q9" i="27"/>
  <c r="U8" i="27"/>
  <c r="Q10" i="27" a="1"/>
  <c r="Q10" i="27"/>
  <c r="U9" i="27"/>
  <c r="Q11" i="27" a="1"/>
  <c r="Q11" i="27"/>
  <c r="U10" i="27"/>
  <c r="Q12" i="27" a="1"/>
  <c r="Q12" i="27"/>
  <c r="U11" i="27"/>
  <c r="Q13" i="27" a="1"/>
  <c r="Q13" i="27"/>
  <c r="U12" i="27"/>
  <c r="Q14" i="27" a="1"/>
  <c r="Q14" i="27"/>
  <c r="U13" i="27"/>
  <c r="Q15" i="27" a="1"/>
  <c r="Q15" i="27"/>
  <c r="U14" i="27"/>
  <c r="Q16" i="27" a="1"/>
  <c r="Q16" i="27"/>
  <c r="U15" i="27"/>
  <c r="Q17" i="27" a="1"/>
  <c r="Q17" i="27"/>
  <c r="U16" i="27"/>
  <c r="Q18" i="27" a="1"/>
  <c r="Q18" i="27"/>
  <c r="U17" i="27"/>
  <c r="Q19" i="27" a="1"/>
  <c r="Q19" i="27"/>
  <c r="U18" i="27"/>
  <c r="Q20" i="27" a="1"/>
  <c r="Q20" i="27"/>
  <c r="U19" i="27"/>
  <c r="Q21" i="27" a="1"/>
  <c r="Q21" i="27"/>
  <c r="U20" i="27"/>
  <c r="Q22" i="27" a="1"/>
  <c r="Q22" i="27"/>
  <c r="U21" i="27"/>
  <c r="Q23" i="27" a="1"/>
  <c r="Q23" i="27"/>
  <c r="U22" i="27"/>
  <c r="Q24" i="27" a="1"/>
  <c r="Q24" i="27"/>
  <c r="U23" i="27"/>
  <c r="Q25" i="27" a="1"/>
  <c r="Q25" i="27"/>
  <c r="U24" i="27"/>
  <c r="Q26" i="27" a="1"/>
  <c r="Q26" i="27"/>
  <c r="U25" i="27"/>
  <c r="Q27" i="27" a="1"/>
  <c r="Q27" i="27"/>
  <c r="U26" i="27"/>
  <c r="Q28" i="27" a="1"/>
  <c r="Q28" i="27"/>
  <c r="Q29" i="27" a="1"/>
  <c r="Q29" i="27"/>
  <c r="Q30" i="27" a="1"/>
  <c r="Q30" i="27"/>
  <c r="Q31" i="27" a="1"/>
  <c r="Q31" i="27"/>
  <c r="Q32" i="27" a="1"/>
  <c r="Q32" i="27"/>
  <c r="Q33" i="27" a="1"/>
  <c r="Q33" i="27"/>
  <c r="Q34" i="27" a="1"/>
  <c r="Q34" i="27"/>
  <c r="Q35" i="27" a="1"/>
  <c r="Q35" i="27"/>
  <c r="Q36" i="27" a="1"/>
  <c r="Q36" i="27"/>
  <c r="Q37" i="27" a="1"/>
  <c r="Q37" i="27"/>
  <c r="Q38" i="27" a="1"/>
  <c r="Q38" i="27"/>
  <c r="Q39" i="27" a="1"/>
  <c r="Q39" i="27"/>
  <c r="Q40" i="27" a="1"/>
  <c r="Q40" i="27"/>
  <c r="Q41" i="27" a="1"/>
  <c r="Q41" i="27"/>
  <c r="Q42" i="27" a="1"/>
  <c r="Q42" i="27"/>
  <c r="Q43" i="27" a="1"/>
  <c r="Q43" i="27"/>
  <c r="Q44" i="27" a="1"/>
  <c r="Q44" i="27"/>
  <c r="Q45" i="27" a="1"/>
  <c r="Q45" i="27"/>
  <c r="Q46" i="27" a="1"/>
  <c r="Q46" i="27"/>
  <c r="Q47" i="27" a="1"/>
  <c r="Q47" i="27"/>
  <c r="Q48" i="27" a="1"/>
  <c r="Q48" i="27"/>
  <c r="Q49" i="27" a="1"/>
  <c r="Q49" i="27"/>
  <c r="Q50" i="27" a="1"/>
  <c r="Q50" i="27"/>
  <c r="Q51" i="27" a="1"/>
  <c r="Q51" i="27"/>
  <c r="Q52" i="27" a="1"/>
  <c r="Q52" i="27"/>
  <c r="Q53" i="27" a="1"/>
  <c r="Q53" i="27"/>
  <c r="Q54" i="27" a="1"/>
  <c r="Q54" i="27"/>
  <c r="Q55" i="27" a="1"/>
  <c r="Q55" i="27"/>
  <c r="Q56" i="27" a="1"/>
  <c r="Q56" i="27"/>
  <c r="Q57" i="27" a="1"/>
  <c r="Q57" i="27"/>
  <c r="Q58" i="27" a="1"/>
  <c r="Q58" i="27"/>
  <c r="Q59" i="27" a="1"/>
  <c r="Q59" i="27"/>
  <c r="Q60" i="27" a="1"/>
  <c r="Q60" i="27"/>
  <c r="Q61" i="27" a="1"/>
  <c r="Q61" i="27"/>
  <c r="Q62" i="27" a="1"/>
  <c r="Q62" i="27"/>
  <c r="Q63" i="27" a="1"/>
  <c r="Q63" i="27"/>
  <c r="Q64" i="27" a="1"/>
  <c r="Q64" i="27"/>
  <c r="Q65" i="27" a="1"/>
  <c r="Q65" i="27"/>
  <c r="Q66" i="27" a="1"/>
  <c r="Q66" i="27"/>
  <c r="Q67" i="27" a="1"/>
  <c r="Q67" i="27"/>
  <c r="Q68" i="27" a="1"/>
  <c r="Q68" i="27"/>
  <c r="Q69" i="27" a="1"/>
  <c r="Q69" i="27"/>
  <c r="Q70" i="27" a="1"/>
  <c r="Q70" i="27"/>
  <c r="Q71" i="27" a="1"/>
  <c r="Q71" i="27"/>
  <c r="Q72" i="27" a="1"/>
  <c r="Q72" i="27"/>
  <c r="Q73" i="27" a="1"/>
  <c r="Q73" i="27"/>
  <c r="Q74" i="27" a="1"/>
  <c r="Q74" i="27"/>
  <c r="Q75" i="27" a="1"/>
  <c r="Q75" i="27"/>
  <c r="Q76" i="27" a="1"/>
  <c r="Q76" i="27"/>
  <c r="Q77" i="27" a="1"/>
  <c r="Q77" i="27"/>
  <c r="Q78" i="27" a="1"/>
  <c r="Q78" i="27"/>
  <c r="Q79" i="27" a="1"/>
  <c r="Q79" i="27"/>
  <c r="Q80" i="27" a="1"/>
  <c r="Q80" i="27"/>
  <c r="Q81" i="27" a="1"/>
  <c r="Q81" i="27"/>
  <c r="Q82" i="27" a="1"/>
  <c r="Q82" i="27"/>
  <c r="Q83" i="27" a="1"/>
  <c r="Q83" i="27"/>
  <c r="Q84" i="27" a="1"/>
  <c r="Q84" i="27"/>
  <c r="Q85" i="27" a="1"/>
  <c r="Q85" i="27"/>
  <c r="Q86" i="27" a="1"/>
  <c r="Q86" i="27"/>
  <c r="Q87" i="27" a="1"/>
  <c r="Q87" i="27"/>
  <c r="Q88" i="27" a="1"/>
  <c r="Q88" i="27"/>
  <c r="Q89" i="27" a="1"/>
  <c r="Q89" i="27"/>
  <c r="Q90" i="27" a="1"/>
  <c r="Q90" i="27"/>
  <c r="Q91" i="27" a="1"/>
  <c r="Q91" i="27"/>
  <c r="Q92" i="27" a="1"/>
  <c r="Q92" i="27"/>
  <c r="Q93" i="27" a="1"/>
  <c r="Q93" i="27"/>
  <c r="Q94" i="27" a="1"/>
  <c r="Q94" i="27"/>
  <c r="Q95" i="27" a="1"/>
  <c r="Q95" i="27"/>
  <c r="Q96" i="27" a="1"/>
  <c r="Q96" i="27"/>
  <c r="Q97" i="27" a="1"/>
  <c r="Q97" i="27"/>
  <c r="Q98" i="27" a="1"/>
  <c r="Q98" i="27"/>
  <c r="Q99" i="27" a="1"/>
  <c r="Q99" i="27"/>
  <c r="Q100" i="27" a="1"/>
  <c r="Q100" i="27"/>
  <c r="Q101" i="27" a="1"/>
  <c r="Q101" i="27"/>
  <c r="Q102" i="27" a="1"/>
  <c r="Q102" i="27"/>
  <c r="Q103" i="27" a="1"/>
  <c r="Q103" i="27"/>
  <c r="Q104" i="27" a="1"/>
  <c r="Q104" i="27"/>
  <c r="Q105" i="27" a="1"/>
  <c r="Q105" i="27"/>
  <c r="Q106" i="27" a="1"/>
  <c r="Q106" i="27"/>
  <c r="Q107" i="27" a="1"/>
  <c r="Q107" i="27"/>
  <c r="Q3" i="27" a="1"/>
  <c r="Q3" i="27"/>
  <c r="U2" i="27"/>
  <c r="K4" i="27" a="1"/>
  <c r="K4" i="27"/>
  <c r="T3" i="27"/>
  <c r="K5" i="27" a="1"/>
  <c r="K5" i="27"/>
  <c r="T4" i="27"/>
  <c r="K6" i="27" a="1"/>
  <c r="K6" i="27"/>
  <c r="T5" i="27"/>
  <c r="K7" i="27" a="1"/>
  <c r="K7" i="27"/>
  <c r="T6" i="27"/>
  <c r="K8" i="27" a="1"/>
  <c r="K8" i="27"/>
  <c r="T7" i="27"/>
  <c r="K9" i="27" a="1"/>
  <c r="K9" i="27"/>
  <c r="T8" i="27"/>
  <c r="K10" i="27" a="1"/>
  <c r="K10" i="27"/>
  <c r="T9" i="27"/>
  <c r="K11" i="27" a="1"/>
  <c r="K11" i="27"/>
  <c r="T10" i="27"/>
  <c r="K12" i="27" a="1"/>
  <c r="K12" i="27"/>
  <c r="T11" i="27"/>
  <c r="K13" i="27" a="1"/>
  <c r="K13" i="27"/>
  <c r="T12" i="27"/>
  <c r="K14" i="27" a="1"/>
  <c r="K14" i="27"/>
  <c r="T13" i="27"/>
  <c r="K15" i="27" a="1"/>
  <c r="K15" i="27"/>
  <c r="T14" i="27"/>
  <c r="K16" i="27" a="1"/>
  <c r="K16" i="27"/>
  <c r="T15" i="27"/>
  <c r="K17" i="27" a="1"/>
  <c r="K17" i="27"/>
  <c r="T16" i="27"/>
  <c r="K18" i="27" a="1"/>
  <c r="K18" i="27"/>
  <c r="T17" i="27"/>
  <c r="K19" i="27" a="1"/>
  <c r="K19" i="27"/>
  <c r="T18" i="27"/>
  <c r="K20" i="27" a="1"/>
  <c r="K20" i="27"/>
  <c r="T19" i="27"/>
  <c r="K21" i="27" a="1"/>
  <c r="K21" i="27"/>
  <c r="T20" i="27"/>
  <c r="K22" i="27" a="1"/>
  <c r="K22" i="27"/>
  <c r="T21" i="27"/>
  <c r="K23" i="27" a="1"/>
  <c r="K23" i="27"/>
  <c r="T22" i="27"/>
  <c r="K24" i="27" a="1"/>
  <c r="K24" i="27"/>
  <c r="T23" i="27"/>
  <c r="K25" i="27" a="1"/>
  <c r="K25" i="27"/>
  <c r="T24" i="27"/>
  <c r="K26" i="27" a="1"/>
  <c r="K26" i="27"/>
  <c r="T25" i="27"/>
  <c r="K27" i="27" a="1"/>
  <c r="K27" i="27"/>
  <c r="T26" i="27"/>
  <c r="K28" i="27" a="1"/>
  <c r="K28" i="27"/>
  <c r="K29" i="27" a="1"/>
  <c r="K29" i="27"/>
  <c r="K30" i="27" a="1"/>
  <c r="K30" i="27"/>
  <c r="K31" i="27" a="1"/>
  <c r="K31" i="27"/>
  <c r="K32" i="27" a="1"/>
  <c r="K32" i="27"/>
  <c r="K33" i="27" a="1"/>
  <c r="K33" i="27"/>
  <c r="K34" i="27" a="1"/>
  <c r="K34" i="27"/>
  <c r="K35" i="27" a="1"/>
  <c r="K35" i="27"/>
  <c r="K36" i="27" a="1"/>
  <c r="K36" i="27"/>
  <c r="K37" i="27" a="1"/>
  <c r="K37" i="27"/>
  <c r="K38" i="27" a="1"/>
  <c r="K38" i="27"/>
  <c r="K39" i="27" a="1"/>
  <c r="K39" i="27"/>
  <c r="K40" i="27" a="1"/>
  <c r="K40" i="27"/>
  <c r="K41" i="27" a="1"/>
  <c r="K41" i="27"/>
  <c r="K42" i="27" a="1"/>
  <c r="K42" i="27"/>
  <c r="K43" i="27" a="1"/>
  <c r="K43" i="27"/>
  <c r="K44" i="27" a="1"/>
  <c r="K44" i="27"/>
  <c r="K45" i="27" a="1"/>
  <c r="K45" i="27"/>
  <c r="K46" i="27" a="1"/>
  <c r="K46" i="27"/>
  <c r="K47" i="27" a="1"/>
  <c r="K47" i="27"/>
  <c r="K48" i="27" a="1"/>
  <c r="K48" i="27"/>
  <c r="K49" i="27" a="1"/>
  <c r="K49" i="27"/>
  <c r="K50" i="27" a="1"/>
  <c r="K50" i="27"/>
  <c r="K51" i="27" a="1"/>
  <c r="K51" i="27"/>
  <c r="K52" i="27" a="1"/>
  <c r="K52" i="27"/>
  <c r="K53" i="27" a="1"/>
  <c r="K53" i="27"/>
  <c r="K54" i="27" a="1"/>
  <c r="K54" i="27"/>
  <c r="K55" i="27" a="1"/>
  <c r="K55" i="27"/>
  <c r="K56" i="27" a="1"/>
  <c r="K56" i="27"/>
  <c r="K57" i="27" a="1"/>
  <c r="K57" i="27"/>
  <c r="K58" i="27" a="1"/>
  <c r="K58" i="27"/>
  <c r="K59" i="27" a="1"/>
  <c r="K59" i="27"/>
  <c r="K60" i="27" a="1"/>
  <c r="K60" i="27"/>
  <c r="K61" i="27" a="1"/>
  <c r="K61" i="27"/>
  <c r="K62" i="27" a="1"/>
  <c r="K62" i="27"/>
  <c r="K63" i="27" a="1"/>
  <c r="K63" i="27"/>
  <c r="K64" i="27" a="1"/>
  <c r="K64" i="27"/>
  <c r="K65" i="27" a="1"/>
  <c r="K65" i="27"/>
  <c r="K66" i="27" a="1"/>
  <c r="K66" i="27"/>
  <c r="K67" i="27" a="1"/>
  <c r="K67" i="27"/>
  <c r="K68" i="27" a="1"/>
  <c r="K68" i="27"/>
  <c r="K69" i="27" a="1"/>
  <c r="K69" i="27"/>
  <c r="K70" i="27" a="1"/>
  <c r="K70" i="27"/>
  <c r="K71" i="27" a="1"/>
  <c r="K71" i="27"/>
  <c r="K72" i="27" a="1"/>
  <c r="K72" i="27"/>
  <c r="K73" i="27" a="1"/>
  <c r="K73" i="27"/>
  <c r="K74" i="27" a="1"/>
  <c r="K74" i="27"/>
  <c r="K75" i="27" a="1"/>
  <c r="K75" i="27"/>
  <c r="K76" i="27" a="1"/>
  <c r="K76" i="27"/>
  <c r="K77" i="27" a="1"/>
  <c r="K77" i="27"/>
  <c r="K78" i="27" a="1"/>
  <c r="K78" i="27"/>
  <c r="K79" i="27" a="1"/>
  <c r="K79" i="27"/>
  <c r="K80" i="27" a="1"/>
  <c r="K80" i="27"/>
  <c r="K81" i="27" a="1"/>
  <c r="K81" i="27"/>
  <c r="K82" i="27" a="1"/>
  <c r="K82" i="27"/>
  <c r="K83" i="27" a="1"/>
  <c r="K83" i="27"/>
  <c r="K84" i="27" a="1"/>
  <c r="K84" i="27"/>
  <c r="K85" i="27" a="1"/>
  <c r="K85" i="27"/>
  <c r="K86" i="27" a="1"/>
  <c r="K86" i="27"/>
  <c r="K87" i="27" a="1"/>
  <c r="K87" i="27"/>
  <c r="K88" i="27" a="1"/>
  <c r="K88" i="27"/>
  <c r="K89" i="27" a="1"/>
  <c r="K89" i="27"/>
  <c r="K90" i="27" a="1"/>
  <c r="K90" i="27"/>
  <c r="K91" i="27" a="1"/>
  <c r="K91" i="27"/>
  <c r="K92" i="27" a="1"/>
  <c r="K92" i="27"/>
  <c r="K93" i="27" a="1"/>
  <c r="K93" i="27"/>
  <c r="K94" i="27" a="1"/>
  <c r="K94" i="27"/>
  <c r="K95" i="27" a="1"/>
  <c r="K95" i="27"/>
  <c r="K96" i="27" a="1"/>
  <c r="K96" i="27"/>
  <c r="K97" i="27" a="1"/>
  <c r="K97" i="27"/>
  <c r="K98" i="27" a="1"/>
  <c r="K98" i="27"/>
  <c r="K99" i="27" a="1"/>
  <c r="K99" i="27"/>
  <c r="K100" i="27" a="1"/>
  <c r="K100" i="27"/>
  <c r="K101" i="27" a="1"/>
  <c r="K101" i="27"/>
  <c r="K102" i="27" a="1"/>
  <c r="K102" i="27"/>
  <c r="K103" i="27" a="1"/>
  <c r="K103" i="27"/>
  <c r="K104" i="27" a="1"/>
  <c r="K104" i="27"/>
  <c r="K105" i="27" a="1"/>
  <c r="K105" i="27"/>
  <c r="K106" i="27" a="1"/>
  <c r="K106" i="27"/>
  <c r="K107" i="27" a="1"/>
  <c r="K107" i="27"/>
  <c r="K3" i="27" a="1"/>
  <c r="K3" i="27"/>
  <c r="T2" i="27"/>
  <c r="E4" i="27" a="1"/>
  <c r="E4" i="27"/>
  <c r="S3" i="27"/>
  <c r="V3" i="27" a="1"/>
  <c r="V3" i="27"/>
  <c r="B130" i="10"/>
  <c r="E5" i="27" a="1"/>
  <c r="E5" i="27"/>
  <c r="S4" i="27"/>
  <c r="V4" i="27" a="1"/>
  <c r="V4" i="27"/>
  <c r="B131" i="10"/>
  <c r="E6" i="27" a="1"/>
  <c r="E6" i="27"/>
  <c r="S5" i="27"/>
  <c r="V5" i="27" a="1"/>
  <c r="V5" i="27"/>
  <c r="B132" i="10"/>
  <c r="E7" i="27" a="1"/>
  <c r="E7" i="27"/>
  <c r="S6" i="27"/>
  <c r="V6" i="27" a="1"/>
  <c r="V6" i="27"/>
  <c r="B133" i="10"/>
  <c r="E8" i="27" a="1"/>
  <c r="E8" i="27"/>
  <c r="S7" i="27"/>
  <c r="V7" i="27" a="1"/>
  <c r="V7" i="27"/>
  <c r="B134" i="10"/>
  <c r="E9" i="27" a="1"/>
  <c r="E9" i="27"/>
  <c r="S8" i="27"/>
  <c r="E10" i="27" a="1"/>
  <c r="E10" i="27"/>
  <c r="S9" i="27"/>
  <c r="V9" i="27" a="1"/>
  <c r="V9" i="27"/>
  <c r="B136" i="10"/>
  <c r="E11" i="27" a="1"/>
  <c r="E11" i="27"/>
  <c r="S10" i="27"/>
  <c r="V10" i="27" a="1"/>
  <c r="V10" i="27"/>
  <c r="B137" i="10"/>
  <c r="E12" i="27" a="1"/>
  <c r="E12" i="27"/>
  <c r="S11" i="27"/>
  <c r="V11" i="27" a="1"/>
  <c r="V11" i="27"/>
  <c r="B138" i="10"/>
  <c r="E13" i="27" a="1"/>
  <c r="E13" i="27"/>
  <c r="S12" i="27"/>
  <c r="V12" i="27" a="1"/>
  <c r="V12" i="27"/>
  <c r="B139" i="10"/>
  <c r="E14" i="27" a="1"/>
  <c r="E14" i="27"/>
  <c r="S13" i="27"/>
  <c r="V13" i="27" a="1"/>
  <c r="V13" i="27"/>
  <c r="B140" i="10"/>
  <c r="E15" i="27" a="1"/>
  <c r="E15" i="27"/>
  <c r="S14" i="27"/>
  <c r="V14" i="27" a="1"/>
  <c r="V14" i="27"/>
  <c r="B141" i="10"/>
  <c r="E16" i="27" a="1"/>
  <c r="E16" i="27"/>
  <c r="S15" i="27"/>
  <c r="V15" i="27" a="1"/>
  <c r="V15" i="27"/>
  <c r="B142" i="10"/>
  <c r="E17" i="27" a="1"/>
  <c r="E17" i="27"/>
  <c r="S16" i="27"/>
  <c r="E18" i="27" a="1"/>
  <c r="E18" i="27"/>
  <c r="S17" i="27"/>
  <c r="V17" i="27" a="1"/>
  <c r="V17" i="27"/>
  <c r="E19" i="27" a="1"/>
  <c r="E19" i="27"/>
  <c r="S18" i="27"/>
  <c r="V18" i="27" a="1"/>
  <c r="V18" i="27"/>
  <c r="E20" i="27" a="1"/>
  <c r="E20" i="27"/>
  <c r="S19" i="27"/>
  <c r="V19" i="27" a="1"/>
  <c r="V19" i="27"/>
  <c r="E21" i="27" a="1"/>
  <c r="E21" i="27"/>
  <c r="S20" i="27"/>
  <c r="V20" i="27" a="1"/>
  <c r="V20" i="27"/>
  <c r="E22" i="27" a="1"/>
  <c r="E22" i="27"/>
  <c r="S21" i="27"/>
  <c r="V21" i="27" a="1"/>
  <c r="V21" i="27"/>
  <c r="E23" i="27" a="1"/>
  <c r="E23" i="27"/>
  <c r="S22" i="27"/>
  <c r="V22" i="27" a="1"/>
  <c r="V22" i="27"/>
  <c r="E24" i="27" a="1"/>
  <c r="E24" i="27"/>
  <c r="S23" i="27"/>
  <c r="E25" i="27" a="1"/>
  <c r="E25" i="27"/>
  <c r="S24" i="27"/>
  <c r="E26" i="27" a="1"/>
  <c r="E26" i="27"/>
  <c r="S25" i="27"/>
  <c r="V25" i="27" a="1"/>
  <c r="V25" i="27"/>
  <c r="E27" i="27" a="1"/>
  <c r="E27" i="27"/>
  <c r="S26" i="27"/>
  <c r="V26" i="27" a="1"/>
  <c r="V26" i="27"/>
  <c r="E28" i="27" a="1"/>
  <c r="E28" i="27"/>
  <c r="E29" i="27" a="1"/>
  <c r="E29" i="27"/>
  <c r="E30" i="27" a="1"/>
  <c r="E30" i="27"/>
  <c r="E31" i="27" a="1"/>
  <c r="E31" i="27"/>
  <c r="E32" i="27" a="1"/>
  <c r="E32" i="27"/>
  <c r="E33" i="27" a="1"/>
  <c r="E33" i="27"/>
  <c r="E34" i="27" a="1"/>
  <c r="E34" i="27"/>
  <c r="E35" i="27" a="1"/>
  <c r="E35" i="27"/>
  <c r="E36" i="27" a="1"/>
  <c r="E36" i="27"/>
  <c r="E37" i="27" a="1"/>
  <c r="E37" i="27"/>
  <c r="E38" i="27" a="1"/>
  <c r="E38" i="27"/>
  <c r="E39" i="27" a="1"/>
  <c r="E39" i="27"/>
  <c r="E40" i="27" a="1"/>
  <c r="E40" i="27"/>
  <c r="E41" i="27" a="1"/>
  <c r="E41" i="27"/>
  <c r="E42" i="27" a="1"/>
  <c r="E42" i="27"/>
  <c r="E43" i="27" a="1"/>
  <c r="E43" i="27"/>
  <c r="E44" i="27" a="1"/>
  <c r="E44" i="27"/>
  <c r="E45" i="27" a="1"/>
  <c r="E45" i="27"/>
  <c r="E46" i="27" a="1"/>
  <c r="E46" i="27"/>
  <c r="E47" i="27" a="1"/>
  <c r="E47" i="27"/>
  <c r="E48" i="27" a="1"/>
  <c r="E48" i="27"/>
  <c r="E49" i="27" a="1"/>
  <c r="E49" i="27"/>
  <c r="E50" i="27" a="1"/>
  <c r="E50" i="27"/>
  <c r="E51" i="27" a="1"/>
  <c r="E51" i="27"/>
  <c r="E52" i="27" a="1"/>
  <c r="E52" i="27"/>
  <c r="E53" i="27" a="1"/>
  <c r="E53" i="27"/>
  <c r="E54" i="27" a="1"/>
  <c r="E54" i="27"/>
  <c r="E55" i="27" a="1"/>
  <c r="E55" i="27"/>
  <c r="E56" i="27" a="1"/>
  <c r="E56" i="27"/>
  <c r="E57" i="27" a="1"/>
  <c r="E57" i="27"/>
  <c r="E58" i="27" a="1"/>
  <c r="E58" i="27"/>
  <c r="E59" i="27" a="1"/>
  <c r="E59" i="27"/>
  <c r="E60" i="27" a="1"/>
  <c r="E60" i="27"/>
  <c r="E61" i="27" a="1"/>
  <c r="E61" i="27"/>
  <c r="E62" i="27" a="1"/>
  <c r="E62" i="27"/>
  <c r="E63" i="27" a="1"/>
  <c r="E63" i="27"/>
  <c r="E64" i="27" a="1"/>
  <c r="E64" i="27"/>
  <c r="E65" i="27" a="1"/>
  <c r="E65" i="27"/>
  <c r="E66" i="27" a="1"/>
  <c r="E66" i="27"/>
  <c r="E67" i="27" a="1"/>
  <c r="E67" i="27"/>
  <c r="E68" i="27" a="1"/>
  <c r="E68" i="27"/>
  <c r="E69" i="27" a="1"/>
  <c r="E69" i="27"/>
  <c r="E70" i="27" a="1"/>
  <c r="E70" i="27"/>
  <c r="E71" i="27" a="1"/>
  <c r="E71" i="27"/>
  <c r="E72" i="27" a="1"/>
  <c r="E72" i="27"/>
  <c r="E73" i="27" a="1"/>
  <c r="E73" i="27"/>
  <c r="E74" i="27" a="1"/>
  <c r="E74" i="27"/>
  <c r="E75" i="27" a="1"/>
  <c r="E75" i="27"/>
  <c r="E76" i="27" a="1"/>
  <c r="E76" i="27"/>
  <c r="E77" i="27" a="1"/>
  <c r="E77" i="27"/>
  <c r="E78" i="27" a="1"/>
  <c r="E78" i="27"/>
  <c r="E79" i="27" a="1"/>
  <c r="E79" i="27"/>
  <c r="E80" i="27" a="1"/>
  <c r="E80" i="27"/>
  <c r="E81" i="27" a="1"/>
  <c r="E81" i="27"/>
  <c r="E82" i="27" a="1"/>
  <c r="E82" i="27"/>
  <c r="E83" i="27" a="1"/>
  <c r="E83" i="27"/>
  <c r="E84" i="27" a="1"/>
  <c r="E84" i="27"/>
  <c r="E85" i="27" a="1"/>
  <c r="E85" i="27"/>
  <c r="E86" i="27" a="1"/>
  <c r="E86" i="27"/>
  <c r="E87" i="27" a="1"/>
  <c r="E87" i="27"/>
  <c r="E88" i="27" a="1"/>
  <c r="E88" i="27"/>
  <c r="E89" i="27" a="1"/>
  <c r="E89" i="27"/>
  <c r="E90" i="27" a="1"/>
  <c r="E90" i="27"/>
  <c r="E91" i="27" a="1"/>
  <c r="E91" i="27"/>
  <c r="E92" i="27" a="1"/>
  <c r="E92" i="27"/>
  <c r="E93" i="27" a="1"/>
  <c r="E93" i="27"/>
  <c r="E94" i="27" a="1"/>
  <c r="E94" i="27"/>
  <c r="E95" i="27" a="1"/>
  <c r="E95" i="27"/>
  <c r="E96" i="27" a="1"/>
  <c r="E96" i="27"/>
  <c r="E97" i="27" a="1"/>
  <c r="E97" i="27"/>
  <c r="E98" i="27" a="1"/>
  <c r="E98" i="27"/>
  <c r="E99" i="27" a="1"/>
  <c r="E99" i="27"/>
  <c r="E100" i="27" a="1"/>
  <c r="E100" i="27"/>
  <c r="E101" i="27" a="1"/>
  <c r="E101" i="27"/>
  <c r="E102" i="27" a="1"/>
  <c r="E102" i="27"/>
  <c r="E103" i="27" a="1"/>
  <c r="E103" i="27"/>
  <c r="E104" i="27" a="1"/>
  <c r="E104" i="27"/>
  <c r="E105" i="27" a="1"/>
  <c r="E105" i="27"/>
  <c r="E106" i="27" a="1"/>
  <c r="E106" i="27"/>
  <c r="E107" i="27" a="1"/>
  <c r="E107" i="27"/>
  <c r="E3" i="27" a="1"/>
  <c r="E3" i="27"/>
  <c r="S2" i="27"/>
  <c r="P4" i="27" a="1"/>
  <c r="P4" i="27"/>
  <c r="P5" i="27" a="1"/>
  <c r="P5" i="27"/>
  <c r="P6" i="27" a="1"/>
  <c r="P6" i="27"/>
  <c r="P7" i="27" a="1"/>
  <c r="P7" i="27"/>
  <c r="P8" i="27" a="1"/>
  <c r="P8" i="27"/>
  <c r="P9" i="27" a="1"/>
  <c r="P9" i="27"/>
  <c r="P10" i="27" a="1"/>
  <c r="P10" i="27"/>
  <c r="P11" i="27" a="1"/>
  <c r="P11" i="27"/>
  <c r="P12" i="27" a="1"/>
  <c r="P12" i="27"/>
  <c r="P13" i="27" a="1"/>
  <c r="P13" i="27"/>
  <c r="P14" i="27" a="1"/>
  <c r="P14" i="27"/>
  <c r="P15" i="27" a="1"/>
  <c r="P15" i="27"/>
  <c r="P16" i="27" a="1"/>
  <c r="P16" i="27"/>
  <c r="P17" i="27" a="1"/>
  <c r="P17" i="27"/>
  <c r="P18" i="27" a="1"/>
  <c r="P18" i="27"/>
  <c r="P19" i="27" a="1"/>
  <c r="P19" i="27"/>
  <c r="P20" i="27" a="1"/>
  <c r="P20" i="27"/>
  <c r="P21" i="27" a="1"/>
  <c r="P21" i="27"/>
  <c r="P22" i="27" a="1"/>
  <c r="P22" i="27"/>
  <c r="P23" i="27" a="1"/>
  <c r="P23" i="27"/>
  <c r="P24" i="27" a="1"/>
  <c r="P24" i="27"/>
  <c r="P25" i="27" a="1"/>
  <c r="P25" i="27"/>
  <c r="P26" i="27" a="1"/>
  <c r="P26" i="27"/>
  <c r="P27" i="27" a="1"/>
  <c r="P27" i="27"/>
  <c r="P28" i="27" a="1"/>
  <c r="P28" i="27"/>
  <c r="P29" i="27" a="1"/>
  <c r="P29" i="27"/>
  <c r="P30" i="27" a="1"/>
  <c r="P30" i="27"/>
  <c r="P31" i="27" a="1"/>
  <c r="P31" i="27"/>
  <c r="P32" i="27" a="1"/>
  <c r="P32" i="27"/>
  <c r="P33" i="27" a="1"/>
  <c r="P33" i="27"/>
  <c r="P34" i="27" a="1"/>
  <c r="P34" i="27"/>
  <c r="P35" i="27" a="1"/>
  <c r="P35" i="27"/>
  <c r="P36" i="27" a="1"/>
  <c r="P36" i="27"/>
  <c r="P37" i="27" a="1"/>
  <c r="P37" i="27"/>
  <c r="P38" i="27" a="1"/>
  <c r="P38" i="27"/>
  <c r="P39" i="27" a="1"/>
  <c r="P39" i="27"/>
  <c r="P40" i="27" a="1"/>
  <c r="P40" i="27"/>
  <c r="P41" i="27" a="1"/>
  <c r="P41" i="27"/>
  <c r="P42" i="27" a="1"/>
  <c r="P42" i="27"/>
  <c r="P43" i="27" a="1"/>
  <c r="P43" i="27"/>
  <c r="P44" i="27" a="1"/>
  <c r="P44" i="27"/>
  <c r="P45" i="27" a="1"/>
  <c r="P45" i="27"/>
  <c r="P46" i="27" a="1"/>
  <c r="P46" i="27"/>
  <c r="P47" i="27" a="1"/>
  <c r="P47" i="27"/>
  <c r="P48" i="27" a="1"/>
  <c r="P48" i="27"/>
  <c r="P49" i="27" a="1"/>
  <c r="P49" i="27"/>
  <c r="P50" i="27" a="1"/>
  <c r="P50" i="27"/>
  <c r="P51" i="27" a="1"/>
  <c r="P51" i="27"/>
  <c r="P52" i="27" a="1"/>
  <c r="P52" i="27"/>
  <c r="P53" i="27" a="1"/>
  <c r="P53" i="27"/>
  <c r="P54" i="27" a="1"/>
  <c r="P54" i="27"/>
  <c r="P55" i="27" a="1"/>
  <c r="P55" i="27"/>
  <c r="P56" i="27" a="1"/>
  <c r="P56" i="27"/>
  <c r="P57" i="27" a="1"/>
  <c r="P57" i="27"/>
  <c r="P58" i="27" a="1"/>
  <c r="P58" i="27"/>
  <c r="P59" i="27" a="1"/>
  <c r="P59" i="27"/>
  <c r="P60" i="27" a="1"/>
  <c r="P60" i="27"/>
  <c r="P61" i="27" a="1"/>
  <c r="P61" i="27"/>
  <c r="P62" i="27" a="1"/>
  <c r="P62" i="27"/>
  <c r="P63" i="27" a="1"/>
  <c r="P63" i="27"/>
  <c r="P64" i="27" a="1"/>
  <c r="P64" i="27"/>
  <c r="P65" i="27" a="1"/>
  <c r="P65" i="27"/>
  <c r="P66" i="27" a="1"/>
  <c r="P66" i="27"/>
  <c r="P67" i="27" a="1"/>
  <c r="P67" i="27"/>
  <c r="P68" i="27" a="1"/>
  <c r="P68" i="27"/>
  <c r="P69" i="27" a="1"/>
  <c r="P69" i="27"/>
  <c r="P70" i="27" a="1"/>
  <c r="P70" i="27"/>
  <c r="P71" i="27" a="1"/>
  <c r="P71" i="27"/>
  <c r="P72" i="27" a="1"/>
  <c r="P72" i="27"/>
  <c r="P73" i="27" a="1"/>
  <c r="P73" i="27"/>
  <c r="P74" i="27" a="1"/>
  <c r="P74" i="27"/>
  <c r="P75" i="27" a="1"/>
  <c r="P75" i="27"/>
  <c r="P76" i="27" a="1"/>
  <c r="P76" i="27"/>
  <c r="P77" i="27" a="1"/>
  <c r="P77" i="27"/>
  <c r="P78" i="27" a="1"/>
  <c r="P78" i="27"/>
  <c r="P79" i="27" a="1"/>
  <c r="P79" i="27"/>
  <c r="P80" i="27" a="1"/>
  <c r="P80" i="27"/>
  <c r="P81" i="27" a="1"/>
  <c r="P81" i="27"/>
  <c r="P82" i="27" a="1"/>
  <c r="P82" i="27"/>
  <c r="P83" i="27" a="1"/>
  <c r="P83" i="27"/>
  <c r="P84" i="27" a="1"/>
  <c r="P84" i="27"/>
  <c r="P85" i="27" a="1"/>
  <c r="P85" i="27"/>
  <c r="P86" i="27" a="1"/>
  <c r="P86" i="27"/>
  <c r="P87" i="27" a="1"/>
  <c r="P87" i="27"/>
  <c r="P88" i="27" a="1"/>
  <c r="P88" i="27"/>
  <c r="P89" i="27" a="1"/>
  <c r="P89" i="27"/>
  <c r="P90" i="27" a="1"/>
  <c r="P90" i="27"/>
  <c r="P91" i="27" a="1"/>
  <c r="P91" i="27"/>
  <c r="P92" i="27" a="1"/>
  <c r="P92" i="27"/>
  <c r="P93" i="27" a="1"/>
  <c r="P93" i="27"/>
  <c r="P94" i="27" a="1"/>
  <c r="P94" i="27"/>
  <c r="P95" i="27" a="1"/>
  <c r="P95" i="27"/>
  <c r="P96" i="27" a="1"/>
  <c r="P96" i="27"/>
  <c r="P97" i="27" a="1"/>
  <c r="P97" i="27"/>
  <c r="P98" i="27" a="1"/>
  <c r="P98" i="27"/>
  <c r="P99" i="27" a="1"/>
  <c r="P99" i="27"/>
  <c r="P100" i="27" a="1"/>
  <c r="P100" i="27"/>
  <c r="P101" i="27" a="1"/>
  <c r="P101" i="27"/>
  <c r="P102" i="27" a="1"/>
  <c r="P102" i="27"/>
  <c r="P103" i="27" a="1"/>
  <c r="P103" i="27"/>
  <c r="P104" i="27" a="1"/>
  <c r="P104" i="27"/>
  <c r="P105" i="27" a="1"/>
  <c r="P105" i="27"/>
  <c r="P106" i="27" a="1"/>
  <c r="P106" i="27"/>
  <c r="P107" i="27" a="1"/>
  <c r="P107" i="27"/>
  <c r="P3" i="27" a="1"/>
  <c r="P3" i="27"/>
  <c r="J4" i="27" a="1"/>
  <c r="J4" i="27"/>
  <c r="J5" i="27" a="1"/>
  <c r="J5" i="27"/>
  <c r="J6" i="27" a="1"/>
  <c r="J6" i="27"/>
  <c r="J7" i="27" a="1"/>
  <c r="J7" i="27"/>
  <c r="J8" i="27" a="1"/>
  <c r="J8" i="27"/>
  <c r="J9" i="27" a="1"/>
  <c r="J9" i="27"/>
  <c r="J10" i="27" a="1"/>
  <c r="J10" i="27"/>
  <c r="J11" i="27" a="1"/>
  <c r="J11" i="27"/>
  <c r="J12" i="27" a="1"/>
  <c r="J12" i="27"/>
  <c r="J13" i="27" a="1"/>
  <c r="J13" i="27"/>
  <c r="J14" i="27" a="1"/>
  <c r="J14" i="27"/>
  <c r="J15" i="27" a="1"/>
  <c r="J15" i="27"/>
  <c r="J16" i="27" a="1"/>
  <c r="J16" i="27"/>
  <c r="J17" i="27" a="1"/>
  <c r="J17" i="27"/>
  <c r="J18" i="27" a="1"/>
  <c r="J18" i="27"/>
  <c r="J19" i="27" a="1"/>
  <c r="J19" i="27"/>
  <c r="J20" i="27" a="1"/>
  <c r="J20" i="27"/>
  <c r="J21" i="27" a="1"/>
  <c r="J21" i="27"/>
  <c r="J22" i="27" a="1"/>
  <c r="J22" i="27"/>
  <c r="J23" i="27" a="1"/>
  <c r="J23" i="27"/>
  <c r="J24" i="27" a="1"/>
  <c r="J24" i="27"/>
  <c r="J25" i="27" a="1"/>
  <c r="J25" i="27"/>
  <c r="J26" i="27" a="1"/>
  <c r="J26" i="27"/>
  <c r="J27" i="27" a="1"/>
  <c r="J27" i="27"/>
  <c r="J28" i="27" a="1"/>
  <c r="J28" i="27"/>
  <c r="J29" i="27" a="1"/>
  <c r="J29" i="27"/>
  <c r="J30" i="27" a="1"/>
  <c r="J30" i="27"/>
  <c r="J31" i="27" a="1"/>
  <c r="J31" i="27"/>
  <c r="J32" i="27" a="1"/>
  <c r="J32" i="27"/>
  <c r="J33" i="27" a="1"/>
  <c r="J33" i="27"/>
  <c r="J34" i="27" a="1"/>
  <c r="J34" i="27"/>
  <c r="J35" i="27" a="1"/>
  <c r="J35" i="27"/>
  <c r="J36" i="27" a="1"/>
  <c r="J36" i="27"/>
  <c r="J37" i="27" a="1"/>
  <c r="J37" i="27"/>
  <c r="J38" i="27" a="1"/>
  <c r="J38" i="27"/>
  <c r="J39" i="27" a="1"/>
  <c r="J39" i="27"/>
  <c r="J40" i="27" a="1"/>
  <c r="J40" i="27"/>
  <c r="J41" i="27" a="1"/>
  <c r="J41" i="27"/>
  <c r="J42" i="27" a="1"/>
  <c r="J42" i="27"/>
  <c r="J43" i="27" a="1"/>
  <c r="J43" i="27"/>
  <c r="J44" i="27" a="1"/>
  <c r="J44" i="27"/>
  <c r="J45" i="27" a="1"/>
  <c r="J45" i="27"/>
  <c r="J46" i="27" a="1"/>
  <c r="J46" i="27"/>
  <c r="J47" i="27" a="1"/>
  <c r="J47" i="27"/>
  <c r="J48" i="27" a="1"/>
  <c r="J48" i="27"/>
  <c r="J49" i="27" a="1"/>
  <c r="J49" i="27"/>
  <c r="J50" i="27" a="1"/>
  <c r="J50" i="27"/>
  <c r="J51" i="27" a="1"/>
  <c r="J51" i="27"/>
  <c r="J52" i="27" a="1"/>
  <c r="J52" i="27"/>
  <c r="J53" i="27" a="1"/>
  <c r="J53" i="27"/>
  <c r="J54" i="27" a="1"/>
  <c r="J54" i="27"/>
  <c r="J55" i="27" a="1"/>
  <c r="J55" i="27"/>
  <c r="J56" i="27" a="1"/>
  <c r="J56" i="27"/>
  <c r="J57" i="27" a="1"/>
  <c r="J57" i="27"/>
  <c r="J58" i="27" a="1"/>
  <c r="J58" i="27"/>
  <c r="J59" i="27" a="1"/>
  <c r="J59" i="27"/>
  <c r="J60" i="27" a="1"/>
  <c r="J60" i="27"/>
  <c r="J61" i="27" a="1"/>
  <c r="J61" i="27"/>
  <c r="J62" i="27" a="1"/>
  <c r="J62" i="27"/>
  <c r="J63" i="27" a="1"/>
  <c r="J63" i="27"/>
  <c r="J64" i="27" a="1"/>
  <c r="J64" i="27"/>
  <c r="J65" i="27" a="1"/>
  <c r="J65" i="27"/>
  <c r="J66" i="27" a="1"/>
  <c r="J66" i="27"/>
  <c r="J67" i="27" a="1"/>
  <c r="J67" i="27"/>
  <c r="J68" i="27" a="1"/>
  <c r="J68" i="27"/>
  <c r="J69" i="27" a="1"/>
  <c r="J69" i="27"/>
  <c r="J70" i="27" a="1"/>
  <c r="J70" i="27"/>
  <c r="J71" i="27" a="1"/>
  <c r="J71" i="27"/>
  <c r="J72" i="27" a="1"/>
  <c r="J72" i="27"/>
  <c r="J73" i="27" a="1"/>
  <c r="J73" i="27"/>
  <c r="J74" i="27" a="1"/>
  <c r="J74" i="27"/>
  <c r="J75" i="27" a="1"/>
  <c r="J75" i="27"/>
  <c r="J76" i="27" a="1"/>
  <c r="J76" i="27"/>
  <c r="J77" i="27" a="1"/>
  <c r="J77" i="27"/>
  <c r="J78" i="27" a="1"/>
  <c r="J78" i="27"/>
  <c r="J79" i="27" a="1"/>
  <c r="J79" i="27"/>
  <c r="J80" i="27" a="1"/>
  <c r="J80" i="27"/>
  <c r="J81" i="27" a="1"/>
  <c r="J81" i="27"/>
  <c r="J82" i="27" a="1"/>
  <c r="J82" i="27"/>
  <c r="J83" i="27" a="1"/>
  <c r="J83" i="27"/>
  <c r="J84" i="27" a="1"/>
  <c r="J84" i="27"/>
  <c r="J85" i="27" a="1"/>
  <c r="J85" i="27"/>
  <c r="J86" i="27" a="1"/>
  <c r="J86" i="27"/>
  <c r="J87" i="27" a="1"/>
  <c r="J87" i="27"/>
  <c r="J88" i="27" a="1"/>
  <c r="J88" i="27"/>
  <c r="J89" i="27" a="1"/>
  <c r="J89" i="27"/>
  <c r="J90" i="27" a="1"/>
  <c r="J90" i="27"/>
  <c r="J91" i="27" a="1"/>
  <c r="J91" i="27"/>
  <c r="J92" i="27" a="1"/>
  <c r="J92" i="27"/>
  <c r="J93" i="27" a="1"/>
  <c r="J93" i="27"/>
  <c r="J94" i="27" a="1"/>
  <c r="J94" i="27"/>
  <c r="J95" i="27" a="1"/>
  <c r="J95" i="27"/>
  <c r="J96" i="27" a="1"/>
  <c r="J96" i="27"/>
  <c r="J97" i="27" a="1"/>
  <c r="J97" i="27"/>
  <c r="J98" i="27" a="1"/>
  <c r="J98" i="27"/>
  <c r="J99" i="27" a="1"/>
  <c r="J99" i="27"/>
  <c r="J100" i="27" a="1"/>
  <c r="J100" i="27"/>
  <c r="J101" i="27" a="1"/>
  <c r="J101" i="27"/>
  <c r="J102" i="27" a="1"/>
  <c r="J102" i="27"/>
  <c r="J103" i="27" a="1"/>
  <c r="J103" i="27"/>
  <c r="J104" i="27" a="1"/>
  <c r="J104" i="27"/>
  <c r="J105" i="27" a="1"/>
  <c r="J105" i="27"/>
  <c r="J106" i="27" a="1"/>
  <c r="J106" i="27"/>
  <c r="J107" i="27" a="1"/>
  <c r="J107" i="27"/>
  <c r="J3" i="27" a="1"/>
  <c r="J3" i="27"/>
  <c r="D3" i="27" a="1"/>
  <c r="D3" i="27"/>
  <c r="D4" i="27" a="1"/>
  <c r="D4" i="27"/>
  <c r="D5" i="27" a="1"/>
  <c r="D5" i="27"/>
  <c r="D6" i="27" a="1"/>
  <c r="D6" i="27"/>
  <c r="D7" i="27" a="1"/>
  <c r="D7" i="27"/>
  <c r="D8" i="27" a="1"/>
  <c r="D8" i="27"/>
  <c r="D9" i="27" a="1"/>
  <c r="D9" i="27"/>
  <c r="D10" i="27" a="1"/>
  <c r="D10" i="27"/>
  <c r="D11" i="27" a="1"/>
  <c r="D11" i="27"/>
  <c r="D12" i="27" a="1"/>
  <c r="D12" i="27"/>
  <c r="D13" i="27" a="1"/>
  <c r="D13" i="27"/>
  <c r="D14" i="27" a="1"/>
  <c r="D14" i="27"/>
  <c r="D15" i="27" a="1"/>
  <c r="D15" i="27"/>
  <c r="D16" i="27" a="1"/>
  <c r="D16" i="27"/>
  <c r="D17" i="27" a="1"/>
  <c r="D17" i="27"/>
  <c r="D18" i="27" a="1"/>
  <c r="D18" i="27"/>
  <c r="D19" i="27" a="1"/>
  <c r="D19" i="27"/>
  <c r="D20" i="27" a="1"/>
  <c r="D20" i="27"/>
  <c r="D21" i="27" a="1"/>
  <c r="D21" i="27"/>
  <c r="D22" i="27" a="1"/>
  <c r="D22" i="27"/>
  <c r="D23" i="27" a="1"/>
  <c r="D23" i="27"/>
  <c r="D24" i="27" a="1"/>
  <c r="D24" i="27"/>
  <c r="D25" i="27" a="1"/>
  <c r="D25" i="27"/>
  <c r="D26" i="27" a="1"/>
  <c r="D26" i="27"/>
  <c r="D27" i="27" a="1"/>
  <c r="D27" i="27"/>
  <c r="D28" i="27" a="1"/>
  <c r="D28" i="27"/>
  <c r="D29" i="27" a="1"/>
  <c r="D29" i="27"/>
  <c r="D30" i="27" a="1"/>
  <c r="D30" i="27"/>
  <c r="D31" i="27" a="1"/>
  <c r="D31" i="27"/>
  <c r="D32" i="27" a="1"/>
  <c r="D32" i="27"/>
  <c r="D33" i="27" a="1"/>
  <c r="D33" i="27"/>
  <c r="D34" i="27" a="1"/>
  <c r="D34" i="27"/>
  <c r="D35" i="27" a="1"/>
  <c r="D35" i="27"/>
  <c r="D36" i="27" a="1"/>
  <c r="D36" i="27"/>
  <c r="D37" i="27" a="1"/>
  <c r="D37" i="27"/>
  <c r="D38" i="27" a="1"/>
  <c r="D38" i="27"/>
  <c r="D39" i="27" a="1"/>
  <c r="D39" i="27"/>
  <c r="D40" i="27" a="1"/>
  <c r="D40" i="27"/>
  <c r="D41" i="27" a="1"/>
  <c r="D41" i="27"/>
  <c r="D42" i="27" a="1"/>
  <c r="D42" i="27"/>
  <c r="D43" i="27" a="1"/>
  <c r="D43" i="27"/>
  <c r="D44" i="27" a="1"/>
  <c r="D44" i="27"/>
  <c r="D45" i="27" a="1"/>
  <c r="D45" i="27"/>
  <c r="D46" i="27" a="1"/>
  <c r="D46" i="27"/>
  <c r="D47" i="27" a="1"/>
  <c r="D47" i="27"/>
  <c r="D48" i="27" a="1"/>
  <c r="D48" i="27"/>
  <c r="D49" i="27" a="1"/>
  <c r="D49" i="27"/>
  <c r="D50" i="27" a="1"/>
  <c r="D50" i="27"/>
  <c r="D51" i="27" a="1"/>
  <c r="D51" i="27"/>
  <c r="D52" i="27" a="1"/>
  <c r="D52" i="27"/>
  <c r="D53" i="27" a="1"/>
  <c r="D53" i="27"/>
  <c r="D54" i="27" a="1"/>
  <c r="D54" i="27"/>
  <c r="D55" i="27" a="1"/>
  <c r="D55" i="27"/>
  <c r="D56" i="27" a="1"/>
  <c r="D56" i="27"/>
  <c r="D57" i="27" a="1"/>
  <c r="D57" i="27"/>
  <c r="D58" i="27" a="1"/>
  <c r="D58" i="27"/>
  <c r="D59" i="27" a="1"/>
  <c r="D59" i="27"/>
  <c r="D60" i="27" a="1"/>
  <c r="D60" i="27"/>
  <c r="D61" i="27" a="1"/>
  <c r="D61" i="27"/>
  <c r="D62" i="27" a="1"/>
  <c r="D62" i="27"/>
  <c r="D63" i="27" a="1"/>
  <c r="D63" i="27"/>
  <c r="D64" i="27" a="1"/>
  <c r="D64" i="27"/>
  <c r="D65" i="27" a="1"/>
  <c r="D65" i="27"/>
  <c r="D66" i="27" a="1"/>
  <c r="D66" i="27"/>
  <c r="D67" i="27" a="1"/>
  <c r="D67" i="27"/>
  <c r="D68" i="27" a="1"/>
  <c r="D68" i="27"/>
  <c r="D69" i="27" a="1"/>
  <c r="D69" i="27"/>
  <c r="D70" i="27" a="1"/>
  <c r="D70" i="27"/>
  <c r="D71" i="27" a="1"/>
  <c r="D71" i="27"/>
  <c r="D72" i="27" a="1"/>
  <c r="D72" i="27"/>
  <c r="D73" i="27" a="1"/>
  <c r="D73" i="27"/>
  <c r="D74" i="27" a="1"/>
  <c r="D74" i="27"/>
  <c r="D75" i="27" a="1"/>
  <c r="D75" i="27"/>
  <c r="D76" i="27" a="1"/>
  <c r="D76" i="27"/>
  <c r="D77" i="27" a="1"/>
  <c r="D77" i="27"/>
  <c r="D78" i="27" a="1"/>
  <c r="D78" i="27"/>
  <c r="D79" i="27" a="1"/>
  <c r="D79" i="27"/>
  <c r="D80" i="27" a="1"/>
  <c r="D80" i="27"/>
  <c r="D81" i="27" a="1"/>
  <c r="D81" i="27"/>
  <c r="D82" i="27" a="1"/>
  <c r="D82" i="27"/>
  <c r="D83" i="27" a="1"/>
  <c r="D83" i="27"/>
  <c r="D84" i="27" a="1"/>
  <c r="D84" i="27"/>
  <c r="D85" i="27" a="1"/>
  <c r="D85" i="27"/>
  <c r="D86" i="27" a="1"/>
  <c r="D86" i="27"/>
  <c r="D87" i="27" a="1"/>
  <c r="D87" i="27"/>
  <c r="D88" i="27" a="1"/>
  <c r="D88" i="27"/>
  <c r="D89" i="27" a="1"/>
  <c r="D89" i="27"/>
  <c r="D90" i="27" a="1"/>
  <c r="D90" i="27"/>
  <c r="D91" i="27" a="1"/>
  <c r="D91" i="27"/>
  <c r="D92" i="27" a="1"/>
  <c r="D92" i="27"/>
  <c r="D93" i="27" a="1"/>
  <c r="D93" i="27"/>
  <c r="D94" i="27" a="1"/>
  <c r="D94" i="27"/>
  <c r="D95" i="27" a="1"/>
  <c r="D95" i="27"/>
  <c r="D96" i="27" a="1"/>
  <c r="D96" i="27"/>
  <c r="D97" i="27" a="1"/>
  <c r="D97" i="27"/>
  <c r="D98" i="27" a="1"/>
  <c r="D98" i="27"/>
  <c r="D99" i="27" a="1"/>
  <c r="D99" i="27"/>
  <c r="D100" i="27" a="1"/>
  <c r="D100" i="27"/>
  <c r="D101" i="27" a="1"/>
  <c r="D101" i="27"/>
  <c r="D102" i="27" a="1"/>
  <c r="D102" i="27"/>
  <c r="D103" i="27" a="1"/>
  <c r="D103" i="27"/>
  <c r="D104" i="27" a="1"/>
  <c r="D104" i="27"/>
  <c r="D105" i="27" a="1"/>
  <c r="D105" i="27"/>
  <c r="D106" i="27" a="1"/>
  <c r="D106" i="27"/>
  <c r="D107" i="27" a="1"/>
  <c r="D107" i="27"/>
  <c r="O3" i="27" a="1"/>
  <c r="O4" i="27"/>
  <c r="I3" i="27" a="1"/>
  <c r="I6" i="27"/>
  <c r="C3" i="27" a="1"/>
  <c r="C7" i="27"/>
  <c r="N3" i="27" a="1"/>
  <c r="N6" i="27"/>
  <c r="H3" i="27" a="1"/>
  <c r="H6" i="27"/>
  <c r="B3" i="27" a="1"/>
  <c r="B6"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9" i="27"/>
  <c r="M30" i="27"/>
  <c r="M31" i="27"/>
  <c r="M32" i="27"/>
  <c r="M33" i="27"/>
  <c r="M34" i="27"/>
  <c r="M35" i="27"/>
  <c r="M36" i="27"/>
  <c r="M37" i="27"/>
  <c r="M38" i="27"/>
  <c r="M39" i="27"/>
  <c r="M40" i="27"/>
  <c r="M41" i="27"/>
  <c r="M42" i="27"/>
  <c r="M43" i="27"/>
  <c r="M44" i="27"/>
  <c r="M45" i="27"/>
  <c r="M46" i="27"/>
  <c r="M47" i="27"/>
  <c r="M48" i="27"/>
  <c r="M49" i="27"/>
  <c r="M50" i="27"/>
  <c r="M51" i="27"/>
  <c r="M52" i="27"/>
  <c r="M53" i="27"/>
  <c r="M54" i="27"/>
  <c r="M55" i="27"/>
  <c r="M56" i="27"/>
  <c r="M57" i="27"/>
  <c r="M58" i="27"/>
  <c r="M59" i="27"/>
  <c r="M60" i="27"/>
  <c r="M61" i="27"/>
  <c r="M62" i="27"/>
  <c r="M63" i="27"/>
  <c r="M64" i="27"/>
  <c r="M65" i="27"/>
  <c r="M66" i="27"/>
  <c r="M67" i="27"/>
  <c r="M68" i="27"/>
  <c r="M69" i="27"/>
  <c r="M70" i="27"/>
  <c r="M71" i="27"/>
  <c r="M72" i="27"/>
  <c r="M73" i="27"/>
  <c r="M74" i="27"/>
  <c r="M75" i="27"/>
  <c r="M76" i="27"/>
  <c r="M77" i="27"/>
  <c r="M78" i="27"/>
  <c r="M79" i="27"/>
  <c r="M80" i="27"/>
  <c r="M81" i="27"/>
  <c r="M82" i="27"/>
  <c r="M83" i="27"/>
  <c r="M84" i="27"/>
  <c r="M85" i="27"/>
  <c r="M86" i="27"/>
  <c r="M87" i="27"/>
  <c r="M88" i="27"/>
  <c r="M89" i="27"/>
  <c r="M90" i="27"/>
  <c r="M91" i="27"/>
  <c r="M92" i="27"/>
  <c r="M93" i="27"/>
  <c r="M94" i="27"/>
  <c r="M95" i="27"/>
  <c r="M96" i="27"/>
  <c r="M97" i="27"/>
  <c r="M98" i="27"/>
  <c r="M99" i="27"/>
  <c r="M100" i="27"/>
  <c r="M101" i="27"/>
  <c r="M102" i="27"/>
  <c r="M103" i="27"/>
  <c r="M104" i="27"/>
  <c r="M105" i="27"/>
  <c r="M106" i="27"/>
  <c r="M107" i="27"/>
  <c r="M3" i="27"/>
  <c r="G4" i="27"/>
  <c r="G5" i="27"/>
  <c r="G6" i="27"/>
  <c r="G7" i="27"/>
  <c r="G8" i="27"/>
  <c r="G9" i="27"/>
  <c r="G10" i="27"/>
  <c r="G11" i="27"/>
  <c r="G12" i="27"/>
  <c r="G13" i="27"/>
  <c r="G14" i="27"/>
  <c r="G15" i="27"/>
  <c r="G16" i="27"/>
  <c r="G17" i="27"/>
  <c r="G18" i="27"/>
  <c r="G19" i="27"/>
  <c r="G20" i="27"/>
  <c r="G21" i="27"/>
  <c r="G22" i="27"/>
  <c r="G23" i="27"/>
  <c r="G24" i="27"/>
  <c r="G25" i="27"/>
  <c r="G26" i="27"/>
  <c r="G27" i="27"/>
  <c r="G28" i="27"/>
  <c r="G29" i="27"/>
  <c r="G30" i="27"/>
  <c r="G31" i="27"/>
  <c r="G32" i="27"/>
  <c r="G33" i="27"/>
  <c r="G34" i="27"/>
  <c r="G35" i="27"/>
  <c r="G36" i="27"/>
  <c r="G37" i="27"/>
  <c r="G38" i="27"/>
  <c r="G39" i="27"/>
  <c r="G40" i="27"/>
  <c r="G41" i="27"/>
  <c r="G42" i="27"/>
  <c r="G43" i="27"/>
  <c r="G44" i="27"/>
  <c r="G45" i="27"/>
  <c r="G46" i="27"/>
  <c r="G47" i="27"/>
  <c r="G48" i="27"/>
  <c r="G49" i="27"/>
  <c r="G50" i="27"/>
  <c r="G51" i="27"/>
  <c r="G52" i="27"/>
  <c r="G53" i="27"/>
  <c r="G54" i="27"/>
  <c r="G55" i="27"/>
  <c r="G56" i="27"/>
  <c r="G57" i="27"/>
  <c r="G58" i="27"/>
  <c r="G59" i="27"/>
  <c r="G60" i="27"/>
  <c r="G61" i="27"/>
  <c r="G62" i="27"/>
  <c r="G63" i="27"/>
  <c r="G64" i="27"/>
  <c r="G65" i="27"/>
  <c r="G66" i="27"/>
  <c r="G67" i="27"/>
  <c r="G68" i="27"/>
  <c r="G69" i="27"/>
  <c r="G70" i="27"/>
  <c r="G71" i="27"/>
  <c r="G72" i="27"/>
  <c r="G73" i="27"/>
  <c r="G74" i="27"/>
  <c r="G75" i="27"/>
  <c r="G76" i="27"/>
  <c r="G77" i="27"/>
  <c r="G78" i="27"/>
  <c r="G79" i="27"/>
  <c r="G80" i="27"/>
  <c r="G81" i="27"/>
  <c r="G82" i="27"/>
  <c r="G83" i="27"/>
  <c r="G84" i="27"/>
  <c r="G85" i="27"/>
  <c r="G86" i="27"/>
  <c r="G87" i="27"/>
  <c r="G88" i="27"/>
  <c r="G89" i="27"/>
  <c r="G90" i="27"/>
  <c r="G91" i="27"/>
  <c r="G92" i="27"/>
  <c r="G93" i="27"/>
  <c r="G94" i="27"/>
  <c r="G95" i="27"/>
  <c r="G96" i="27"/>
  <c r="G97" i="27"/>
  <c r="G98" i="27"/>
  <c r="G99" i="27"/>
  <c r="G100" i="27"/>
  <c r="G101" i="27"/>
  <c r="G102" i="27"/>
  <c r="G103" i="27"/>
  <c r="G104" i="27"/>
  <c r="G105" i="27"/>
  <c r="G106" i="27"/>
  <c r="G107" i="27"/>
  <c r="G3" i="27"/>
  <c r="V23" i="27" a="1"/>
  <c r="V23" i="27"/>
  <c r="V24" i="27" a="1"/>
  <c r="V24" i="27"/>
  <c r="V16" i="27" a="1"/>
  <c r="V16" i="27"/>
  <c r="B143" i="10"/>
  <c r="V8" i="27" a="1"/>
  <c r="V8" i="27"/>
  <c r="B135" i="10"/>
  <c r="V2" i="27" a="1"/>
  <c r="V2" i="27"/>
  <c r="B129" i="10"/>
  <c r="V31" i="27" a="1"/>
  <c r="V31" i="27"/>
  <c r="V30" i="27" a="1"/>
  <c r="V30" i="27"/>
  <c r="V29" i="27" a="1"/>
  <c r="V29" i="27"/>
  <c r="V28" i="27" a="1"/>
  <c r="V28" i="27"/>
  <c r="V27" i="27" a="1"/>
  <c r="V27" i="27"/>
  <c r="C102" i="27"/>
  <c r="C94" i="27"/>
  <c r="H101" i="27"/>
  <c r="C86" i="27"/>
  <c r="N85" i="27"/>
  <c r="C78" i="27"/>
  <c r="N101" i="27"/>
  <c r="C70" i="27"/>
  <c r="N93" i="27"/>
  <c r="C62" i="27"/>
  <c r="C54" i="27"/>
  <c r="I101" i="27"/>
  <c r="I93" i="27"/>
  <c r="I85" i="27"/>
  <c r="I77" i="27"/>
  <c r="I69" i="27"/>
  <c r="I53" i="27"/>
  <c r="I61" i="27"/>
  <c r="O105" i="27"/>
  <c r="O97" i="27"/>
  <c r="O89" i="27"/>
  <c r="O81" i="27"/>
  <c r="O73" i="27"/>
  <c r="O65" i="27"/>
  <c r="O57" i="27"/>
  <c r="O49" i="27"/>
  <c r="O41" i="27"/>
  <c r="O33" i="27"/>
  <c r="O25" i="27"/>
  <c r="O17" i="27"/>
  <c r="O9" i="27"/>
  <c r="O91" i="27"/>
  <c r="O67" i="27"/>
  <c r="O43" i="27"/>
  <c r="O19" i="27"/>
  <c r="O90" i="27"/>
  <c r="O66" i="27"/>
  <c r="O34" i="27"/>
  <c r="O10" i="27"/>
  <c r="O104" i="27"/>
  <c r="O80" i="27"/>
  <c r="O56" i="27"/>
  <c r="O32" i="27"/>
  <c r="O8" i="27"/>
  <c r="O95" i="27"/>
  <c r="O71" i="27"/>
  <c r="O63" i="27"/>
  <c r="O39" i="27"/>
  <c r="O31" i="27"/>
  <c r="O7" i="27"/>
  <c r="O102" i="27"/>
  <c r="O94" i="27"/>
  <c r="O86" i="27"/>
  <c r="O78" i="27"/>
  <c r="O70" i="27"/>
  <c r="O62" i="27"/>
  <c r="O54" i="27"/>
  <c r="O46" i="27"/>
  <c r="O38" i="27"/>
  <c r="O30" i="27"/>
  <c r="O22" i="27"/>
  <c r="O14" i="27"/>
  <c r="O6" i="27"/>
  <c r="O99" i="27"/>
  <c r="O75" i="27"/>
  <c r="O59" i="27"/>
  <c r="O35" i="27"/>
  <c r="O3" i="27"/>
  <c r="O106" i="27"/>
  <c r="O82" i="27"/>
  <c r="O58" i="27"/>
  <c r="O42" i="27"/>
  <c r="O26" i="27"/>
  <c r="O96" i="27"/>
  <c r="O72" i="27"/>
  <c r="O40" i="27"/>
  <c r="O16" i="27"/>
  <c r="O87" i="27"/>
  <c r="O47" i="27"/>
  <c r="O15" i="27"/>
  <c r="O101" i="27"/>
  <c r="O93" i="27"/>
  <c r="O85" i="27"/>
  <c r="O77" i="27"/>
  <c r="O69" i="27"/>
  <c r="O61" i="27"/>
  <c r="O53" i="27"/>
  <c r="O45" i="27"/>
  <c r="O37" i="27"/>
  <c r="O29" i="27"/>
  <c r="O21" i="27"/>
  <c r="O13" i="27"/>
  <c r="O5" i="27"/>
  <c r="O107" i="27"/>
  <c r="O83" i="27"/>
  <c r="O51" i="27"/>
  <c r="O27" i="27"/>
  <c r="O11" i="27"/>
  <c r="O98" i="27"/>
  <c r="O74" i="27"/>
  <c r="O50" i="27"/>
  <c r="O18" i="27"/>
  <c r="O88" i="27"/>
  <c r="O64" i="27"/>
  <c r="O48" i="27"/>
  <c r="O24" i="27"/>
  <c r="O103" i="27"/>
  <c r="O79" i="27"/>
  <c r="O55" i="27"/>
  <c r="O23" i="27"/>
  <c r="O100" i="27"/>
  <c r="O92" i="27"/>
  <c r="O84" i="27"/>
  <c r="O76" i="27"/>
  <c r="O68" i="27"/>
  <c r="O60" i="27"/>
  <c r="O52" i="27"/>
  <c r="O44" i="27"/>
  <c r="O36" i="27"/>
  <c r="O28" i="27"/>
  <c r="O20" i="27"/>
  <c r="O12" i="27"/>
  <c r="I105" i="27"/>
  <c r="I97" i="27"/>
  <c r="I89" i="27"/>
  <c r="I81" i="27"/>
  <c r="I73" i="27"/>
  <c r="I65" i="27"/>
  <c r="I57" i="27"/>
  <c r="I49" i="27"/>
  <c r="I41" i="27"/>
  <c r="I33" i="27"/>
  <c r="I25" i="27"/>
  <c r="I17" i="27"/>
  <c r="I9" i="27"/>
  <c r="I45" i="27"/>
  <c r="I37" i="27"/>
  <c r="I29" i="27"/>
  <c r="I21" i="27"/>
  <c r="I13" i="27"/>
  <c r="I5" i="27"/>
  <c r="I100" i="27"/>
  <c r="I92" i="27"/>
  <c r="I84" i="27"/>
  <c r="I76" i="27"/>
  <c r="I68" i="27"/>
  <c r="I60" i="27"/>
  <c r="I52" i="27"/>
  <c r="I44" i="27"/>
  <c r="I36" i="27"/>
  <c r="I28" i="27"/>
  <c r="I20" i="27"/>
  <c r="I12" i="27"/>
  <c r="I4" i="27"/>
  <c r="I107" i="27"/>
  <c r="I99" i="27"/>
  <c r="I91" i="27"/>
  <c r="I83" i="27"/>
  <c r="I75" i="27"/>
  <c r="I67" i="27"/>
  <c r="I59" i="27"/>
  <c r="I51" i="27"/>
  <c r="I43" i="27"/>
  <c r="I35" i="27"/>
  <c r="I27" i="27"/>
  <c r="I19" i="27"/>
  <c r="I11" i="27"/>
  <c r="I3" i="27"/>
  <c r="I106" i="27"/>
  <c r="I98" i="27"/>
  <c r="I90" i="27"/>
  <c r="I82" i="27"/>
  <c r="I74" i="27"/>
  <c r="I66" i="27"/>
  <c r="I58" i="27"/>
  <c r="I50" i="27"/>
  <c r="I42" i="27"/>
  <c r="I34" i="27"/>
  <c r="I26" i="27"/>
  <c r="I18" i="27"/>
  <c r="I10" i="27"/>
  <c r="I104" i="27"/>
  <c r="I96" i="27"/>
  <c r="I88" i="27"/>
  <c r="I80" i="27"/>
  <c r="I72" i="27"/>
  <c r="I64" i="27"/>
  <c r="I56" i="27"/>
  <c r="I48" i="27"/>
  <c r="I40" i="27"/>
  <c r="I32" i="27"/>
  <c r="I24" i="27"/>
  <c r="I16" i="27"/>
  <c r="I8" i="27"/>
  <c r="I103" i="27"/>
  <c r="I95" i="27"/>
  <c r="I87" i="27"/>
  <c r="I79" i="27"/>
  <c r="I71" i="27"/>
  <c r="I63" i="27"/>
  <c r="I55" i="27"/>
  <c r="I47" i="27"/>
  <c r="I39" i="27"/>
  <c r="I31" i="27"/>
  <c r="I23" i="27"/>
  <c r="I15" i="27"/>
  <c r="I7" i="27"/>
  <c r="I102" i="27"/>
  <c r="I94" i="27"/>
  <c r="I86" i="27"/>
  <c r="I78" i="27"/>
  <c r="I70" i="27"/>
  <c r="I62" i="27"/>
  <c r="I54" i="27"/>
  <c r="I46" i="27"/>
  <c r="I38" i="27"/>
  <c r="I30" i="27"/>
  <c r="I22" i="27"/>
  <c r="I14" i="27"/>
  <c r="C105" i="27"/>
  <c r="C97" i="27"/>
  <c r="C89" i="27"/>
  <c r="C81" i="27"/>
  <c r="C73" i="27"/>
  <c r="C65" i="27"/>
  <c r="C57" i="27"/>
  <c r="C49" i="27"/>
  <c r="C41" i="27"/>
  <c r="C33" i="27"/>
  <c r="C25" i="27"/>
  <c r="C17" i="27"/>
  <c r="C9" i="27"/>
  <c r="C46" i="27"/>
  <c r="C38" i="27"/>
  <c r="C30" i="27"/>
  <c r="C22" i="27"/>
  <c r="C14" i="27"/>
  <c r="C6" i="27"/>
  <c r="C101" i="27"/>
  <c r="C93" i="27"/>
  <c r="C85" i="27"/>
  <c r="C77" i="27"/>
  <c r="C69" i="27"/>
  <c r="C61" i="27"/>
  <c r="C53" i="27"/>
  <c r="C45" i="27"/>
  <c r="C37" i="27"/>
  <c r="C29" i="27"/>
  <c r="C21" i="27"/>
  <c r="C13" i="27"/>
  <c r="C5" i="27"/>
  <c r="C100" i="27"/>
  <c r="C92" i="27"/>
  <c r="C84" i="27"/>
  <c r="C76" i="27"/>
  <c r="C68" i="27"/>
  <c r="C60" i="27"/>
  <c r="C52" i="27"/>
  <c r="C44" i="27"/>
  <c r="C36" i="27"/>
  <c r="C28" i="27"/>
  <c r="C20" i="27"/>
  <c r="C12" i="27"/>
  <c r="C4" i="27"/>
  <c r="C107" i="27"/>
  <c r="C99" i="27"/>
  <c r="C91" i="27"/>
  <c r="C83" i="27"/>
  <c r="C75" i="27"/>
  <c r="C67" i="27"/>
  <c r="C59" i="27"/>
  <c r="C51" i="27"/>
  <c r="C43" i="27"/>
  <c r="C35" i="27"/>
  <c r="C27" i="27"/>
  <c r="C19" i="27"/>
  <c r="C11" i="27"/>
  <c r="C3" i="27"/>
  <c r="C106" i="27"/>
  <c r="C98" i="27"/>
  <c r="C90" i="27"/>
  <c r="C82" i="27"/>
  <c r="C74" i="27"/>
  <c r="C66" i="27"/>
  <c r="C58" i="27"/>
  <c r="C50" i="27"/>
  <c r="C42" i="27"/>
  <c r="C34" i="27"/>
  <c r="C26" i="27"/>
  <c r="C18" i="27"/>
  <c r="C10" i="27"/>
  <c r="C104" i="27"/>
  <c r="C96" i="27"/>
  <c r="C88" i="27"/>
  <c r="C80" i="27"/>
  <c r="C72" i="27"/>
  <c r="C64" i="27"/>
  <c r="C56" i="27"/>
  <c r="C48" i="27"/>
  <c r="C40" i="27"/>
  <c r="C32" i="27"/>
  <c r="C24" i="27"/>
  <c r="C16" i="27"/>
  <c r="C8" i="27"/>
  <c r="C103" i="27"/>
  <c r="C95" i="27"/>
  <c r="C87" i="27"/>
  <c r="C79" i="27"/>
  <c r="C71" i="27"/>
  <c r="C63" i="27"/>
  <c r="C55" i="27"/>
  <c r="C47" i="27"/>
  <c r="C39" i="27"/>
  <c r="C31" i="27"/>
  <c r="C23" i="27"/>
  <c r="C15" i="27"/>
  <c r="B93" i="27"/>
  <c r="B85" i="27"/>
  <c r="H85" i="27"/>
  <c r="B77" i="27"/>
  <c r="H77" i="27"/>
  <c r="N77" i="27"/>
  <c r="H93" i="27"/>
  <c r="B69" i="27"/>
  <c r="H69" i="27"/>
  <c r="N69" i="27"/>
  <c r="B101" i="27"/>
  <c r="B61" i="27"/>
  <c r="H61" i="27"/>
  <c r="N61" i="27"/>
  <c r="B53" i="27"/>
  <c r="H53" i="27"/>
  <c r="N53" i="27"/>
  <c r="N105" i="27"/>
  <c r="N97" i="27"/>
  <c r="N89" i="27"/>
  <c r="N81" i="27"/>
  <c r="N73" i="27"/>
  <c r="N65" i="27"/>
  <c r="N57" i="27"/>
  <c r="N49" i="27"/>
  <c r="N41" i="27"/>
  <c r="N33" i="27"/>
  <c r="N25" i="27"/>
  <c r="N17" i="27"/>
  <c r="N9" i="27"/>
  <c r="N45" i="27"/>
  <c r="N37" i="27"/>
  <c r="N29" i="27"/>
  <c r="N21" i="27"/>
  <c r="N13" i="27"/>
  <c r="N5" i="27"/>
  <c r="N100" i="27"/>
  <c r="N92" i="27"/>
  <c r="N84" i="27"/>
  <c r="N76" i="27"/>
  <c r="N68" i="27"/>
  <c r="N60" i="27"/>
  <c r="N52" i="27"/>
  <c r="N44" i="27"/>
  <c r="N36" i="27"/>
  <c r="N28" i="27"/>
  <c r="N20" i="27"/>
  <c r="N12" i="27"/>
  <c r="N4" i="27"/>
  <c r="N107" i="27"/>
  <c r="N99" i="27"/>
  <c r="N91" i="27"/>
  <c r="N83" i="27"/>
  <c r="N75" i="27"/>
  <c r="N67" i="27"/>
  <c r="N59" i="27"/>
  <c r="N51" i="27"/>
  <c r="N43" i="27"/>
  <c r="N35" i="27"/>
  <c r="N27" i="27"/>
  <c r="N19" i="27"/>
  <c r="N11" i="27"/>
  <c r="N3" i="27"/>
  <c r="N106" i="27"/>
  <c r="N98" i="27"/>
  <c r="N90" i="27"/>
  <c r="N82" i="27"/>
  <c r="N74" i="27"/>
  <c r="N66" i="27"/>
  <c r="N58" i="27"/>
  <c r="N50" i="27"/>
  <c r="N42" i="27"/>
  <c r="N34" i="27"/>
  <c r="N26" i="27"/>
  <c r="N18" i="27"/>
  <c r="N10" i="27"/>
  <c r="N104" i="27"/>
  <c r="N96" i="27"/>
  <c r="N88" i="27"/>
  <c r="N80" i="27"/>
  <c r="N72" i="27"/>
  <c r="N64" i="27"/>
  <c r="N56" i="27"/>
  <c r="N48" i="27"/>
  <c r="N40" i="27"/>
  <c r="N32" i="27"/>
  <c r="N24" i="27"/>
  <c r="N16" i="27"/>
  <c r="N8" i="27"/>
  <c r="N103" i="27"/>
  <c r="N95" i="27"/>
  <c r="N87" i="27"/>
  <c r="N79" i="27"/>
  <c r="N71" i="27"/>
  <c r="N63" i="27"/>
  <c r="N55" i="27"/>
  <c r="N47" i="27"/>
  <c r="N39" i="27"/>
  <c r="N31" i="27"/>
  <c r="N23" i="27"/>
  <c r="N15" i="27"/>
  <c r="N7" i="27"/>
  <c r="N102" i="27"/>
  <c r="N94" i="27"/>
  <c r="N86" i="27"/>
  <c r="N78" i="27"/>
  <c r="N70" i="27"/>
  <c r="N62" i="27"/>
  <c r="N54" i="27"/>
  <c r="N46" i="27"/>
  <c r="N38" i="27"/>
  <c r="N30" i="27"/>
  <c r="N22" i="27"/>
  <c r="N14" i="27"/>
  <c r="H105" i="27"/>
  <c r="H97" i="27"/>
  <c r="H89" i="27"/>
  <c r="H81" i="27"/>
  <c r="H73" i="27"/>
  <c r="H65" i="27"/>
  <c r="H57" i="27"/>
  <c r="H49" i="27"/>
  <c r="H41" i="27"/>
  <c r="H33" i="27"/>
  <c r="H25" i="27"/>
  <c r="H17" i="27"/>
  <c r="H9" i="27"/>
  <c r="H45" i="27"/>
  <c r="H37" i="27"/>
  <c r="H29" i="27"/>
  <c r="H21" i="27"/>
  <c r="H13" i="27"/>
  <c r="H5" i="27"/>
  <c r="H100" i="27"/>
  <c r="H92" i="27"/>
  <c r="H84" i="27"/>
  <c r="H76" i="27"/>
  <c r="H68" i="27"/>
  <c r="H60" i="27"/>
  <c r="H52" i="27"/>
  <c r="H44" i="27"/>
  <c r="H36" i="27"/>
  <c r="H28" i="27"/>
  <c r="H20" i="27"/>
  <c r="H12" i="27"/>
  <c r="H4" i="27"/>
  <c r="H107" i="27"/>
  <c r="H99" i="27"/>
  <c r="H91" i="27"/>
  <c r="H83" i="27"/>
  <c r="H75" i="27"/>
  <c r="H67" i="27"/>
  <c r="H59" i="27"/>
  <c r="H51" i="27"/>
  <c r="H43" i="27"/>
  <c r="H35" i="27"/>
  <c r="H27" i="27"/>
  <c r="H19" i="27"/>
  <c r="H11" i="27"/>
  <c r="H3" i="27"/>
  <c r="H106" i="27"/>
  <c r="H98" i="27"/>
  <c r="H90" i="27"/>
  <c r="H82" i="27"/>
  <c r="H74" i="27"/>
  <c r="H66" i="27"/>
  <c r="H58" i="27"/>
  <c r="H50" i="27"/>
  <c r="H42" i="27"/>
  <c r="H34" i="27"/>
  <c r="H26" i="27"/>
  <c r="H18" i="27"/>
  <c r="H10" i="27"/>
  <c r="H104" i="27"/>
  <c r="H96" i="27"/>
  <c r="H88" i="27"/>
  <c r="H80" i="27"/>
  <c r="H72" i="27"/>
  <c r="H64" i="27"/>
  <c r="H56" i="27"/>
  <c r="H48" i="27"/>
  <c r="H40" i="27"/>
  <c r="H32" i="27"/>
  <c r="H24" i="27"/>
  <c r="H16" i="27"/>
  <c r="H8" i="27"/>
  <c r="H103" i="27"/>
  <c r="H95" i="27"/>
  <c r="H87" i="27"/>
  <c r="H79" i="27"/>
  <c r="H71" i="27"/>
  <c r="H63" i="27"/>
  <c r="H55" i="27"/>
  <c r="H47" i="27"/>
  <c r="H39" i="27"/>
  <c r="H31" i="27"/>
  <c r="H23" i="27"/>
  <c r="H15" i="27"/>
  <c r="H7" i="27"/>
  <c r="H102" i="27"/>
  <c r="H94" i="27"/>
  <c r="H86" i="27"/>
  <c r="H78" i="27"/>
  <c r="H70" i="27"/>
  <c r="H62" i="27"/>
  <c r="H54" i="27"/>
  <c r="H46" i="27"/>
  <c r="H38" i="27"/>
  <c r="H30" i="27"/>
  <c r="H22" i="27"/>
  <c r="H14" i="27"/>
  <c r="B105" i="27"/>
  <c r="B97" i="27"/>
  <c r="B89" i="27"/>
  <c r="B81" i="27"/>
  <c r="B73" i="27"/>
  <c r="B65" i="27"/>
  <c r="B57" i="27"/>
  <c r="B49" i="27"/>
  <c r="B41" i="27"/>
  <c r="B33" i="27"/>
  <c r="B25" i="27"/>
  <c r="B17" i="27"/>
  <c r="B9" i="27"/>
  <c r="B45" i="27"/>
  <c r="B37" i="27"/>
  <c r="B29" i="27"/>
  <c r="B21" i="27"/>
  <c r="B13" i="27"/>
  <c r="B5" i="27"/>
  <c r="B100" i="27"/>
  <c r="B92" i="27"/>
  <c r="B84" i="27"/>
  <c r="B76" i="27"/>
  <c r="B68" i="27"/>
  <c r="B60" i="27"/>
  <c r="B52" i="27"/>
  <c r="B44" i="27"/>
  <c r="B36" i="27"/>
  <c r="B28" i="27"/>
  <c r="B20" i="27"/>
  <c r="B12" i="27"/>
  <c r="B4" i="27"/>
  <c r="B107" i="27"/>
  <c r="B99" i="27"/>
  <c r="B91" i="27"/>
  <c r="B83" i="27"/>
  <c r="B75" i="27"/>
  <c r="B67" i="27"/>
  <c r="B59" i="27"/>
  <c r="B51" i="27"/>
  <c r="B43" i="27"/>
  <c r="B35" i="27"/>
  <c r="B27" i="27"/>
  <c r="B19" i="27"/>
  <c r="B11" i="27"/>
  <c r="B3" i="27"/>
  <c r="B106" i="27"/>
  <c r="B98" i="27"/>
  <c r="B90" i="27"/>
  <c r="B82" i="27"/>
  <c r="B74" i="27"/>
  <c r="B66" i="27"/>
  <c r="B58" i="27"/>
  <c r="B50" i="27"/>
  <c r="B42" i="27"/>
  <c r="B34" i="27"/>
  <c r="B26" i="27"/>
  <c r="B18" i="27"/>
  <c r="B10" i="27"/>
  <c r="B104" i="27"/>
  <c r="B96" i="27"/>
  <c r="B88" i="27"/>
  <c r="B80" i="27"/>
  <c r="B72" i="27"/>
  <c r="B64" i="27"/>
  <c r="B56" i="27"/>
  <c r="B48" i="27"/>
  <c r="B40" i="27"/>
  <c r="B32" i="27"/>
  <c r="B24" i="27"/>
  <c r="B16" i="27"/>
  <c r="B8" i="27"/>
  <c r="B103" i="27"/>
  <c r="B95" i="27"/>
  <c r="B87" i="27"/>
  <c r="B79" i="27"/>
  <c r="B71" i="27"/>
  <c r="B63" i="27"/>
  <c r="B55" i="27"/>
  <c r="B47" i="27"/>
  <c r="B39" i="27"/>
  <c r="B31" i="27"/>
  <c r="B23" i="27"/>
  <c r="B15" i="27"/>
  <c r="B7" i="27"/>
  <c r="B102" i="27"/>
  <c r="B94" i="27"/>
  <c r="B86" i="27"/>
  <c r="B78" i="27"/>
  <c r="B70" i="27"/>
  <c r="B62" i="27"/>
  <c r="B54" i="27"/>
  <c r="B46" i="27"/>
  <c r="B38" i="27"/>
  <c r="B30" i="27"/>
  <c r="B22" i="27"/>
  <c r="B14" i="27"/>
  <c r="EV2" i="25"/>
  <c r="X8" i="27"/>
  <c r="EW2" i="25"/>
  <c r="ET2" i="25"/>
  <c r="ES2" i="25"/>
  <c r="ER2" i="25"/>
  <c r="EQ2" i="25"/>
  <c r="EP2" i="25"/>
  <c r="EO2" i="25"/>
  <c r="EN2" i="25"/>
  <c r="EM2" i="25"/>
  <c r="EL2" i="25"/>
  <c r="EK2" i="25"/>
  <c r="EJ2" i="25"/>
  <c r="EI2" i="25"/>
  <c r="EH2" i="25"/>
  <c r="EG2" i="25"/>
  <c r="EF2" i="25"/>
  <c r="EE2" i="25"/>
  <c r="ED2" i="25"/>
  <c r="EC2" i="25"/>
  <c r="EB2" i="25"/>
  <c r="EA2" i="25"/>
  <c r="DZ2" i="25"/>
  <c r="DY2" i="25"/>
  <c r="DX2" i="25"/>
  <c r="DW2" i="25"/>
  <c r="DV2" i="25"/>
  <c r="DU2" i="25"/>
  <c r="DT2" i="25"/>
  <c r="DS2" i="25"/>
  <c r="DR2" i="25"/>
  <c r="DQ2" i="25"/>
  <c r="DP2" i="25"/>
  <c r="DO2" i="25"/>
  <c r="DN2" i="25"/>
  <c r="DM2" i="25"/>
  <c r="DL2" i="25"/>
  <c r="DK2" i="25"/>
  <c r="DJ2" i="25"/>
  <c r="DI2" i="25"/>
  <c r="DH2" i="25"/>
  <c r="DG2" i="25"/>
  <c r="DF2" i="25"/>
  <c r="DE2" i="25"/>
  <c r="DD2" i="25"/>
  <c r="DC2" i="25"/>
  <c r="DB2" i="25"/>
  <c r="DA2" i="25"/>
  <c r="CZ2" i="25"/>
  <c r="CY2" i="25"/>
  <c r="CX2" i="25"/>
  <c r="CW2" i="25"/>
  <c r="CV2" i="25"/>
  <c r="CU2" i="25"/>
  <c r="CT2" i="25"/>
  <c r="CS2" i="25"/>
  <c r="CR2" i="25"/>
  <c r="CQ2" i="25"/>
  <c r="CP2" i="25"/>
  <c r="CO2" i="25"/>
  <c r="CN2" i="25"/>
  <c r="CM2" i="25"/>
  <c r="CL2" i="25"/>
  <c r="CK2" i="25"/>
  <c r="CJ2" i="25"/>
  <c r="CI2" i="25"/>
  <c r="CH2" i="25"/>
  <c r="CG2" i="25"/>
  <c r="CF2" i="25"/>
  <c r="CE2" i="25"/>
  <c r="CD2" i="25"/>
  <c r="CC2" i="25"/>
  <c r="CB2" i="25"/>
  <c r="CA2" i="25"/>
  <c r="BZ2" i="25"/>
  <c r="BY2" i="25"/>
  <c r="BX2" i="25"/>
  <c r="BW2" i="25"/>
  <c r="BV2" i="25"/>
  <c r="BU2" i="25"/>
  <c r="BT2" i="25"/>
  <c r="BS2" i="25"/>
  <c r="BR2" i="25"/>
  <c r="BQ2" i="25"/>
  <c r="BP2" i="25"/>
  <c r="BO2" i="25"/>
  <c r="BN2" i="25"/>
  <c r="BM2" i="25"/>
  <c r="BL2" i="25"/>
  <c r="BK2" i="25"/>
  <c r="BJ2" i="25"/>
  <c r="BI2" i="25"/>
  <c r="BH2" i="25"/>
  <c r="BG2" i="25"/>
  <c r="BF2" i="25"/>
  <c r="BE2" i="25"/>
  <c r="BD2" i="25"/>
  <c r="BC2" i="25"/>
  <c r="BB2" i="25"/>
  <c r="BA2" i="25"/>
  <c r="AZ2" i="25"/>
  <c r="AY2" i="25"/>
  <c r="AX2" i="25"/>
  <c r="AW2" i="25"/>
  <c r="AV2" i="25"/>
  <c r="AU2" i="25"/>
  <c r="AT2" i="25"/>
  <c r="AS2" i="25"/>
  <c r="AR2" i="25"/>
  <c r="AQ2" i="25"/>
  <c r="AP2" i="25"/>
  <c r="AO2" i="25"/>
  <c r="AN2" i="25"/>
  <c r="AM2" i="25"/>
  <c r="AL2" i="25"/>
  <c r="AK2" i="25"/>
  <c r="I2" i="25"/>
  <c r="H2" i="25"/>
  <c r="G2" i="25"/>
  <c r="F2" i="25"/>
  <c r="E2" i="25"/>
  <c r="A2" i="25"/>
  <c r="B2" i="25"/>
  <c r="D2" i="25"/>
  <c r="E2" i="10"/>
  <c r="P1" i="23"/>
  <c r="D181" i="23"/>
  <c r="D180" i="23"/>
  <c r="D178" i="23"/>
  <c r="D177" i="23"/>
  <c r="D176" i="23"/>
  <c r="D175" i="23"/>
  <c r="D174" i="23"/>
  <c r="D172" i="23"/>
  <c r="D171" i="23"/>
  <c r="D170" i="23"/>
  <c r="D169" i="23"/>
  <c r="D168" i="23"/>
  <c r="D167" i="23"/>
  <c r="D165" i="23"/>
  <c r="D164" i="23"/>
  <c r="D163" i="23"/>
  <c r="D162" i="23"/>
  <c r="D161" i="23"/>
  <c r="D160" i="23"/>
  <c r="D158" i="23"/>
  <c r="D157" i="23"/>
  <c r="D156" i="23"/>
  <c r="D155" i="23"/>
  <c r="D154" i="23"/>
  <c r="D153" i="23"/>
  <c r="D152" i="23"/>
  <c r="D151" i="23"/>
  <c r="D150" i="23"/>
  <c r="D149" i="23"/>
  <c r="D147" i="23"/>
  <c r="D146" i="23"/>
  <c r="D145" i="23"/>
  <c r="D144" i="23"/>
  <c r="D143" i="23"/>
  <c r="D141" i="23"/>
  <c r="D140" i="23"/>
  <c r="D139" i="23"/>
  <c r="D138" i="23"/>
  <c r="D136" i="23"/>
  <c r="D135" i="23"/>
  <c r="D134" i="23"/>
  <c r="D133" i="23"/>
  <c r="D132" i="23"/>
  <c r="D130" i="23"/>
  <c r="D129" i="23"/>
  <c r="D128" i="23"/>
  <c r="D127" i="23"/>
  <c r="D126" i="23"/>
  <c r="D125" i="23"/>
  <c r="D123" i="23"/>
  <c r="D122" i="23"/>
  <c r="D121" i="23"/>
  <c r="D120" i="23"/>
  <c r="D119" i="23"/>
  <c r="D117" i="23"/>
  <c r="D116" i="23"/>
  <c r="D115" i="23"/>
  <c r="D114" i="23"/>
  <c r="D113" i="23"/>
  <c r="D111" i="23"/>
  <c r="D110" i="23"/>
  <c r="D109" i="23"/>
  <c r="D108" i="23"/>
  <c r="D106" i="23"/>
  <c r="D105" i="23"/>
  <c r="D104" i="23"/>
  <c r="D103" i="23"/>
  <c r="D101" i="23"/>
  <c r="D100" i="23"/>
  <c r="D99" i="23"/>
  <c r="D98" i="23"/>
  <c r="D97" i="23"/>
  <c r="D96" i="23"/>
  <c r="D94" i="23"/>
  <c r="D93" i="23"/>
  <c r="D92" i="23"/>
  <c r="D91" i="23"/>
  <c r="D90" i="23"/>
  <c r="D88" i="23"/>
  <c r="D87" i="23"/>
  <c r="D86" i="23"/>
  <c r="D85" i="23"/>
  <c r="D83" i="23"/>
  <c r="D82" i="23"/>
  <c r="D81" i="23"/>
  <c r="D80" i="23"/>
  <c r="D79" i="23"/>
  <c r="D78" i="23"/>
  <c r="D77" i="23"/>
  <c r="D76" i="23"/>
  <c r="D74" i="23"/>
  <c r="D73" i="23"/>
  <c r="D72" i="23"/>
  <c r="D71" i="23"/>
  <c r="D70" i="23"/>
  <c r="D69" i="23"/>
  <c r="D67" i="23"/>
  <c r="D66" i="23"/>
  <c r="D65" i="23"/>
  <c r="D64" i="23"/>
  <c r="D62" i="23"/>
  <c r="D61" i="23"/>
  <c r="D60" i="23"/>
  <c r="D59" i="23"/>
  <c r="D58" i="23"/>
  <c r="B2" i="24" a="1"/>
  <c r="B115" i="24"/>
  <c r="B2" i="21" a="1"/>
  <c r="B2" i="21"/>
  <c r="B15" i="24"/>
  <c r="B31" i="24"/>
  <c r="B47" i="24"/>
  <c r="B67" i="24"/>
  <c r="B89" i="24"/>
  <c r="B109" i="24"/>
  <c r="B17" i="24"/>
  <c r="B49" i="24"/>
  <c r="B91" i="24"/>
  <c r="B3" i="24"/>
  <c r="B19" i="24"/>
  <c r="B35" i="24"/>
  <c r="B51" i="24"/>
  <c r="B73" i="24"/>
  <c r="B93" i="24"/>
  <c r="B124" i="24"/>
  <c r="B116" i="24"/>
  <c r="B108" i="24"/>
  <c r="B100" i="24"/>
  <c r="B92" i="24"/>
  <c r="B84" i="24"/>
  <c r="B76" i="24"/>
  <c r="B68" i="24"/>
  <c r="B60" i="24"/>
  <c r="B52" i="24"/>
  <c r="B44" i="24"/>
  <c r="B36" i="24"/>
  <c r="B28" i="24"/>
  <c r="B20" i="24"/>
  <c r="B12" i="24"/>
  <c r="B4" i="24"/>
  <c r="B130" i="24"/>
  <c r="B122" i="24"/>
  <c r="B114" i="24"/>
  <c r="B106" i="24"/>
  <c r="B98" i="24"/>
  <c r="B90" i="24"/>
  <c r="B82" i="24"/>
  <c r="B74" i="24"/>
  <c r="B66" i="24"/>
  <c r="B58" i="24"/>
  <c r="B50" i="24"/>
  <c r="B42" i="24"/>
  <c r="B34" i="24"/>
  <c r="B26" i="24"/>
  <c r="B18" i="24"/>
  <c r="B10" i="24"/>
  <c r="B2" i="24"/>
  <c r="B128" i="24"/>
  <c r="B120" i="24"/>
  <c r="B112" i="24"/>
  <c r="B104" i="24"/>
  <c r="B96" i="24"/>
  <c r="B88" i="24"/>
  <c r="B80" i="24"/>
  <c r="B72" i="24"/>
  <c r="B64" i="24"/>
  <c r="B56" i="24"/>
  <c r="B48" i="24"/>
  <c r="B40" i="24"/>
  <c r="B32" i="24"/>
  <c r="B24" i="24"/>
  <c r="B16" i="24"/>
  <c r="B8" i="24"/>
  <c r="B127" i="24"/>
  <c r="B119" i="24"/>
  <c r="B111" i="24"/>
  <c r="B103" i="24"/>
  <c r="B95" i="24"/>
  <c r="B87" i="24"/>
  <c r="B79" i="24"/>
  <c r="B71" i="24"/>
  <c r="B63" i="24"/>
  <c r="B55" i="24"/>
  <c r="B126" i="24"/>
  <c r="B118" i="24"/>
  <c r="B110" i="24"/>
  <c r="B102" i="24"/>
  <c r="B94" i="24"/>
  <c r="B86" i="24"/>
  <c r="B78" i="24"/>
  <c r="B70" i="24"/>
  <c r="B62" i="24"/>
  <c r="B54" i="24"/>
  <c r="B46" i="24"/>
  <c r="B38" i="24"/>
  <c r="B30" i="24"/>
  <c r="B22" i="24"/>
  <c r="B14" i="24"/>
  <c r="B6" i="24"/>
  <c r="B33" i="24"/>
  <c r="B69" i="24"/>
  <c r="B113" i="24"/>
  <c r="B5" i="24"/>
  <c r="B21" i="24"/>
  <c r="B37" i="24"/>
  <c r="B53" i="24"/>
  <c r="B75" i="24"/>
  <c r="B97" i="24"/>
  <c r="B117" i="24"/>
  <c r="B23" i="24"/>
  <c r="B39" i="24"/>
  <c r="B57" i="24"/>
  <c r="B77" i="24"/>
  <c r="B99" i="24"/>
  <c r="B121" i="24"/>
  <c r="B7" i="24"/>
  <c r="B9" i="24"/>
  <c r="B25" i="24"/>
  <c r="B41" i="24"/>
  <c r="B59" i="24"/>
  <c r="B81" i="24"/>
  <c r="B101" i="24"/>
  <c r="B123" i="24"/>
  <c r="B27" i="24"/>
  <c r="B43" i="24"/>
  <c r="B61" i="24"/>
  <c r="B83" i="24"/>
  <c r="B105" i="24"/>
  <c r="B125" i="24"/>
  <c r="B11" i="24"/>
  <c r="B13" i="24"/>
  <c r="B29" i="24"/>
  <c r="B45" i="24"/>
  <c r="B65" i="24"/>
  <c r="B85" i="24"/>
  <c r="B107" i="24"/>
  <c r="B129" i="24"/>
  <c r="B113" i="21"/>
  <c r="B81" i="21"/>
  <c r="B49" i="21"/>
  <c r="B33" i="21"/>
  <c r="B128" i="21"/>
  <c r="B120" i="21"/>
  <c r="B112" i="21"/>
  <c r="B104" i="21"/>
  <c r="B96" i="21"/>
  <c r="B88" i="21"/>
  <c r="B80" i="21"/>
  <c r="B72" i="21"/>
  <c r="B64" i="21"/>
  <c r="B56" i="21"/>
  <c r="B48" i="21"/>
  <c r="B40" i="21"/>
  <c r="B32" i="21"/>
  <c r="B24" i="21"/>
  <c r="B16" i="21"/>
  <c r="B8" i="21"/>
  <c r="B129" i="21"/>
  <c r="B97" i="21"/>
  <c r="B57" i="21"/>
  <c r="B9" i="21"/>
  <c r="B103" i="21"/>
  <c r="B31" i="21"/>
  <c r="B126" i="21"/>
  <c r="B118" i="21"/>
  <c r="B94" i="21"/>
  <c r="B86" i="21"/>
  <c r="B78" i="21"/>
  <c r="B70" i="21"/>
  <c r="B62" i="21"/>
  <c r="B54" i="21"/>
  <c r="B46" i="21"/>
  <c r="B38" i="21"/>
  <c r="B30" i="21"/>
  <c r="B22" i="21"/>
  <c r="B14" i="21"/>
  <c r="B6" i="21"/>
  <c r="B105" i="21"/>
  <c r="B73" i="21"/>
  <c r="B25" i="21"/>
  <c r="B119" i="21"/>
  <c r="B87" i="21"/>
  <c r="B63" i="21"/>
  <c r="B23" i="21"/>
  <c r="B117" i="21"/>
  <c r="B93" i="21"/>
  <c r="B77" i="21"/>
  <c r="B69" i="21"/>
  <c r="B61" i="21"/>
  <c r="B53" i="21"/>
  <c r="B29" i="21"/>
  <c r="B21" i="21"/>
  <c r="B13" i="21"/>
  <c r="B5" i="21"/>
  <c r="B121" i="21"/>
  <c r="B89" i="21"/>
  <c r="B65" i="21"/>
  <c r="B41" i="21"/>
  <c r="B17" i="21"/>
  <c r="B111" i="21"/>
  <c r="B79" i="21"/>
  <c r="B55" i="21"/>
  <c r="B39" i="21"/>
  <c r="B15" i="21"/>
  <c r="B102" i="21"/>
  <c r="B101" i="21"/>
  <c r="B37" i="21"/>
  <c r="B124" i="21"/>
  <c r="B108" i="21"/>
  <c r="B92" i="21"/>
  <c r="B76" i="21"/>
  <c r="B60" i="21"/>
  <c r="B44" i="21"/>
  <c r="B20" i="21"/>
  <c r="B4" i="21"/>
  <c r="B123" i="21"/>
  <c r="B115" i="21"/>
  <c r="B107" i="21"/>
  <c r="B99" i="21"/>
  <c r="B91" i="21"/>
  <c r="B83" i="21"/>
  <c r="B75" i="21"/>
  <c r="B67" i="21"/>
  <c r="B59" i="21"/>
  <c r="B51" i="21"/>
  <c r="B43" i="21"/>
  <c r="B35" i="21"/>
  <c r="B27" i="21"/>
  <c r="B19" i="21"/>
  <c r="B11" i="21"/>
  <c r="B3" i="21"/>
  <c r="B127" i="21"/>
  <c r="B95" i="21"/>
  <c r="B71" i="21"/>
  <c r="B47" i="21"/>
  <c r="B7" i="21"/>
  <c r="B110" i="21"/>
  <c r="B125" i="21"/>
  <c r="B109" i="21"/>
  <c r="B85" i="21"/>
  <c r="B45" i="21"/>
  <c r="B116" i="21"/>
  <c r="B100" i="21"/>
  <c r="B84" i="21"/>
  <c r="B68" i="21"/>
  <c r="B52" i="21"/>
  <c r="B36" i="21"/>
  <c r="B28" i="21"/>
  <c r="B12" i="21"/>
  <c r="B130" i="21"/>
  <c r="B122" i="21"/>
  <c r="B114" i="21"/>
  <c r="B106" i="21"/>
  <c r="B98" i="21"/>
  <c r="B90" i="21"/>
  <c r="B82" i="21"/>
  <c r="B74" i="21"/>
  <c r="B66" i="21"/>
  <c r="B58" i="21"/>
  <c r="B50" i="21"/>
  <c r="B42" i="21"/>
  <c r="B34" i="21"/>
  <c r="B26" i="21"/>
  <c r="B18" i="21"/>
  <c r="B10" i="21"/>
  <c r="U64" i="23"/>
  <c r="U65" i="23"/>
  <c r="U66" i="23"/>
  <c r="U67" i="23"/>
  <c r="U69" i="23"/>
  <c r="U70" i="23"/>
  <c r="U71" i="23"/>
  <c r="U72" i="23"/>
  <c r="U73" i="23"/>
  <c r="U74" i="23"/>
  <c r="U76" i="23"/>
  <c r="U77" i="23"/>
  <c r="U78" i="23"/>
  <c r="U79" i="23"/>
  <c r="U80" i="23"/>
  <c r="U81" i="23"/>
  <c r="U82" i="23"/>
  <c r="U83" i="23"/>
  <c r="U85" i="23"/>
  <c r="U86" i="23"/>
  <c r="U87" i="23"/>
  <c r="U88" i="23"/>
  <c r="U90" i="23"/>
  <c r="U91" i="23"/>
  <c r="U92" i="23"/>
  <c r="U93" i="23"/>
  <c r="U94" i="23"/>
  <c r="U96" i="23"/>
  <c r="U97" i="23"/>
  <c r="U98" i="23"/>
  <c r="U99" i="23"/>
  <c r="U100" i="23"/>
  <c r="U101" i="23"/>
  <c r="U103" i="23"/>
  <c r="U104" i="23"/>
  <c r="U105" i="23"/>
  <c r="U106" i="23"/>
  <c r="U108" i="23"/>
  <c r="U109" i="23"/>
  <c r="U110" i="23"/>
  <c r="U111" i="23"/>
  <c r="U113" i="23"/>
  <c r="U114" i="23"/>
  <c r="U115" i="23"/>
  <c r="U116" i="23"/>
  <c r="U117" i="23"/>
  <c r="U119" i="23"/>
  <c r="U120" i="23"/>
  <c r="U121" i="23"/>
  <c r="U122" i="23"/>
  <c r="U123" i="23"/>
  <c r="U125" i="23"/>
  <c r="U126" i="23"/>
  <c r="U127" i="23"/>
  <c r="U128" i="23"/>
  <c r="U129" i="23"/>
  <c r="U130" i="23"/>
  <c r="U132" i="23"/>
  <c r="U133" i="23"/>
  <c r="U134" i="23"/>
  <c r="U135" i="23"/>
  <c r="U136" i="23"/>
  <c r="U138" i="23"/>
  <c r="U139" i="23"/>
  <c r="U140" i="23"/>
  <c r="U141" i="23"/>
  <c r="U143" i="23"/>
  <c r="U144" i="23"/>
  <c r="U145" i="23"/>
  <c r="U146" i="23"/>
  <c r="U147" i="23"/>
  <c r="U149" i="23"/>
  <c r="U150" i="23"/>
  <c r="U151" i="23"/>
  <c r="U152" i="23"/>
  <c r="U153" i="23"/>
  <c r="U154" i="23"/>
  <c r="U155" i="23"/>
  <c r="U156" i="23"/>
  <c r="U157" i="23"/>
  <c r="U158" i="23"/>
  <c r="U160" i="23"/>
  <c r="U161" i="23"/>
  <c r="U162" i="23"/>
  <c r="U163" i="23"/>
  <c r="U164" i="23"/>
  <c r="U165" i="23"/>
  <c r="U167" i="23"/>
  <c r="U168" i="23"/>
  <c r="U169" i="23"/>
  <c r="U170" i="23"/>
  <c r="U171" i="23"/>
  <c r="U172" i="23"/>
  <c r="U174" i="23"/>
  <c r="U175" i="23"/>
  <c r="U176" i="23"/>
  <c r="U177" i="23"/>
  <c r="U178" i="23"/>
  <c r="U180" i="23"/>
  <c r="U181" i="23"/>
  <c r="U62" i="23"/>
  <c r="U59" i="23"/>
  <c r="U60" i="23"/>
  <c r="U61" i="23"/>
  <c r="U58" i="23"/>
  <c r="B183" i="23"/>
  <c r="W59" i="9"/>
  <c r="V59" i="9"/>
  <c r="U59" i="9"/>
  <c r="T62" i="9"/>
  <c r="T61" i="9"/>
  <c r="T60" i="9"/>
  <c r="L39" i="9"/>
  <c r="K39" i="9"/>
  <c r="J39" i="9"/>
  <c r="I44" i="9"/>
  <c r="I43" i="9"/>
  <c r="I42" i="9"/>
  <c r="I41" i="9"/>
  <c r="I40" i="9"/>
  <c r="J40" i="9"/>
  <c r="K40" i="9"/>
  <c r="L40" i="9"/>
  <c r="J41" i="9"/>
  <c r="K41" i="9"/>
  <c r="L41" i="9"/>
  <c r="J42" i="9"/>
  <c r="K42" i="9"/>
  <c r="L42" i="9"/>
  <c r="J43" i="9"/>
  <c r="K43" i="9"/>
  <c r="L43" i="9"/>
  <c r="J44" i="9"/>
  <c r="K44" i="9"/>
  <c r="L44" i="9"/>
  <c r="P38" i="10"/>
  <c r="Q38" i="10"/>
  <c r="R38" i="10"/>
  <c r="S38" i="10"/>
  <c r="I19" i="9"/>
  <c r="I18" i="9"/>
  <c r="U60" i="9"/>
  <c r="L80" i="9"/>
  <c r="V60" i="9"/>
  <c r="M80" i="9"/>
  <c r="W60" i="9"/>
  <c r="O80" i="9"/>
  <c r="U61" i="9"/>
  <c r="N80" i="9"/>
  <c r="V61" i="9"/>
  <c r="Q80" i="9"/>
  <c r="W61" i="9"/>
  <c r="R80" i="9"/>
  <c r="U62" i="9"/>
  <c r="P80" i="9"/>
  <c r="V62" i="9"/>
  <c r="S80" i="9"/>
  <c r="W62" i="9"/>
  <c r="T80" i="9"/>
  <c r="M15" i="9"/>
  <c r="L15" i="9"/>
  <c r="K15" i="9"/>
  <c r="J15" i="9"/>
  <c r="I17" i="9"/>
  <c r="I16" i="9"/>
  <c r="I15" i="9"/>
  <c r="M18" i="9"/>
  <c r="K95" i="9"/>
  <c r="L95" i="9"/>
  <c r="L17" i="9"/>
  <c r="K89" i="9"/>
  <c r="M19" i="9"/>
  <c r="K96" i="9"/>
  <c r="L19" i="9"/>
  <c r="K94" i="9"/>
  <c r="M16" i="9"/>
  <c r="K86" i="9"/>
  <c r="L86" i="9"/>
  <c r="K17" i="9"/>
  <c r="K87" i="9"/>
  <c r="K19" i="9"/>
  <c r="K92" i="9"/>
  <c r="L16" i="9"/>
  <c r="K84" i="9"/>
  <c r="M17" i="9"/>
  <c r="K91" i="9"/>
  <c r="J16" i="9"/>
  <c r="L18" i="9"/>
  <c r="K93" i="9"/>
  <c r="P93" i="9"/>
  <c r="K18" i="9"/>
  <c r="K90" i="9"/>
  <c r="J17" i="9"/>
  <c r="K83" i="9"/>
  <c r="L83" i="9"/>
  <c r="J18" i="9"/>
  <c r="K85" i="9"/>
  <c r="L85" i="9"/>
  <c r="J19" i="9"/>
  <c r="K88" i="9"/>
  <c r="L88" i="9"/>
  <c r="Y79" i="9"/>
  <c r="N88" i="9"/>
  <c r="N95" i="9"/>
  <c r="T95" i="9"/>
  <c r="R95" i="9"/>
  <c r="P95" i="9"/>
  <c r="O95" i="9"/>
  <c r="S95" i="9"/>
  <c r="Q95" i="9"/>
  <c r="M95" i="9"/>
  <c r="N83" i="9"/>
  <c r="P83" i="9"/>
  <c r="S94" i="9"/>
  <c r="N94" i="9"/>
  <c r="P94" i="9"/>
  <c r="O94" i="9"/>
  <c r="Q94" i="9"/>
  <c r="R94" i="9"/>
  <c r="M94" i="9"/>
  <c r="T94" i="9"/>
  <c r="R92" i="9"/>
  <c r="M92" i="9"/>
  <c r="O92" i="9"/>
  <c r="T92" i="9"/>
  <c r="Q92" i="9"/>
  <c r="P92" i="9"/>
  <c r="S92" i="9"/>
  <c r="N92" i="9"/>
  <c r="S84" i="9"/>
  <c r="N84" i="9"/>
  <c r="T84" i="9"/>
  <c r="P84" i="9"/>
  <c r="O84" i="9"/>
  <c r="R84" i="9"/>
  <c r="M84" i="9"/>
  <c r="Q84" i="9"/>
  <c r="S88" i="9"/>
  <c r="Q88" i="9"/>
  <c r="R88" i="9"/>
  <c r="T88" i="9"/>
  <c r="O88" i="9"/>
  <c r="P88" i="9"/>
  <c r="M88" i="9"/>
  <c r="R96" i="9"/>
  <c r="M96" i="9"/>
  <c r="T96" i="9"/>
  <c r="Q96" i="9"/>
  <c r="P96" i="9"/>
  <c r="S96" i="9"/>
  <c r="N96" i="9"/>
  <c r="O96" i="9"/>
  <c r="N93" i="9"/>
  <c r="K16" i="9"/>
  <c r="K82" i="9"/>
  <c r="K81" i="9"/>
  <c r="R87" i="9"/>
  <c r="M87" i="9"/>
  <c r="T87" i="9"/>
  <c r="Q87" i="9"/>
  <c r="O87" i="9"/>
  <c r="S87" i="9"/>
  <c r="N87" i="9"/>
  <c r="P87" i="9"/>
  <c r="T89" i="9"/>
  <c r="Q89" i="9"/>
  <c r="S89" i="9"/>
  <c r="N89" i="9"/>
  <c r="M89" i="9"/>
  <c r="P89" i="9"/>
  <c r="O89" i="9"/>
  <c r="R89" i="9"/>
  <c r="O83" i="9"/>
  <c r="L84" i="9"/>
  <c r="L89" i="9"/>
  <c r="P90" i="9"/>
  <c r="O90" i="9"/>
  <c r="R90" i="9"/>
  <c r="M90" i="9"/>
  <c r="N90" i="9"/>
  <c r="T90" i="9"/>
  <c r="Q90" i="9"/>
  <c r="S90" i="9"/>
  <c r="L92" i="9"/>
  <c r="L94" i="9"/>
  <c r="S93" i="9"/>
  <c r="T93" i="9"/>
  <c r="R93" i="9"/>
  <c r="Q93" i="9"/>
  <c r="M93" i="9"/>
  <c r="L96" i="9"/>
  <c r="T85" i="9"/>
  <c r="Q85" i="9"/>
  <c r="M85" i="9"/>
  <c r="S85" i="9"/>
  <c r="N85" i="9"/>
  <c r="R85" i="9"/>
  <c r="P85" i="9"/>
  <c r="O85" i="9"/>
  <c r="S83" i="9"/>
  <c r="T83" i="9"/>
  <c r="Q83" i="9"/>
  <c r="M83" i="9"/>
  <c r="S91" i="9"/>
  <c r="N91" i="9"/>
  <c r="P91" i="9"/>
  <c r="O91" i="9"/>
  <c r="Q91" i="9"/>
  <c r="R91" i="9"/>
  <c r="M91" i="9"/>
  <c r="T91" i="9"/>
  <c r="P86" i="9"/>
  <c r="O86" i="9"/>
  <c r="R86" i="9"/>
  <c r="M86" i="9"/>
  <c r="N86" i="9"/>
  <c r="T86" i="9"/>
  <c r="Q86" i="9"/>
  <c r="S86" i="9"/>
  <c r="R83" i="9"/>
  <c r="O93" i="9"/>
  <c r="L90" i="9"/>
  <c r="L87" i="9"/>
  <c r="L91" i="9"/>
  <c r="L93" i="9"/>
  <c r="I111" i="2"/>
  <c r="I112" i="2"/>
  <c r="I113" i="2"/>
  <c r="H111" i="2"/>
  <c r="H112" i="2"/>
  <c r="H113" i="2"/>
  <c r="G111" i="2"/>
  <c r="G112" i="2"/>
  <c r="G113" i="2"/>
  <c r="G57" i="9"/>
  <c r="F57" i="9"/>
  <c r="I57" i="9"/>
  <c r="EX2" i="25"/>
  <c r="C6" i="10"/>
  <c r="J2" i="25"/>
  <c r="S81" i="9"/>
  <c r="N81" i="9"/>
  <c r="Q81" i="9"/>
  <c r="P81" i="9"/>
  <c r="O81" i="9"/>
  <c r="R81" i="9"/>
  <c r="M81" i="9"/>
  <c r="T81" i="9"/>
  <c r="L81" i="9"/>
  <c r="S82" i="9"/>
  <c r="T82" i="9"/>
  <c r="O82" i="9"/>
  <c r="P82" i="9"/>
  <c r="M82" i="9"/>
  <c r="Q82" i="9"/>
  <c r="R82" i="9"/>
  <c r="N82" i="9"/>
  <c r="L82" i="9"/>
  <c r="I114" i="2"/>
  <c r="G114" i="2"/>
  <c r="H114" i="2"/>
  <c r="J191" i="23"/>
  <c r="J189" i="23"/>
  <c r="J197" i="23"/>
  <c r="J195" i="23"/>
  <c r="J193" i="23"/>
  <c r="L24" i="10"/>
  <c r="L28" i="10"/>
  <c r="L31" i="10"/>
  <c r="L37" i="10"/>
  <c r="L20" i="10"/>
  <c r="L23" i="10"/>
  <c r="L27" i="10"/>
  <c r="L32" i="10"/>
  <c r="E3" i="21" a="1"/>
  <c r="E3" i="21"/>
  <c r="B68" i="10"/>
  <c r="E11" i="21" a="1"/>
  <c r="E11" i="21"/>
  <c r="B76" i="10"/>
  <c r="E19" i="21" a="1"/>
  <c r="E19" i="21"/>
  <c r="B84" i="10"/>
  <c r="D7" i="21" a="1"/>
  <c r="D7" i="21"/>
  <c r="D15" i="21" a="1"/>
  <c r="D15" i="21"/>
  <c r="D4" i="21" a="1"/>
  <c r="D4" i="21"/>
  <c r="D20" i="21" a="1"/>
  <c r="D20" i="21"/>
  <c r="E4" i="21" a="1"/>
  <c r="E4" i="21"/>
  <c r="B69" i="10"/>
  <c r="E12" i="21" a="1"/>
  <c r="E12" i="21"/>
  <c r="B77" i="10"/>
  <c r="E20" i="21" a="1"/>
  <c r="E20" i="21"/>
  <c r="B85" i="10"/>
  <c r="D8" i="21" a="1"/>
  <c r="D8" i="21"/>
  <c r="D16" i="21" a="1"/>
  <c r="D16" i="21"/>
  <c r="D17" i="21" a="1"/>
  <c r="D17" i="21"/>
  <c r="E9" i="21" a="1"/>
  <c r="E9" i="21"/>
  <c r="B74" i="10"/>
  <c r="E5" i="21" a="1"/>
  <c r="E5" i="21"/>
  <c r="B70" i="10"/>
  <c r="E13" i="21" a="1"/>
  <c r="E13" i="21"/>
  <c r="B78" i="10"/>
  <c r="E21" i="21" a="1"/>
  <c r="E21" i="21"/>
  <c r="B86" i="10"/>
  <c r="D9" i="21" a="1"/>
  <c r="D9" i="21"/>
  <c r="D12" i="21" a="1"/>
  <c r="D12" i="21"/>
  <c r="D21" i="21" a="1"/>
  <c r="D21" i="21"/>
  <c r="E6" i="21" a="1"/>
  <c r="E6" i="21"/>
  <c r="B71" i="10"/>
  <c r="E14" i="21" a="1"/>
  <c r="E14" i="21"/>
  <c r="B79" i="10"/>
  <c r="E2" i="21" a="1"/>
  <c r="E2" i="21"/>
  <c r="B67" i="10"/>
  <c r="D10" i="21" a="1"/>
  <c r="D10" i="21"/>
  <c r="D18" i="21" a="1"/>
  <c r="D18" i="21"/>
  <c r="E8" i="21" a="1"/>
  <c r="E8" i="21"/>
  <c r="B73" i="10"/>
  <c r="D5" i="21" a="1"/>
  <c r="D5" i="21"/>
  <c r="E7" i="21" a="1"/>
  <c r="E7" i="21"/>
  <c r="B72" i="10"/>
  <c r="E15" i="21" a="1"/>
  <c r="E15" i="21"/>
  <c r="B80" i="10"/>
  <c r="D3" i="21" a="1"/>
  <c r="D3" i="21"/>
  <c r="D11" i="21" a="1"/>
  <c r="D11" i="21"/>
  <c r="D19" i="21" a="1"/>
  <c r="D19" i="21"/>
  <c r="E16" i="21" a="1"/>
  <c r="E16" i="21"/>
  <c r="B81" i="10"/>
  <c r="E17" i="21" a="1"/>
  <c r="E17" i="21"/>
  <c r="B82" i="10"/>
  <c r="E10" i="21" a="1"/>
  <c r="E10" i="21"/>
  <c r="B75" i="10"/>
  <c r="E18" i="21" a="1"/>
  <c r="E18" i="21"/>
  <c r="B83" i="10"/>
  <c r="D6" i="21" a="1"/>
  <c r="D6" i="21"/>
  <c r="D14" i="21" a="1"/>
  <c r="D14" i="21"/>
  <c r="D2" i="21" a="1"/>
  <c r="D2" i="21"/>
  <c r="D13" i="21" a="1"/>
  <c r="D13" i="21"/>
  <c r="L19" i="10"/>
  <c r="L29" i="10"/>
  <c r="L25" i="10"/>
  <c r="L36" i="10"/>
  <c r="L33" i="10"/>
  <c r="L22" i="10"/>
  <c r="L26" i="10"/>
  <c r="L35" i="10"/>
  <c r="L34" i="10"/>
  <c r="E3" i="24" a="1"/>
  <c r="E3" i="24"/>
  <c r="B44" i="10"/>
  <c r="E11" i="24" a="1"/>
  <c r="E11" i="24"/>
  <c r="B52" i="10"/>
  <c r="E19" i="24" a="1"/>
  <c r="E19" i="24"/>
  <c r="B60" i="10"/>
  <c r="D7" i="24" a="1"/>
  <c r="D7" i="24"/>
  <c r="D15" i="24" a="1"/>
  <c r="D15" i="24"/>
  <c r="E4" i="24" a="1"/>
  <c r="E4" i="24"/>
  <c r="B45" i="10"/>
  <c r="E12" i="24" a="1"/>
  <c r="E12" i="24"/>
  <c r="B53" i="10"/>
  <c r="E20" i="24" a="1"/>
  <c r="E20" i="24"/>
  <c r="B61" i="10"/>
  <c r="D8" i="24" a="1"/>
  <c r="D8" i="24"/>
  <c r="D16" i="24" a="1"/>
  <c r="D16" i="24"/>
  <c r="D19" i="24" a="1"/>
  <c r="D19" i="24"/>
  <c r="E5" i="24" a="1"/>
  <c r="E5" i="24"/>
  <c r="B46" i="10"/>
  <c r="E13" i="24" a="1"/>
  <c r="E13" i="24"/>
  <c r="B54" i="10"/>
  <c r="E21" i="24" a="1"/>
  <c r="E21" i="24"/>
  <c r="B62" i="10"/>
  <c r="D9" i="24" a="1"/>
  <c r="D9" i="24"/>
  <c r="D17" i="24" a="1"/>
  <c r="D17" i="24"/>
  <c r="E6" i="24" a="1"/>
  <c r="E6" i="24"/>
  <c r="B47" i="10"/>
  <c r="E14" i="24" a="1"/>
  <c r="E14" i="24"/>
  <c r="B55" i="10"/>
  <c r="E2" i="24" a="1"/>
  <c r="E2" i="24"/>
  <c r="B43" i="10"/>
  <c r="D10" i="24" a="1"/>
  <c r="D10" i="24"/>
  <c r="D18" i="24" a="1"/>
  <c r="D18" i="24"/>
  <c r="E15" i="24" a="1"/>
  <c r="E15" i="24"/>
  <c r="B56" i="10"/>
  <c r="E7" i="24" a="1"/>
  <c r="E7" i="24"/>
  <c r="B48" i="10"/>
  <c r="E8" i="24" a="1"/>
  <c r="E8" i="24"/>
  <c r="B49" i="10"/>
  <c r="E16" i="24" a="1"/>
  <c r="E16" i="24"/>
  <c r="B57" i="10"/>
  <c r="D4" i="24" a="1"/>
  <c r="D4" i="24"/>
  <c r="D12" i="24" a="1"/>
  <c r="D12" i="24"/>
  <c r="D20" i="24" a="1"/>
  <c r="D20" i="24"/>
  <c r="D3" i="24" a="1"/>
  <c r="D3" i="24"/>
  <c r="E9" i="24" a="1"/>
  <c r="E9" i="24"/>
  <c r="B50" i="10"/>
  <c r="E17" i="24" a="1"/>
  <c r="E17" i="24"/>
  <c r="B58" i="10"/>
  <c r="D5" i="24" a="1"/>
  <c r="D5" i="24"/>
  <c r="D13" i="24" a="1"/>
  <c r="D13" i="24"/>
  <c r="D21" i="24" a="1"/>
  <c r="D21" i="24"/>
  <c r="E10" i="24" a="1"/>
  <c r="E10" i="24"/>
  <c r="B51" i="10"/>
  <c r="E18" i="24" a="1"/>
  <c r="E18" i="24"/>
  <c r="B59" i="10"/>
  <c r="D6" i="24" a="1"/>
  <c r="D6" i="24"/>
  <c r="D14" i="24" a="1"/>
  <c r="D14" i="24"/>
  <c r="D2" i="24" a="1"/>
  <c r="D2" i="24"/>
  <c r="D11" i="24" a="1"/>
  <c r="D11" i="24"/>
  <c r="L21" i="10"/>
  <c r="L30" i="10"/>
  <c r="A2" i="24" a="1"/>
  <c r="A116" i="24"/>
  <c r="A2" i="21" a="1"/>
  <c r="A24" i="21"/>
  <c r="O38" i="10"/>
  <c r="M21" i="10"/>
  <c r="M30" i="10"/>
  <c r="M95" i="10"/>
  <c r="M19" i="10"/>
  <c r="M36" i="10"/>
  <c r="M32" i="10"/>
  <c r="M33" i="10"/>
  <c r="M28" i="10"/>
  <c r="M22" i="10"/>
  <c r="M23" i="10"/>
  <c r="M26" i="10"/>
  <c r="A52" i="21"/>
  <c r="M31" i="10"/>
  <c r="A82" i="21"/>
  <c r="A5" i="24"/>
  <c r="A84" i="24"/>
  <c r="A21" i="21"/>
  <c r="A42" i="21"/>
  <c r="A120" i="21"/>
  <c r="A10" i="21"/>
  <c r="M27" i="10"/>
  <c r="A122" i="21"/>
  <c r="M24" i="10"/>
  <c r="M35" i="10"/>
  <c r="A111" i="24"/>
  <c r="A90" i="24"/>
  <c r="A90" i="21"/>
  <c r="A26" i="21"/>
  <c r="A37" i="21"/>
  <c r="A83" i="24"/>
  <c r="A83" i="21"/>
  <c r="A71" i="21"/>
  <c r="A59" i="21"/>
  <c r="A99" i="21"/>
  <c r="A112" i="24"/>
  <c r="A112" i="21"/>
  <c r="A119" i="21"/>
  <c r="A55" i="21"/>
  <c r="A32" i="21"/>
  <c r="A44" i="21"/>
  <c r="A58" i="21"/>
  <c r="A14" i="21"/>
  <c r="A4" i="21"/>
  <c r="A4" i="24"/>
  <c r="A65" i="21"/>
  <c r="A78" i="21"/>
  <c r="A43" i="21"/>
  <c r="A43" i="24"/>
  <c r="A96" i="21"/>
  <c r="A73" i="21"/>
  <c r="A38" i="21"/>
  <c r="A97" i="24"/>
  <c r="A91" i="21"/>
  <c r="A3" i="21"/>
  <c r="M20" i="10"/>
  <c r="A13" i="21"/>
  <c r="M37" i="10"/>
  <c r="A124" i="21"/>
  <c r="A50" i="21"/>
  <c r="A102" i="24"/>
  <c r="A102" i="21"/>
  <c r="M25" i="10"/>
  <c r="A47" i="21"/>
  <c r="A41" i="21"/>
  <c r="A41" i="24"/>
  <c r="A107" i="24"/>
  <c r="A107" i="21"/>
  <c r="A94" i="21"/>
  <c r="A85" i="21"/>
  <c r="M18" i="10"/>
  <c r="L18" i="10"/>
  <c r="C2" i="24" a="1"/>
  <c r="M94" i="10"/>
  <c r="C2" i="21" a="1"/>
  <c r="A2" i="24"/>
  <c r="A2" i="21"/>
  <c r="M29" i="10"/>
  <c r="A69" i="21"/>
  <c r="A108" i="21"/>
  <c r="A108" i="24"/>
  <c r="A64" i="21"/>
  <c r="A22" i="21"/>
  <c r="A114" i="21"/>
  <c r="A114" i="24"/>
  <c r="A60" i="24"/>
  <c r="A60" i="21"/>
  <c r="M34" i="10"/>
  <c r="A104" i="21"/>
  <c r="A11" i="24"/>
  <c r="A11" i="21"/>
  <c r="H94" i="10"/>
  <c r="I94" i="10"/>
  <c r="G94" i="10"/>
  <c r="H95" i="10"/>
  <c r="I95" i="10"/>
  <c r="G95" i="10"/>
  <c r="I97" i="10"/>
  <c r="G97" i="10"/>
  <c r="H97" i="10"/>
  <c r="I93" i="10"/>
  <c r="G93" i="10"/>
  <c r="H93" i="10"/>
  <c r="I96" i="10"/>
  <c r="G96" i="10"/>
  <c r="H96" i="10"/>
  <c r="M93" i="10"/>
  <c r="M96" i="10"/>
  <c r="M97" i="10"/>
  <c r="Q6" i="10"/>
  <c r="P2" i="25"/>
  <c r="A38" i="24"/>
  <c r="A32" i="24"/>
  <c r="A99" i="24"/>
  <c r="A35" i="24"/>
  <c r="A122" i="24"/>
  <c r="A85" i="24"/>
  <c r="A3" i="24"/>
  <c r="A73" i="24"/>
  <c r="A14" i="24"/>
  <c r="A55" i="24"/>
  <c r="A125" i="24"/>
  <c r="A57" i="24"/>
  <c r="A47" i="24"/>
  <c r="A78" i="24"/>
  <c r="A115" i="24"/>
  <c r="A37" i="24"/>
  <c r="A69" i="24"/>
  <c r="A104" i="24"/>
  <c r="A22" i="24"/>
  <c r="A94" i="24"/>
  <c r="A124" i="24"/>
  <c r="A91" i="24"/>
  <c r="A6" i="24"/>
  <c r="A61" i="24"/>
  <c r="A59" i="24"/>
  <c r="A40" i="24"/>
  <c r="A50" i="24"/>
  <c r="A13" i="24"/>
  <c r="A64" i="24"/>
  <c r="A23" i="24"/>
  <c r="A58" i="24"/>
  <c r="A119" i="24"/>
  <c r="A71" i="24"/>
  <c r="A26" i="24"/>
  <c r="A42" i="24"/>
  <c r="A30" i="24"/>
  <c r="A74" i="24"/>
  <c r="A96" i="24"/>
  <c r="A65" i="24"/>
  <c r="A44" i="24"/>
  <c r="A120" i="24"/>
  <c r="A34" i="24"/>
  <c r="A113" i="24"/>
  <c r="L38" i="10"/>
  <c r="M6" i="10"/>
  <c r="N2" i="25"/>
  <c r="K59" i="10"/>
  <c r="E59" i="10"/>
  <c r="P59" i="10"/>
  <c r="N59" i="10"/>
  <c r="P56" i="10"/>
  <c r="N56" i="10"/>
  <c r="E56" i="10"/>
  <c r="K56" i="10"/>
  <c r="N46" i="10"/>
  <c r="E46" i="10"/>
  <c r="K46" i="10"/>
  <c r="P46" i="10"/>
  <c r="E60" i="10"/>
  <c r="K60" i="10"/>
  <c r="P60" i="10"/>
  <c r="N60" i="10"/>
  <c r="P49" i="10"/>
  <c r="N49" i="10"/>
  <c r="E49" i="10"/>
  <c r="K49" i="10"/>
  <c r="N54" i="10"/>
  <c r="K54" i="10"/>
  <c r="E54" i="10"/>
  <c r="P54" i="10"/>
  <c r="E45" i="10"/>
  <c r="K45" i="10"/>
  <c r="N45" i="10"/>
  <c r="P45" i="10"/>
  <c r="E52" i="10"/>
  <c r="K52" i="10"/>
  <c r="P52" i="10"/>
  <c r="N52" i="10"/>
  <c r="E53" i="10"/>
  <c r="N53" i="10"/>
  <c r="K53" i="10"/>
  <c r="P53" i="10"/>
  <c r="P58" i="10"/>
  <c r="K58" i="10"/>
  <c r="N58" i="10"/>
  <c r="E58" i="10"/>
  <c r="N47" i="10"/>
  <c r="E47" i="10"/>
  <c r="K47" i="10"/>
  <c r="P47" i="10"/>
  <c r="N48" i="10"/>
  <c r="P48" i="10"/>
  <c r="E48" i="10"/>
  <c r="K48" i="10"/>
  <c r="P50" i="10"/>
  <c r="K50" i="10"/>
  <c r="N50" i="10"/>
  <c r="E50" i="10"/>
  <c r="P57" i="10"/>
  <c r="N57" i="10"/>
  <c r="K57" i="10"/>
  <c r="E57" i="10"/>
  <c r="N62" i="10"/>
  <c r="E62" i="10"/>
  <c r="K62" i="10"/>
  <c r="P62" i="10"/>
  <c r="K51" i="10"/>
  <c r="P51" i="10"/>
  <c r="E51" i="10"/>
  <c r="N51" i="10"/>
  <c r="E61" i="10"/>
  <c r="K61" i="10"/>
  <c r="N61" i="10"/>
  <c r="P61" i="10"/>
  <c r="E44" i="10"/>
  <c r="K44" i="10"/>
  <c r="P44" i="10"/>
  <c r="N44" i="10"/>
  <c r="N55" i="10"/>
  <c r="E55" i="10"/>
  <c r="K55" i="10"/>
  <c r="P55" i="10"/>
  <c r="A72" i="21"/>
  <c r="A15" i="24"/>
  <c r="A84" i="21"/>
  <c r="A66" i="21"/>
  <c r="A5" i="21"/>
  <c r="A30" i="21"/>
  <c r="A100" i="21"/>
  <c r="A88" i="21"/>
  <c r="A74" i="21"/>
  <c r="A6" i="21"/>
  <c r="A72" i="24"/>
  <c r="A16" i="21"/>
  <c r="A70" i="24"/>
  <c r="A95" i="24"/>
  <c r="A100" i="24"/>
  <c r="A87" i="24"/>
  <c r="A98" i="24"/>
  <c r="A109" i="21"/>
  <c r="A97" i="21"/>
  <c r="A23" i="21"/>
  <c r="A61" i="21"/>
  <c r="A115" i="21"/>
  <c r="A125" i="21"/>
  <c r="A35" i="21"/>
  <c r="A111" i="21"/>
  <c r="A40" i="21"/>
  <c r="A57" i="21"/>
  <c r="A49" i="21"/>
  <c r="A52" i="24"/>
  <c r="A16" i="24"/>
  <c r="A70" i="21"/>
  <c r="A63" i="24"/>
  <c r="A77" i="24"/>
  <c r="A24" i="24"/>
  <c r="A76" i="21"/>
  <c r="A93" i="21"/>
  <c r="A31" i="21"/>
  <c r="A8" i="21"/>
  <c r="A76" i="24"/>
  <c r="A93" i="24"/>
  <c r="A48" i="21"/>
  <c r="A79" i="21"/>
  <c r="A36" i="21"/>
  <c r="A9" i="21"/>
  <c r="A79" i="24"/>
  <c r="A27" i="21"/>
  <c r="A20" i="21"/>
  <c r="A17" i="24"/>
  <c r="A121" i="21"/>
  <c r="A80" i="21"/>
  <c r="A77" i="21"/>
  <c r="A88" i="24"/>
  <c r="A48" i="24"/>
  <c r="A121" i="24"/>
  <c r="A66" i="24"/>
  <c r="A109" i="24"/>
  <c r="A17" i="21"/>
  <c r="A34" i="21"/>
  <c r="A15" i="21"/>
  <c r="A98" i="21"/>
  <c r="A36" i="24"/>
  <c r="A80" i="24"/>
  <c r="A8" i="24"/>
  <c r="A54" i="24"/>
  <c r="A9" i="24"/>
  <c r="A113" i="21"/>
  <c r="A53" i="21"/>
  <c r="A45" i="24"/>
  <c r="A101" i="24"/>
  <c r="A54" i="21"/>
  <c r="A105" i="21"/>
  <c r="A49" i="24"/>
  <c r="A82" i="24"/>
  <c r="A18" i="21"/>
  <c r="A29" i="21"/>
  <c r="A95" i="21"/>
  <c r="A89" i="21"/>
  <c r="A25" i="24"/>
  <c r="A118" i="21"/>
  <c r="A53" i="24"/>
  <c r="A45" i="21"/>
  <c r="A101" i="21"/>
  <c r="A106" i="21"/>
  <c r="A105" i="24"/>
  <c r="A67" i="21"/>
  <c r="A116" i="21"/>
  <c r="A10" i="24"/>
  <c r="A21" i="24"/>
  <c r="A18" i="24"/>
  <c r="A29" i="24"/>
  <c r="A63" i="21"/>
  <c r="A89" i="24"/>
  <c r="A25" i="21"/>
  <c r="A87" i="21"/>
  <c r="A118" i="24"/>
  <c r="A31" i="24"/>
  <c r="A27" i="24"/>
  <c r="A106" i="24"/>
  <c r="A20" i="24"/>
  <c r="A67" i="24"/>
  <c r="A56" i="21"/>
  <c r="A86" i="21"/>
  <c r="A28" i="21"/>
  <c r="A81" i="21"/>
  <c r="A62" i="21"/>
  <c r="A12" i="21"/>
  <c r="A127" i="21"/>
  <c r="A46" i="21"/>
  <c r="A123" i="21"/>
  <c r="A39" i="21"/>
  <c r="A129" i="21"/>
  <c r="A75" i="21"/>
  <c r="A7" i="21"/>
  <c r="A33" i="21"/>
  <c r="A51" i="21"/>
  <c r="A103" i="21"/>
  <c r="A117" i="21"/>
  <c r="A19" i="21"/>
  <c r="A126" i="21"/>
  <c r="A92" i="21"/>
  <c r="A130" i="21"/>
  <c r="A128" i="21"/>
  <c r="A110" i="21"/>
  <c r="A68" i="21"/>
  <c r="A126" i="24"/>
  <c r="A110" i="24"/>
  <c r="A130" i="24"/>
  <c r="A103" i="24"/>
  <c r="A123" i="24"/>
  <c r="A86" i="24"/>
  <c r="A128" i="24"/>
  <c r="A117" i="24"/>
  <c r="A62" i="24"/>
  <c r="A56" i="24"/>
  <c r="A46" i="24"/>
  <c r="A33" i="24"/>
  <c r="A92" i="24"/>
  <c r="A81" i="24"/>
  <c r="A19" i="24"/>
  <c r="A68" i="24"/>
  <c r="A129" i="24"/>
  <c r="A51" i="24"/>
  <c r="A28" i="24"/>
  <c r="A7" i="24"/>
  <c r="A12" i="24"/>
  <c r="A39" i="24"/>
  <c r="A75" i="24"/>
  <c r="A127" i="24"/>
  <c r="N20" i="10"/>
  <c r="S2" i="25"/>
  <c r="N31" i="10"/>
  <c r="AD2" i="25"/>
  <c r="N29" i="10"/>
  <c r="AB2" i="25"/>
  <c r="N37" i="10"/>
  <c r="AJ2" i="25"/>
  <c r="N19" i="10"/>
  <c r="R2" i="25"/>
  <c r="N22" i="10"/>
  <c r="U2" i="25"/>
  <c r="N34" i="10"/>
  <c r="AG2" i="25"/>
  <c r="C61" i="10"/>
  <c r="P81" i="10"/>
  <c r="E81" i="10"/>
  <c r="K81" i="10"/>
  <c r="C81" i="10"/>
  <c r="N81" i="10"/>
  <c r="C56" i="10"/>
  <c r="C46" i="10"/>
  <c r="P84" i="10"/>
  <c r="E84" i="10"/>
  <c r="N84" i="10"/>
  <c r="C84" i="10"/>
  <c r="K84" i="10"/>
  <c r="C47" i="10"/>
  <c r="N26" i="10"/>
  <c r="Y2" i="25"/>
  <c r="N36" i="10"/>
  <c r="AI2" i="25"/>
  <c r="N21" i="10"/>
  <c r="T2" i="25"/>
  <c r="C52" i="10"/>
  <c r="C2" i="21"/>
  <c r="C128" i="21"/>
  <c r="C64" i="21"/>
  <c r="C121" i="21"/>
  <c r="C95" i="21"/>
  <c r="C78" i="21"/>
  <c r="C14" i="21"/>
  <c r="C79" i="21"/>
  <c r="C94" i="21"/>
  <c r="C69" i="21"/>
  <c r="C5" i="21"/>
  <c r="C107" i="21"/>
  <c r="C43" i="21"/>
  <c r="C116" i="21"/>
  <c r="C52" i="21"/>
  <c r="C114" i="21"/>
  <c r="C50" i="21"/>
  <c r="C112" i="21"/>
  <c r="C48" i="21"/>
  <c r="C33" i="21"/>
  <c r="C15" i="21"/>
  <c r="C62" i="21"/>
  <c r="C129" i="21"/>
  <c r="C55" i="21"/>
  <c r="C117" i="21"/>
  <c r="C53" i="21"/>
  <c r="C65" i="21"/>
  <c r="C91" i="21"/>
  <c r="C27" i="21"/>
  <c r="C100" i="21"/>
  <c r="C36" i="21"/>
  <c r="C98" i="21"/>
  <c r="C34" i="21"/>
  <c r="C88" i="21"/>
  <c r="C24" i="21"/>
  <c r="C57" i="21"/>
  <c r="C110" i="21"/>
  <c r="C38" i="21"/>
  <c r="C49" i="21"/>
  <c r="C31" i="21"/>
  <c r="C93" i="21"/>
  <c r="C29" i="21"/>
  <c r="C12" i="21"/>
  <c r="C67" i="21"/>
  <c r="C3" i="21"/>
  <c r="C76" i="21"/>
  <c r="C4" i="21"/>
  <c r="C74" i="21"/>
  <c r="C10" i="21"/>
  <c r="C16" i="21"/>
  <c r="C39" i="21"/>
  <c r="C19" i="21"/>
  <c r="C104" i="21"/>
  <c r="C8" i="21"/>
  <c r="C118" i="21"/>
  <c r="C6" i="21"/>
  <c r="C23" i="21"/>
  <c r="C45" i="21"/>
  <c r="C115" i="21"/>
  <c r="C11" i="21"/>
  <c r="C44" i="21"/>
  <c r="C66" i="21"/>
  <c r="C96" i="21"/>
  <c r="C81" i="21"/>
  <c r="C102" i="21"/>
  <c r="C105" i="21"/>
  <c r="C7" i="21"/>
  <c r="C37" i="21"/>
  <c r="C99" i="21"/>
  <c r="C127" i="21"/>
  <c r="C28" i="21"/>
  <c r="C58" i="21"/>
  <c r="C80" i="21"/>
  <c r="C87" i="21"/>
  <c r="C86" i="21"/>
  <c r="C73" i="21"/>
  <c r="C125" i="21"/>
  <c r="C21" i="21"/>
  <c r="C83" i="21"/>
  <c r="C124" i="21"/>
  <c r="C20" i="21"/>
  <c r="C42" i="21"/>
  <c r="C72" i="21"/>
  <c r="C97" i="21"/>
  <c r="C70" i="21"/>
  <c r="C17" i="21"/>
  <c r="C109" i="21"/>
  <c r="C13" i="21"/>
  <c r="C75" i="21"/>
  <c r="C108" i="21"/>
  <c r="C130" i="21"/>
  <c r="C26" i="21"/>
  <c r="C56" i="21"/>
  <c r="C54" i="21"/>
  <c r="C103" i="21"/>
  <c r="C113" i="21"/>
  <c r="C92" i="21"/>
  <c r="C18" i="21"/>
  <c r="C25" i="21"/>
  <c r="C101" i="21"/>
  <c r="C59" i="21"/>
  <c r="C122" i="21"/>
  <c r="C89" i="21"/>
  <c r="C40" i="21"/>
  <c r="C111" i="21"/>
  <c r="C46" i="21"/>
  <c r="C63" i="21"/>
  <c r="C85" i="21"/>
  <c r="C9" i="21"/>
  <c r="C51" i="21"/>
  <c r="C84" i="21"/>
  <c r="C106" i="21"/>
  <c r="C41" i="21"/>
  <c r="C32" i="21"/>
  <c r="C71" i="21"/>
  <c r="C30" i="21"/>
  <c r="C47" i="21"/>
  <c r="C77" i="21"/>
  <c r="C119" i="21"/>
  <c r="C35" i="21"/>
  <c r="C68" i="21"/>
  <c r="C90" i="21"/>
  <c r="C120" i="21"/>
  <c r="C126" i="21"/>
  <c r="C22" i="21"/>
  <c r="C61" i="21"/>
  <c r="C123" i="21"/>
  <c r="C60" i="21"/>
  <c r="C82" i="21"/>
  <c r="N82" i="10"/>
  <c r="P82" i="10"/>
  <c r="E82" i="10"/>
  <c r="K82" i="10"/>
  <c r="C82" i="10"/>
  <c r="C54" i="10"/>
  <c r="E71" i="10"/>
  <c r="N71" i="10"/>
  <c r="C71" i="10"/>
  <c r="K71" i="10"/>
  <c r="P71" i="10"/>
  <c r="C55" i="10"/>
  <c r="N35" i="10"/>
  <c r="AH2" i="25"/>
  <c r="C51" i="10"/>
  <c r="P74" i="10"/>
  <c r="E74" i="10"/>
  <c r="C74" i="10"/>
  <c r="N74" i="10"/>
  <c r="K74" i="10"/>
  <c r="J38" i="10"/>
  <c r="K6" i="10"/>
  <c r="M2" i="25"/>
  <c r="C58" i="10"/>
  <c r="C59" i="10"/>
  <c r="C85" i="10"/>
  <c r="N85" i="10"/>
  <c r="K85" i="10"/>
  <c r="P85" i="10"/>
  <c r="E85" i="10"/>
  <c r="C60" i="10"/>
  <c r="N24" i="10"/>
  <c r="W2" i="25"/>
  <c r="N27" i="10"/>
  <c r="Z2" i="25"/>
  <c r="C48" i="10"/>
  <c r="C45" i="10"/>
  <c r="C62" i="10"/>
  <c r="C86" i="10"/>
  <c r="P86" i="10"/>
  <c r="N86" i="10"/>
  <c r="K86" i="10"/>
  <c r="E86" i="10"/>
  <c r="E76" i="10"/>
  <c r="K76" i="10"/>
  <c r="P76" i="10"/>
  <c r="C76" i="10"/>
  <c r="N76" i="10"/>
  <c r="C77" i="10"/>
  <c r="N77" i="10"/>
  <c r="K77" i="10"/>
  <c r="P77" i="10"/>
  <c r="E77" i="10"/>
  <c r="N30" i="10"/>
  <c r="AC2" i="25"/>
  <c r="K73" i="10"/>
  <c r="E73" i="10"/>
  <c r="P73" i="10"/>
  <c r="C73" i="10"/>
  <c r="N73" i="10"/>
  <c r="K83" i="10"/>
  <c r="N83" i="10"/>
  <c r="P83" i="10"/>
  <c r="E83" i="10"/>
  <c r="C83" i="10"/>
  <c r="C49" i="10"/>
  <c r="C80" i="10"/>
  <c r="N80" i="10"/>
  <c r="K80" i="10"/>
  <c r="P80" i="10"/>
  <c r="E80" i="10"/>
  <c r="C44" i="10"/>
  <c r="N78" i="10"/>
  <c r="K78" i="10"/>
  <c r="P78" i="10"/>
  <c r="E78" i="10"/>
  <c r="C78" i="10"/>
  <c r="P69" i="10"/>
  <c r="E69" i="10"/>
  <c r="N69" i="10"/>
  <c r="C69" i="10"/>
  <c r="K69" i="10"/>
  <c r="N23" i="10"/>
  <c r="V2" i="25"/>
  <c r="C50" i="10"/>
  <c r="E68" i="10"/>
  <c r="C68" i="10"/>
  <c r="N68" i="10"/>
  <c r="K68" i="10"/>
  <c r="P68" i="10"/>
  <c r="E75" i="10"/>
  <c r="C75" i="10"/>
  <c r="K75" i="10"/>
  <c r="P75" i="10"/>
  <c r="N75" i="10"/>
  <c r="C53" i="10"/>
  <c r="E72" i="10"/>
  <c r="C72" i="10"/>
  <c r="N72" i="10"/>
  <c r="K72" i="10"/>
  <c r="P72" i="10"/>
  <c r="P70" i="10"/>
  <c r="E70" i="10"/>
  <c r="C70" i="10"/>
  <c r="N70" i="10"/>
  <c r="K70" i="10"/>
  <c r="N18" i="10"/>
  <c r="Q2" i="25"/>
  <c r="K38" i="10"/>
  <c r="N25" i="10"/>
  <c r="X2" i="25"/>
  <c r="C79" i="10"/>
  <c r="N79" i="10"/>
  <c r="K79" i="10"/>
  <c r="P79" i="10"/>
  <c r="E79" i="10"/>
  <c r="E67" i="10"/>
  <c r="N67" i="10"/>
  <c r="C67" i="10"/>
  <c r="P67" i="10"/>
  <c r="K67" i="10"/>
  <c r="C57" i="10"/>
  <c r="C98" i="24"/>
  <c r="C34" i="24"/>
  <c r="C104" i="24"/>
  <c r="C40" i="24"/>
  <c r="C102" i="24"/>
  <c r="C38" i="24"/>
  <c r="C101" i="24"/>
  <c r="C37" i="24"/>
  <c r="C100" i="24"/>
  <c r="C36" i="24"/>
  <c r="C99" i="24"/>
  <c r="C71" i="24"/>
  <c r="C111" i="24"/>
  <c r="C47" i="24"/>
  <c r="C82" i="24"/>
  <c r="C18" i="24"/>
  <c r="C88" i="24"/>
  <c r="C24" i="24"/>
  <c r="C86" i="24"/>
  <c r="C22" i="24"/>
  <c r="C85" i="24"/>
  <c r="C21" i="24"/>
  <c r="C84" i="24"/>
  <c r="C20" i="24"/>
  <c r="C83" i="24"/>
  <c r="C31" i="24"/>
  <c r="C35" i="24"/>
  <c r="C41" i="24"/>
  <c r="C122" i="24"/>
  <c r="C58" i="24"/>
  <c r="C128" i="24"/>
  <c r="C64" i="24"/>
  <c r="C126" i="24"/>
  <c r="C62" i="24"/>
  <c r="C125" i="24"/>
  <c r="C61" i="24"/>
  <c r="C124" i="24"/>
  <c r="C60" i="24"/>
  <c r="C123" i="24"/>
  <c r="C59" i="24"/>
  <c r="C73" i="24"/>
  <c r="C27" i="24"/>
  <c r="C113" i="24"/>
  <c r="C55" i="24"/>
  <c r="C121" i="24"/>
  <c r="C63" i="24"/>
  <c r="C129" i="24"/>
  <c r="C114" i="24"/>
  <c r="C50" i="24"/>
  <c r="C120" i="24"/>
  <c r="C56" i="24"/>
  <c r="C118" i="24"/>
  <c r="C54" i="24"/>
  <c r="C117" i="24"/>
  <c r="C53" i="24"/>
  <c r="C116" i="24"/>
  <c r="C52" i="24"/>
  <c r="C115" i="24"/>
  <c r="C23" i="24"/>
  <c r="C49" i="24"/>
  <c r="C10" i="24"/>
  <c r="C130" i="24"/>
  <c r="C2" i="24"/>
  <c r="C8" i="24"/>
  <c r="C6" i="24"/>
  <c r="C5" i="24"/>
  <c r="C4" i="24"/>
  <c r="C25" i="24"/>
  <c r="C106" i="24"/>
  <c r="C112" i="24"/>
  <c r="C110" i="24"/>
  <c r="C109" i="24"/>
  <c r="C108" i="24"/>
  <c r="C107" i="24"/>
  <c r="C17" i="24"/>
  <c r="C90" i="24"/>
  <c r="C96" i="24"/>
  <c r="C94" i="24"/>
  <c r="C93" i="24"/>
  <c r="C92" i="24"/>
  <c r="C91" i="24"/>
  <c r="C11" i="24"/>
  <c r="C39" i="24"/>
  <c r="C19" i="24"/>
  <c r="C74" i="24"/>
  <c r="C80" i="24"/>
  <c r="C78" i="24"/>
  <c r="C77" i="24"/>
  <c r="C76" i="24"/>
  <c r="C75" i="24"/>
  <c r="C33" i="24"/>
  <c r="C95" i="24"/>
  <c r="C65" i="24"/>
  <c r="C66" i="24"/>
  <c r="C70" i="24"/>
  <c r="C69" i="24"/>
  <c r="C68" i="24"/>
  <c r="C67" i="24"/>
  <c r="C87" i="24"/>
  <c r="C57" i="24"/>
  <c r="C15" i="24"/>
  <c r="C72" i="24"/>
  <c r="C7" i="24"/>
  <c r="C3" i="24"/>
  <c r="C9" i="24"/>
  <c r="C127" i="24"/>
  <c r="C97" i="24"/>
  <c r="C42" i="24"/>
  <c r="C48" i="24"/>
  <c r="C46" i="24"/>
  <c r="C45" i="24"/>
  <c r="C44" i="24"/>
  <c r="C43" i="24"/>
  <c r="C79" i="24"/>
  <c r="C105" i="24"/>
  <c r="C51" i="24"/>
  <c r="C119" i="24"/>
  <c r="C89" i="24"/>
  <c r="C26" i="24"/>
  <c r="C32" i="24"/>
  <c r="C30" i="24"/>
  <c r="C29" i="24"/>
  <c r="C28" i="24"/>
  <c r="C103" i="24"/>
  <c r="C81" i="24"/>
  <c r="C16" i="24"/>
  <c r="C14" i="24"/>
  <c r="C13" i="24"/>
  <c r="C12" i="24"/>
  <c r="N43" i="10"/>
  <c r="E43" i="10"/>
  <c r="C43" i="10"/>
  <c r="P43" i="10"/>
  <c r="K43" i="10"/>
  <c r="M38" i="10"/>
  <c r="O6" i="10"/>
  <c r="O2" i="25"/>
  <c r="N28" i="10"/>
  <c r="AA2" i="25"/>
  <c r="N33" i="10"/>
  <c r="AF2" i="25"/>
  <c r="N32" i="10"/>
  <c r="AE2" i="25"/>
  <c r="FF2" i="25"/>
  <c r="FI2" i="25"/>
  <c r="FL2" i="25"/>
  <c r="FC2" i="25"/>
  <c r="FA2" i="25"/>
  <c r="O93" i="10"/>
  <c r="FD2" i="25"/>
  <c r="O94" i="10"/>
  <c r="FJ2" i="25"/>
  <c r="O96" i="10"/>
  <c r="EZ2" i="25"/>
  <c r="EY2" i="25"/>
  <c r="X44" i="9"/>
  <c r="K97" i="10"/>
  <c r="J97" i="10"/>
  <c r="X43" i="9"/>
  <c r="K96" i="10"/>
  <c r="J96" i="10"/>
  <c r="X42" i="9"/>
  <c r="K95" i="10"/>
  <c r="J95" i="10"/>
  <c r="X41" i="9"/>
  <c r="K94" i="10"/>
  <c r="J94" i="10"/>
  <c r="J93" i="10"/>
  <c r="X40" i="9"/>
  <c r="K93" i="10"/>
  <c r="N38" i="10"/>
  <c r="P94" i="10"/>
  <c r="O97" i="10"/>
  <c r="O95" i="10"/>
  <c r="G100" i="10"/>
  <c r="P93" i="10"/>
  <c r="L99" i="10"/>
  <c r="P96" i="10"/>
  <c r="FM2" i="25"/>
  <c r="FG2" i="25"/>
  <c r="N191" i="23"/>
  <c r="N101" i="10"/>
  <c r="N195" i="23"/>
  <c r="N189" i="23"/>
  <c r="L123" i="10"/>
  <c r="P95" i="10"/>
  <c r="J115" i="10"/>
  <c r="P97" i="10"/>
  <c r="N197" i="23"/>
  <c r="FN2" i="25"/>
  <c r="N193" i="23"/>
  <c r="Y60" i="9"/>
  <c r="AA60" i="9"/>
  <c r="Y61" i="9"/>
  <c r="AA61" i="9"/>
  <c r="FK2" i="25"/>
  <c r="Y58" i="9"/>
  <c r="AA58" i="9"/>
  <c r="FB2" i="25"/>
  <c r="Y59" i="9"/>
  <c r="AA59" i="9"/>
  <c r="FE2" i="25"/>
  <c r="FH2" i="25"/>
  <c r="Y62" i="9"/>
  <c r="AA62" i="9"/>
  <c r="AB58" i="9"/>
  <c r="Y80" i="9"/>
  <c r="Z79" i="9"/>
  <c r="AB79" i="9"/>
  <c r="G6" i="10"/>
  <c r="L2" i="25"/>
  <c r="AD58" i="9"/>
  <c r="E6" i="10"/>
  <c r="K2" i="25"/>
  <c r="J19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tc={87D32821-166B-48C5-841D-ECCB76AAE1E9}</author>
    <author>tc={93F1A2C8-3917-47BE-A9CD-27195640DCFF}</author>
  </authors>
  <commentList>
    <comment ref="N6" authorId="0" shapeId="0" xr:uid="{87D32821-166B-48C5-841D-ECCB76AAE1E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Date when Anaylst submits request.</t>
        </r>
      </text>
    </comment>
    <comment ref="N7" authorId="1" shapeId="0" xr:uid="{93F1A2C8-3917-47BE-A9CD-27195640DCF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Date when Security completes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Nicholas Fanelli</author>
  </authors>
  <commentList>
    <comment ref="P13" authorId="0" shapeId="0" xr:uid="{9889D38F-3772-4036-B81D-0C77DF8E0F9E}">
      <text>
        <r>
          <rPr>
            <b/>
            <sz val="9"/>
            <color indexed="81"/>
            <rFont val="Tahoma"/>
            <family val="2"/>
          </rPr>
          <t>Based on the Protection &amp; Availability levels defined within the "Request Form" worksheet, for each class identified the first two characters fo the Protection Level are concatenated with the first two charcters of the Availability Level.  This is done to normalize the value so we can perform our lookup in the next column.</t>
        </r>
      </text>
    </comment>
    <comment ref="R13" authorId="0" shapeId="0" xr:uid="{A297568E-99F7-471F-A935-DBFC2ED8D5AD}">
      <text>
        <r>
          <rPr>
            <b/>
            <sz val="9"/>
            <color indexed="81"/>
            <rFont val="Tahoma"/>
            <family val="2"/>
          </rPr>
          <t>For each cell a lookup is performed within the Risk Exposure Matrix (below) for the adject cell to the left, the nominal value for that classification is returned here.</t>
        </r>
      </text>
    </comment>
    <comment ref="S13" authorId="0" shapeId="0" xr:uid="{2BEE12AB-B07F-47B8-B7DD-ADB74031D558}">
      <text>
        <r>
          <rPr>
            <b/>
            <sz val="9"/>
            <color indexed="81"/>
            <rFont val="Tahoma"/>
            <family val="2"/>
          </rPr>
          <t>This cell aggregates the cell values within R14:R18 and will present the highest data value.</t>
        </r>
      </text>
    </comment>
    <comment ref="U13" authorId="0" shapeId="0" xr:uid="{1C882F6F-CEBA-4269-A582-50C625BE1EBA}">
      <text>
        <r>
          <rPr>
            <b/>
            <sz val="9"/>
            <color indexed="81"/>
            <rFont val="Tahoma"/>
            <family val="2"/>
          </rPr>
          <t>This is the highest data value within scope of the assessment and will be presented as such in the "Assessment Summary" Worksheet.</t>
        </r>
        <r>
          <rPr>
            <sz val="9"/>
            <color indexed="81"/>
            <rFont val="Tahoma"/>
            <family val="2"/>
          </rPr>
          <t xml:space="preserve">
</t>
        </r>
      </text>
    </comment>
    <comment ref="Y57" authorId="0" shapeId="0" xr:uid="{CC4BFF9C-4D87-4C76-9850-8DD93406DE30}">
      <text>
        <r>
          <rPr>
            <b/>
            <sz val="9"/>
            <color indexed="81"/>
            <rFont val="Tahoma"/>
            <family val="2"/>
          </rPr>
          <t>Based on the Impact &amp; Likelihood levels defined within the "Request Form" worksheet, for each attack scenario identified the Likelihood &amp; Impact levels are concatenated together, this is done to normalize the value so we can perform our lookup in the next column.</t>
        </r>
      </text>
    </comment>
    <comment ref="AA57" authorId="0" shapeId="0" xr:uid="{F4C6C306-16C7-4989-811A-165B8CB2E307}">
      <text>
        <r>
          <rPr>
            <b/>
            <sz val="9"/>
            <color indexed="81"/>
            <rFont val="Tahoma"/>
            <family val="2"/>
          </rPr>
          <t>For each cell a lookup is performed within the Risk Exposure Matrix (below) for the adject cell to the left, the nominal value for that classification is returned here.</t>
        </r>
      </text>
    </comment>
    <comment ref="AB57" authorId="0" shapeId="0" xr:uid="{978B72EC-E846-42BA-9E92-07DB59750E9E}">
      <text>
        <r>
          <rPr>
            <b/>
            <sz val="9"/>
            <color indexed="81"/>
            <rFont val="Tahoma"/>
            <family val="2"/>
          </rPr>
          <t>This cell aggregates the cell values within AA59:AA63 and will present the highest data value.</t>
        </r>
      </text>
    </comment>
    <comment ref="AD57" authorId="0" shapeId="0" xr:uid="{684304A1-DA84-4ECD-B58A-36CE6DEC6840}">
      <text>
        <r>
          <rPr>
            <b/>
            <sz val="9"/>
            <color indexed="81"/>
            <rFont val="Tahoma"/>
            <family val="2"/>
          </rPr>
          <t>This is the highest exposure value within scope of the assessment and will be presented as such in the "Assessment Summary" Worksheet.</t>
        </r>
      </text>
    </comment>
    <comment ref="Y78" authorId="0" shapeId="0" xr:uid="{DAC78D67-0D52-4735-96AB-78EE20CDDC18}">
      <text>
        <r>
          <rPr>
            <b/>
            <sz val="9"/>
            <color indexed="81"/>
            <rFont val="Tahoma"/>
            <family val="2"/>
          </rPr>
          <t xml:space="preserve">The Data &amp; Risk Exposure Values are determine by the prior two sections (listed above).
 </t>
        </r>
      </text>
    </comment>
    <comment ref="Z78" authorId="0" shapeId="0" xr:uid="{5C6ACCB3-529D-4984-A97F-DCC1191F7B18}">
      <text>
        <r>
          <rPr>
            <b/>
            <sz val="9"/>
            <color indexed="81"/>
            <rFont val="Tahoma"/>
            <family val="2"/>
          </rPr>
          <t>Total Risk Value is determined by multiplying Data Value by Risk Exposure.</t>
        </r>
      </text>
    </comment>
    <comment ref="AB78" authorId="0" shapeId="0" xr:uid="{9EDD370C-4E9A-44C2-B13B-F9AAF80172C7}">
      <text>
        <r>
          <rPr>
            <b/>
            <sz val="9"/>
            <color indexed="81"/>
            <rFont val="Tahoma"/>
            <family val="2"/>
          </rPr>
          <t>Total Risk Value is cross referenced to the Appetite thresolds defined within step 1 of this section.  This appetite value will be displayed within "Assessment Summary" Worksheet.</t>
        </r>
      </text>
    </comment>
  </commentList>
</comments>
</file>

<file path=xl/sharedStrings.xml><?xml version="1.0" encoding="utf-8"?>
<sst xmlns="http://schemas.openxmlformats.org/spreadsheetml/2006/main" count="5366" uniqueCount="1718">
  <si>
    <t>Compare all network device configurations against approved security configurations defined for each network device in use, and alert when any deviations are discovered.</t>
  </si>
  <si>
    <t>Alert when users deviate from normal login behavior, such as time-of-day, workstation location, and duration.</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</si>
  <si>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</si>
  <si>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HIPAA Reference</t>
  </si>
  <si>
    <t>Control #</t>
  </si>
  <si>
    <t>Required</t>
  </si>
  <si>
    <t>Recommend</t>
  </si>
  <si>
    <t>Optional</t>
  </si>
  <si>
    <t>Vulnerabilities can be addressed by either patching, implementing a compensating control or through risk acceptance.</t>
  </si>
  <si>
    <t>Inventory of Authorized and Unauthorized Devices</t>
  </si>
  <si>
    <t>Inventory of Authorized and Unauthorized Software</t>
  </si>
  <si>
    <t>Continuous Vulnerability Assessment and Remediation</t>
  </si>
  <si>
    <t>Controlled Use of Administrative Privileges</t>
  </si>
  <si>
    <t>Is there a log entry or alert recorded when an account is added to or removed from an administrators group?</t>
  </si>
  <si>
    <t>Domain Admin or Local Admin Account</t>
  </si>
  <si>
    <t>Review for stale accounts.</t>
  </si>
  <si>
    <t>Secure Configurations for Hardware and Software on Mobile Devices, Laptops, Workstations, and Servers</t>
  </si>
  <si>
    <t>Maintenance, Monitoring, and Analysis of Audit Logs</t>
  </si>
  <si>
    <t>Email and Web Browser Protections</t>
  </si>
  <si>
    <t>Are only supported web browsers and email clients allowed to execute within the organization?</t>
  </si>
  <si>
    <t>Does your organization uninstall or disable any unauthorized browser or email client plugins or add-on applications?</t>
  </si>
  <si>
    <t>Malware Defenses</t>
  </si>
  <si>
    <t>Limitation and Control of Network Ports, Protocols, and Services</t>
  </si>
  <si>
    <t>Basic</t>
  </si>
  <si>
    <t>Foundation</t>
  </si>
  <si>
    <t>Do you ensure that network ports, protocols and services with only a validate business are running on each system?</t>
  </si>
  <si>
    <t>Do you perform automated port scan on a regular basis against all systems and alert if unauthorized ports are detected?</t>
  </si>
  <si>
    <t>Are application firewalls in front of any critical web/application server/s to verify and validate the traffic going to the intended system?</t>
  </si>
  <si>
    <t>Data Recovery Capabilities</t>
  </si>
  <si>
    <t>Secure Configurations for Network Devices such as Firewalls, Routers, and Switches</t>
  </si>
  <si>
    <t>Do you install the latest stable version of any security-related updates on all supported network devices?</t>
  </si>
  <si>
    <t>This system should not be used for reading emails, composing documents and/or browsing the internet.</t>
  </si>
  <si>
    <t>Boundary Defense</t>
  </si>
  <si>
    <t>Data Protection</t>
  </si>
  <si>
    <t>Controlled Access Based on the Need to Know</t>
  </si>
  <si>
    <t>Wireless Access Control</t>
  </si>
  <si>
    <t>Account Monitoring and Control</t>
  </si>
  <si>
    <t>Implement a Security Awareness and Training Program</t>
  </si>
  <si>
    <t>Application Software Security</t>
  </si>
  <si>
    <t>Incident Response and Management</t>
  </si>
  <si>
    <t>Penetration Tests and Red Team Exercises</t>
  </si>
  <si>
    <t>Do you require all remote log-in access to require multi-factor authentication?</t>
  </si>
  <si>
    <t>Including but not limited to VPN, dial-up or any other method that provides access to internal systems.</t>
  </si>
  <si>
    <t>Specifically looking to see if Web, FTP, SSH is inspected and logged on the network.</t>
  </si>
  <si>
    <t>Do you deploy appropriate encryption software to protect enterprise data stored on all mobile devices?</t>
  </si>
  <si>
    <t>Are safeguards in place that ensure any data stored on removable media (i.e. thumb drives, portable hard drives, etc.) is encrypted?</t>
  </si>
  <si>
    <t>Exercises should test communication channels, decision making, and incident responder’s technical capabilities using tools and data available to them.</t>
  </si>
  <si>
    <t>Organizational</t>
  </si>
  <si>
    <t>Disabling these accounts, instead of deleting accounts, allows preservation of audit trails.</t>
  </si>
  <si>
    <t>Do you ensure that all account usernames and authentication credentials are transmitted across networks using encrypted channels?</t>
  </si>
  <si>
    <t>Whenever information is transmitted to a network of lower risk that information should be encrypted.</t>
  </si>
  <si>
    <t>Do you enforce detailed audit logging for access to sensitive data or changes to sensitive data (utilizing tools such as File Integrity Monitoring or Security Information and Event Monitoring)?</t>
  </si>
  <si>
    <t>Do you segment the network based on the label or classification level of the information stored on the servers, locate all sensitive information on separated Virtual Local Area Networks (VLANs).</t>
  </si>
  <si>
    <t>Do you disable wireless access on devices that do not have a business purpose for wireless access?</t>
  </si>
  <si>
    <t>Enterprise access from this network should be treated as untrusted and filtered and audited accordingly.</t>
  </si>
  <si>
    <t>Do you have an inventory of authorized wireless access points connected to the wired network?</t>
  </si>
  <si>
    <t>Total Questions Asked</t>
  </si>
  <si>
    <t>Developers should not have unmonitored access to production environments.</t>
  </si>
  <si>
    <t>This type of information should be included in routine employee awareness activities.</t>
  </si>
  <si>
    <t>This applies to all operating systems (e.g. Windows, Linux, Solaris, etc.), file/folder shares should at a minimum be limited to authenticated users.</t>
  </si>
  <si>
    <t>Do you have a tool or mechanisms in place to detect and alert on unauthorized wireless access points connected to the network?</t>
  </si>
  <si>
    <t>Response Options</t>
  </si>
  <si>
    <t>Control Question</t>
  </si>
  <si>
    <t>CM-8</t>
  </si>
  <si>
    <t>Devices such as mobile phone, tablets, laptops and any other electronic device that has the ability store or process data.</t>
  </si>
  <si>
    <t>RISK STATEMENT</t>
  </si>
  <si>
    <t>System</t>
  </si>
  <si>
    <t>Network</t>
  </si>
  <si>
    <t>Application</t>
  </si>
  <si>
    <t>1.1</t>
  </si>
  <si>
    <t>1.2</t>
  </si>
  <si>
    <t>1.3</t>
  </si>
  <si>
    <t>1.4</t>
  </si>
  <si>
    <t>1.5</t>
  </si>
  <si>
    <t>1.6</t>
  </si>
  <si>
    <t>2.1</t>
  </si>
  <si>
    <t>2.2</t>
  </si>
  <si>
    <t>2.3</t>
  </si>
  <si>
    <t>2.4</t>
  </si>
  <si>
    <t>2.5</t>
  </si>
  <si>
    <t>2.6</t>
  </si>
  <si>
    <t>2.7</t>
  </si>
  <si>
    <t>2.8</t>
  </si>
  <si>
    <t>2.9</t>
  </si>
  <si>
    <t>2.10</t>
  </si>
  <si>
    <t>6.1</t>
  </si>
  <si>
    <t>6.2</t>
  </si>
  <si>
    <t>6.3</t>
  </si>
  <si>
    <t>6.4</t>
  </si>
  <si>
    <t>6.5</t>
  </si>
  <si>
    <t>6.6</t>
  </si>
  <si>
    <t>7.1</t>
  </si>
  <si>
    <t>7.2</t>
  </si>
  <si>
    <t>7.3</t>
  </si>
  <si>
    <t>7.4</t>
  </si>
  <si>
    <t>7.5</t>
  </si>
  <si>
    <t>7.6</t>
  </si>
  <si>
    <t>7.7</t>
  </si>
  <si>
    <t>7.8</t>
  </si>
  <si>
    <t>7.10</t>
  </si>
  <si>
    <t>8.1</t>
  </si>
  <si>
    <t>8.2</t>
  </si>
  <si>
    <t>8.3</t>
  </si>
  <si>
    <t>8.4</t>
  </si>
  <si>
    <t>8.5</t>
  </si>
  <si>
    <t>8.6</t>
  </si>
  <si>
    <t>9.1</t>
  </si>
  <si>
    <t>9.2</t>
  </si>
  <si>
    <t>9.3</t>
  </si>
  <si>
    <t>9.4</t>
  </si>
  <si>
    <t>9.5</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</si>
  <si>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</si>
  <si>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</si>
  <si>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</si>
  <si>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</si>
  <si>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</si>
  <si>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</si>
  <si>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</si>
  <si>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</si>
  <si>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</si>
  <si>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</si>
  <si>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</si>
  <si>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</si>
  <si>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</si>
  <si>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</si>
  <si>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</si>
  <si>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</si>
  <si>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</si>
  <si>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</si>
  <si>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</si>
  <si>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</si>
  <si>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</si>
  <si>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</si>
  <si>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</si>
  <si>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</si>
  <si>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</si>
  <si>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</si>
  <si>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</si>
  <si>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</si>
  <si>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</si>
  <si>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</si>
  <si>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</si>
  <si>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</si>
  <si>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</si>
  <si>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</si>
  <si>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</si>
  <si>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</si>
  <si>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</si>
  <si>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</si>
  <si>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</si>
  <si>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</si>
  <si>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</si>
  <si>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</si>
  <si>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</si>
  <si>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</si>
  <si>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</si>
  <si>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</si>
  <si>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15.10</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</si>
  <si>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</si>
  <si>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</si>
  <si>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</si>
  <si>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</si>
  <si>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</si>
  <si>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</si>
  <si>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</si>
  <si>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</si>
  <si>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</si>
  <si>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</si>
  <si>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</si>
  <si>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</si>
  <si>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</si>
  <si>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</si>
  <si>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</si>
  <si>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</si>
  <si>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</si>
  <si>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</si>
  <si>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</si>
  <si>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</si>
  <si>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</si>
  <si>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</si>
  <si>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</si>
  <si>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18.6</t>
  </si>
  <si>
    <t>18.7</t>
  </si>
  <si>
    <t>18.8</t>
  </si>
  <si>
    <t>18.9</t>
  </si>
  <si>
    <t>18.10</t>
  </si>
  <si>
    <t>19.1</t>
  </si>
  <si>
    <t>19.2</t>
  </si>
  <si>
    <t>19.3</t>
  </si>
  <si>
    <t>19.4</t>
  </si>
  <si>
    <t>19.5</t>
  </si>
  <si>
    <t>19.6</t>
  </si>
  <si>
    <t>19.7</t>
  </si>
  <si>
    <t>20.1</t>
  </si>
  <si>
    <t>20.2</t>
  </si>
  <si>
    <t>20.3</t>
  </si>
  <si>
    <t>20.4</t>
  </si>
  <si>
    <t>20.5</t>
  </si>
  <si>
    <t>20.6</t>
  </si>
  <si>
    <t>20.7</t>
  </si>
  <si>
    <t>20.8</t>
  </si>
  <si>
    <t>Utilize an active discovery tool to identify devices connected to the organization's network and update the hardware asset inventory.</t>
  </si>
  <si>
    <t>Utilize a passive discovery tool to identify devices connected to the organization's network and automatically update the organization's hardware asset inventory.</t>
  </si>
  <si>
    <t>Use Dynamic Host Configuration Protocol (DHCP) logging on all DHCP servers or IP address management tools to update the organization's hardware asset inventory.</t>
  </si>
  <si>
    <t>Maintain an accurate and up-to-date inventory of all technology assets with the potential to store or process information. This inventory shall include all assets, whether connected to the organization's network or not.</t>
  </si>
  <si>
    <t>Ensure that the hardware asset inventory records the network address, hardware address, machine name, data asset owner, and department for each asset and whether the hardware asset has been approved to connect to the network.</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</si>
  <si>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</si>
  <si>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</si>
  <si>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</si>
  <si>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</si>
  <si>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 throughout the organization to automate the documentation of all software on business systems.</t>
  </si>
  <si>
    <t>The software inventory system should track the name, version, publisher, and install date for all software, including operating systems authorized by the organization.</t>
  </si>
  <si>
    <t>The software inventory system should be tied into the hardware asset inventory so all devices and associated software are tracked from a single location.</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</si>
  <si>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</si>
  <si>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</si>
  <si>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</si>
  <si>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*.ps1,*.py, macros, etc.) are allowed to run on a system.</t>
  </si>
  <si>
    <t>Physically or logically segregated systems should be used to isolate and run software that is required for business operations but incurs higher risk for the organization.</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</si>
  <si>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</si>
  <si>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</si>
  <si>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</si>
  <si>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</si>
  <si>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</si>
  <si>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</si>
  <si>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</si>
  <si>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</si>
  <si>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</si>
  <si>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</si>
  <si>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</si>
  <si>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</si>
  <si>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</si>
  <si>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</si>
  <si>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</si>
  <si>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</si>
  <si>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</si>
  <si>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</si>
  <si>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</si>
  <si>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Use at least three synchronized time sources from which all servers and network devices retrieve time information on a regular basis so that timestamps in logs are consistent.</t>
  </si>
  <si>
    <t>Ensure that local logging has been enabled on all systems and networking devices.</t>
  </si>
  <si>
    <t>Enable system logging to include detailed information such as an event source, date, user, timestamp, source addresses, destination addresses, and other useful elements.</t>
  </si>
  <si>
    <t>Ensure that all systems that store logs have adequate storage space for the logs generated.</t>
  </si>
  <si>
    <t>Ensure that appropriate logs are being aggregated to a central log management system for analysis and review.</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</si>
  <si>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</si>
  <si>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</si>
  <si>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</si>
  <si>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Ensure that only fully supported web browsers and email clients are allowed to execute in the organization, ideally only using the latest version of the browsers and email clients provided by the vendor.</t>
  </si>
  <si>
    <t>Uninstall or disable any unauthorized browser or email client plugins or add-on applications.</t>
  </si>
  <si>
    <t>Ensure that only authorized scripting languages are able to run in all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</si>
  <si>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</si>
  <si>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</si>
  <si>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</si>
  <si>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</si>
  <si>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</si>
  <si>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</si>
  <si>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</si>
  <si>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</si>
  <si>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</si>
  <si>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</si>
  <si>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</si>
  <si>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devices to not auto-run content from removable media.</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</si>
  <si>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</si>
  <si>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</si>
  <si>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</si>
  <si>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</si>
  <si>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</si>
  <si>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</si>
  <si>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Apply host-based firewalls or port-filtering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</si>
  <si>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</si>
  <si>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Ensure that all system data is automatically backed up on a regular basis.</t>
  </si>
  <si>
    <t>Ensure that all of the organization's key systems are backed up as a complete system, through processes such as imaging, to enable the quick recovery of an entire system.</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</si>
  <si>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</si>
  <si>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</si>
  <si>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</si>
  <si>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</si>
  <si>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</si>
  <si>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Install the latest stable version of any security-related updates on all network devices.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</si>
  <si>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</si>
  <si>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</si>
  <si>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</si>
  <si>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</si>
  <si>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</si>
  <si>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</si>
  <si>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</si>
  <si>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</si>
  <si>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</si>
  <si>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</si>
  <si>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</si>
  <si>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</si>
  <si>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</si>
  <si>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</si>
  <si>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</si>
  <si>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</si>
  <si>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</si>
  <si>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Deploy an automated tool on network perimeters that monitors for unauthorized transfer of sensitive information and blocks such transfers while alerting information security professionals.</t>
  </si>
  <si>
    <t>Only allow access to authorized cloud storage or email providers.</t>
  </si>
  <si>
    <t>Monitor all traffic leaving the organization and detect any unauthorized use of encryption.</t>
  </si>
  <si>
    <t>Utilize approved cryptographic mechanisms to protect enterprise data stored on all mobile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</si>
  <si>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</si>
  <si>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</si>
  <si>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If USB storage devices are required, all data stored on such devices must be encrypted while at rest.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</si>
  <si>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</si>
  <si>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</si>
  <si>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</si>
  <si>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Encrypt all sensitive information in transit.</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</si>
  <si>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</si>
  <si>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</si>
  <si>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</si>
  <si>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</si>
  <si>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</si>
  <si>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Maintain an inventory of authorized wireless access points connected to the wired network.</t>
  </si>
  <si>
    <t>Configure network vulnerability scanning tools to detect and alert on unauthorized wireless access points connected to the wired network.</t>
  </si>
  <si>
    <t>Use a wireless intrusion detection system (WIDS) to detect and alert on unauthorized wireless access points connected to the network.</t>
  </si>
  <si>
    <t>Disable wireless access on devices that do not have a business purpose for wireless access.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</si>
  <si>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</si>
  <si>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</si>
  <si>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</si>
  <si>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</si>
  <si>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Disable wireless peripheral access of devices [such as Bluetooth and Near Field Communication (NFC)], unless such access is required for a business purpose.</t>
  </si>
  <si>
    <t>Create a separate wireless network for personal or untrusted devices. Enterprise access from this network should be treated as untrusted and filtered and audited accordingly.</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</si>
  <si>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</si>
  <si>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</si>
  <si>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Require multi-factor authentication for all user accounts, on all systems, whether managed on-site or by a third-party provider.</t>
  </si>
  <si>
    <t>Encrypt or hash with a salt all authentication credentials when stored.</t>
  </si>
  <si>
    <t>Ensure that all account usernames and authentication credentials are transmitted across networks using encrypted channels.</t>
  </si>
  <si>
    <t>Maintain an inventory of all accounts organized by authentication system.</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</si>
  <si>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</si>
  <si>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</si>
  <si>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</si>
  <si>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</si>
  <si>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</si>
  <si>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</si>
  <si>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Perform a skills gap analysis to understand the skills and behaviors workforce members are not adhering to, using this information to build a baseline education roadmap.</t>
  </si>
  <si>
    <t>Deliver training to address the skills gap identified to positively impact workforce members' security behavior.</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</si>
  <si>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</si>
  <si>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</si>
  <si>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</si>
  <si>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</si>
  <si>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</si>
  <si>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</si>
  <si>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</si>
  <si>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</si>
  <si>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</si>
  <si>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</si>
  <si>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currently accepted, and extensively reviewed encryption algorithms.</t>
  </si>
  <si>
    <t>Ensure that all software development personnel receive training in writing secure code for their specific development environment and responsibilities.</t>
  </si>
  <si>
    <t>Apply static and dynamic analysis tools to verify that secure coding practices are being adhered to for internally developed software.</t>
  </si>
  <si>
    <t>Establish a process to accept and address reports of software vulnerabilities, including providing a means for external entities to contact your security group.</t>
  </si>
  <si>
    <t>Maintain separate environments for production and non-production systems. Developers should not have unmonitored access to production environments.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</si>
  <si>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</si>
  <si>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</si>
  <si>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</si>
  <si>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</si>
  <si>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</si>
  <si>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</si>
  <si>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</si>
  <si>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</si>
  <si>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</si>
  <si>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</si>
  <si>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</si>
  <si>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</si>
  <si>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</si>
  <si>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</si>
  <si>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</si>
  <si>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</si>
  <si>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</si>
  <si>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 penetration testing should be controlled and monitored to make sure they are only being used for legitimate purposes, and are removed or restored to normal function after testing is over.</t>
  </si>
  <si>
    <t>Security Management Process - Risk Analysis R</t>
  </si>
  <si>
    <t>164.308(a)(1)</t>
  </si>
  <si>
    <t>Security Management Process - Risk Management R</t>
  </si>
  <si>
    <t>Security Management Process - Sanctions Policy R</t>
  </si>
  <si>
    <t>Security Management Process - Information System Activity Review R</t>
  </si>
  <si>
    <t>X</t>
  </si>
  <si>
    <t>Assigned Security Responsibility - R</t>
  </si>
  <si>
    <t>164.308(a)(2)</t>
  </si>
  <si>
    <t>Workforce Security - Authorization and/or Supervision A</t>
  </si>
  <si>
    <t>164.308(a)(3)</t>
  </si>
  <si>
    <t>Workforce Security - Workforce Clearance Procedure A</t>
  </si>
  <si>
    <t>Workforce Security - Termination Procedures A</t>
  </si>
  <si>
    <t>Information Access Management - Isolating Health care Clearinghouse Function R</t>
  </si>
  <si>
    <t>164.308(a)(4)</t>
  </si>
  <si>
    <t>Information Access Management - Access Authorization A</t>
  </si>
  <si>
    <t>Information Access Management - Access Establishment and Modification A</t>
  </si>
  <si>
    <t>Security Awareness and Training - Security Reminders A</t>
  </si>
  <si>
    <t>164.308(a)(5)</t>
  </si>
  <si>
    <t>Security Awareness and Training - Protection from Malicious Software A</t>
  </si>
  <si>
    <t>Security Awareness and Training - Log-in Monitoring A</t>
  </si>
  <si>
    <t>Security Awareness and Training - Password Management A</t>
  </si>
  <si>
    <t>Security Incident Procedures - Response and Reporting R</t>
  </si>
  <si>
    <t>164.308(a)(6)</t>
  </si>
  <si>
    <t>Contingency Plan - Data Backup Plan R</t>
  </si>
  <si>
    <t>164.308(a)(7)</t>
  </si>
  <si>
    <t>Contingency Plan - Disaster Recovery Plan R</t>
  </si>
  <si>
    <t>Contingency Plan - Emergency Mode Operation Plan R</t>
  </si>
  <si>
    <t>Contingency Plan - Testing and Revision Procedure A</t>
  </si>
  <si>
    <t>Contingency Plan - Applications and Data Criticality Analysis A</t>
  </si>
  <si>
    <t>Evaluation R</t>
  </si>
  <si>
    <t>164.308(a)(8)</t>
  </si>
  <si>
    <t>Business Associate Contracts and Other Arrangement - Written Contract or Other Arrangement R</t>
  </si>
  <si>
    <t>164.308(b)(1)</t>
  </si>
  <si>
    <t>Facility Access Controls - Contingency Operations A</t>
  </si>
  <si>
    <t>164.310(a)(1)</t>
  </si>
  <si>
    <t>Facility Access Controls - Facility Security Plan A</t>
  </si>
  <si>
    <t>Facility Access Controls - Access Control and Validation Procedures A</t>
  </si>
  <si>
    <t>Facility Access Controls - Maintenance Records A</t>
  </si>
  <si>
    <t>Workstation Use - R</t>
  </si>
  <si>
    <t>164.310(b)</t>
  </si>
  <si>
    <t>Workstation Security - R</t>
  </si>
  <si>
    <t>164.310(c)</t>
  </si>
  <si>
    <t>Device and Media Controls - Disposal R</t>
  </si>
  <si>
    <t>164.310(d)(1)</t>
  </si>
  <si>
    <t>Device and Media Controls - Media Re-use R</t>
  </si>
  <si>
    <t>Device and Media Controls - Accountability A</t>
  </si>
  <si>
    <t>Device and Media Controls - Data Backup and Storage A</t>
  </si>
  <si>
    <t>Access Control - Unique User Identification R</t>
  </si>
  <si>
    <t>164.312(a)(1)</t>
  </si>
  <si>
    <t>Access Control - Emergency Access Procedure R</t>
  </si>
  <si>
    <t>Access Control - Automatic Logoff A</t>
  </si>
  <si>
    <t>Access Control - Encryption and Decryption A</t>
  </si>
  <si>
    <t>Audit Controls - R</t>
  </si>
  <si>
    <t>164.312(b)</t>
  </si>
  <si>
    <t>Integrity - Mechanism to Authenticate Electronic Protected Health Information A</t>
  </si>
  <si>
    <t>164.312(c)(1)</t>
  </si>
  <si>
    <t>Person or Entity Authentication - R</t>
  </si>
  <si>
    <t>164.312(d)</t>
  </si>
  <si>
    <t>Transmission Security - Integrity Controls A</t>
  </si>
  <si>
    <t>164.312(e)(1)</t>
  </si>
  <si>
    <t>Transmission Security - Encryption A</t>
  </si>
  <si>
    <t>Utilize port level access control, following 802.1x standards, to control which devices can authenticate to the network. The authentication system shall be tied into the hardware asset inventory data to ensure only authorized devices can connect to the ne</t>
  </si>
  <si>
    <t>HIPAA Control Area</t>
  </si>
  <si>
    <t>Utilize an up-to-date Security Content Automation Protocol (SCAP) compliant vulnerability scanning tool to automatically scan all systems on the network on a weekly or more frequent basis to identify all potential vulnerabilities on the organization's sys</t>
  </si>
  <si>
    <t>CFR</t>
  </si>
  <si>
    <t>Ensure administrators use a dedicated machine for all administrative tasks or tasks requiring administrative access. This machine will be segmented from the organization's primary network and not be allowed Internet access. This machine will not be used f</t>
  </si>
  <si>
    <t>Maintain secure images or templates for all systems in the enterprise based on the organization's approved configuration standards. Any new system deployment or existing system that becomes compromised should be imaged using one of those images or templat</t>
  </si>
  <si>
    <t>REQUIRED</t>
  </si>
  <si>
    <t>ADDRESSABLE</t>
  </si>
  <si>
    <t>Enforcement</t>
  </si>
  <si>
    <t>Enforce network-based URL filters that limit a system's ability to connect to websites not approved by the organization. This filtering shall be enforced for each of the organization's systems, whether they are physically at an organization's facilities o</t>
  </si>
  <si>
    <t>To lower the chance of spoofed or modified emails from valid domains, implement Domain-based Message Authentication, Reporting and Conformance (DMARC) policy and verification, starting by implementing the Sender Policy Framework (SPF) and the DomainKeys I</t>
  </si>
  <si>
    <t>Enable anti-exploitation features such as Data Execution Prevention (DEP) and Address Space Layout Randomization (ASLR) that are available in an operating system or deploy appropriate toolkits that can be configured to apply protection to a broader set of</t>
  </si>
  <si>
    <t>All configuration rules that allow traffic to flow through network devices should be documented in a configuration management system with a specific business reason for each rule, a specific individual’s name responsible for that business need, and an exp</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</si>
  <si>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</si>
  <si>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</si>
  <si>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</si>
  <si>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</si>
  <si>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</si>
  <si>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</si>
  <si>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</si>
  <si>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</si>
  <si>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</si>
  <si>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</si>
  <si>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</si>
  <si>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</si>
  <si>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</si>
  <si>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</si>
  <si>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</si>
  <si>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</si>
  <si>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</si>
  <si>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</si>
  <si>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</si>
  <si>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</si>
  <si>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</si>
  <si>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</si>
  <si>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</si>
  <si>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</si>
  <si>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</si>
  <si>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</si>
  <si>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</si>
  <si>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</si>
  <si>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</si>
  <si>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</si>
  <si>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</si>
  <si>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Develop applications based on secure coding guidelines.</t>
  </si>
  <si>
    <t>6.5b</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</si>
  <si>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</si>
  <si>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</si>
  <si>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</si>
  <si>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</si>
  <si>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</si>
  <si>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</si>
  <si>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</si>
  <si>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</si>
  <si>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</si>
  <si>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</si>
  <si>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</si>
  <si>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</si>
  <si>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</si>
  <si>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</si>
  <si>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</si>
  <si>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</si>
  <si>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</si>
  <si>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</si>
  <si>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</si>
  <si>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</si>
  <si>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</si>
  <si>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</si>
  <si>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</si>
  <si>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</si>
  <si>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</si>
  <si>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</si>
  <si>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</si>
  <si>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</si>
  <si>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</si>
  <si>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</si>
  <si>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</si>
  <si>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</si>
  <si>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</si>
  <si>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</si>
  <si>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</si>
  <si>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</si>
  <si>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</si>
  <si>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</si>
  <si>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</si>
  <si>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</si>
  <si>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</si>
  <si>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</si>
  <si>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</si>
  <si>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</si>
  <si>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</si>
  <si>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</si>
  <si>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</si>
  <si>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</si>
  <si>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</si>
  <si>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</si>
  <si>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PCI Control Description</t>
  </si>
  <si>
    <t>Ensure network engineers use a dedicated machine for all administrative tasks or tasks requiring elevated access. This machine shall be segmented from the organization's primary network and not be allowed Internet access. This machine shall not be used fo</t>
  </si>
  <si>
    <t>Remove sensitive data or systems not regularly accessed by the organization from the network. These systems shall only be used as stand-alone systems (disconnected from the network) by the business unit needing to occasionally use the system or completely</t>
  </si>
  <si>
    <t>Inventory of Authorized &amp; Unauthorized Devices</t>
  </si>
  <si>
    <t xml:space="preserve">Inventory of Authorized and Unauthorized Software </t>
  </si>
  <si>
    <t>Secure Configuration for Network Devices, such as Firewalls, Routers and Switches</t>
  </si>
  <si>
    <t xml:space="preserve">Boundary Defense </t>
  </si>
  <si>
    <t xml:space="preserve">Wireless Device Control </t>
  </si>
  <si>
    <t xml:space="preserve">Account Monitoring and Control </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</si>
  <si>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</si>
  <si>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</si>
  <si>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</si>
  <si>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</si>
  <si>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</si>
  <si>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</si>
  <si>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</si>
  <si>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</si>
  <si>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</si>
  <si>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</si>
  <si>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</si>
  <si>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</si>
  <si>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</si>
  <si>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</si>
  <si>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</si>
  <si>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</si>
  <si>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</si>
  <si>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</si>
  <si>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</si>
  <si>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</si>
  <si>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</si>
  <si>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</si>
  <si>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</si>
  <si>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</si>
  <si>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</si>
  <si>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</si>
  <si>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</si>
  <si>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</si>
  <si>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</si>
  <si>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</si>
  <si>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</si>
  <si>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</si>
  <si>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</si>
  <si>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</si>
  <si>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</si>
  <si>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</si>
  <si>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</si>
  <si>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</si>
  <si>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</si>
  <si>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</si>
  <si>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</si>
  <si>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AC-9</t>
  </si>
  <si>
    <t>Previous Logon (Access) Notification</t>
  </si>
  <si>
    <t>P0</t>
  </si>
  <si>
    <t>AC-10</t>
  </si>
  <si>
    <t>Concurrent Session Control</t>
  </si>
  <si>
    <t>AC-11</t>
  </si>
  <si>
    <t>Session Lock</t>
  </si>
  <si>
    <t>P3</t>
  </si>
  <si>
    <t>AC-12</t>
  </si>
  <si>
    <t>Session Termination</t>
  </si>
  <si>
    <t>AC-13</t>
  </si>
  <si>
    <t>Withdrawn</t>
  </si>
  <si>
    <t>---</t>
  </si>
  <si>
    <t>AC-14</t>
  </si>
  <si>
    <t>Permitted Actions without Identification or Authentication</t>
  </si>
  <si>
    <t>AC-15</t>
  </si>
  <si>
    <t>AC-16</t>
  </si>
  <si>
    <t>Security Attributes</t>
  </si>
  <si>
    <t>AC-17</t>
  </si>
  <si>
    <t>Remote Access</t>
  </si>
  <si>
    <t>AC-18</t>
  </si>
  <si>
    <t>Wireless Access</t>
  </si>
  <si>
    <t>AC-19</t>
  </si>
  <si>
    <t>Access Control for Mobile Devices</t>
  </si>
  <si>
    <t>AC-20</t>
  </si>
  <si>
    <t>Use of External Information Systems</t>
  </si>
  <si>
    <t>AC-21</t>
  </si>
  <si>
    <t>Information Sharing</t>
  </si>
  <si>
    <t>AC-22</t>
  </si>
  <si>
    <t>Publicly Accessible Content</t>
  </si>
  <si>
    <t>AC-23</t>
  </si>
  <si>
    <t>Data Mining Protection</t>
  </si>
  <si>
    <t>AC-24</t>
  </si>
  <si>
    <t>Access Control Decisions</t>
  </si>
  <si>
    <t>AC-25</t>
  </si>
  <si>
    <t>Reference Monitor</t>
  </si>
  <si>
    <t>AT-1</t>
  </si>
  <si>
    <t>Security Awareness and Training Policy and Procedures</t>
  </si>
  <si>
    <t>AT-2</t>
  </si>
  <si>
    <t>Security Awareness Training</t>
  </si>
  <si>
    <t>AT-3</t>
  </si>
  <si>
    <t>Role-Based Security Training</t>
  </si>
  <si>
    <t>AT-4</t>
  </si>
  <si>
    <t>Security Training Records</t>
  </si>
  <si>
    <t>AT-5</t>
  </si>
  <si>
    <t>AU-1</t>
  </si>
  <si>
    <t>Audit and Accountability Policy and Procedures</t>
  </si>
  <si>
    <t>AU-2</t>
  </si>
  <si>
    <t>Audit Events</t>
  </si>
  <si>
    <t>AU-3</t>
  </si>
  <si>
    <t>Content of Audit Records</t>
  </si>
  <si>
    <t>AU-4</t>
  </si>
  <si>
    <t>Audit Storage Capacity</t>
  </si>
  <si>
    <t>AU-5</t>
  </si>
  <si>
    <t>Response to Audit Processing Failures</t>
  </si>
  <si>
    <t>AU-6</t>
  </si>
  <si>
    <t>Audit Review, Analysis, and Reporting</t>
  </si>
  <si>
    <t>AU-7</t>
  </si>
  <si>
    <t>Audit Reduction and Report Generation</t>
  </si>
  <si>
    <t>AU-8</t>
  </si>
  <si>
    <t>Time Stamps</t>
  </si>
  <si>
    <t>AU-9</t>
  </si>
  <si>
    <t>Protection of Audit Information</t>
  </si>
  <si>
    <t>AU-10</t>
  </si>
  <si>
    <t>Non-repudiation</t>
  </si>
  <si>
    <t>AU-11</t>
  </si>
  <si>
    <t>Audit Record Retention</t>
  </si>
  <si>
    <t>AU-12</t>
  </si>
  <si>
    <t>Audit Generation</t>
  </si>
  <si>
    <t>AU-13</t>
  </si>
  <si>
    <t>Monitoring for Information Disclosure</t>
  </si>
  <si>
    <t>AU-14</t>
  </si>
  <si>
    <t>Session Audit</t>
  </si>
  <si>
    <t>AU-15</t>
  </si>
  <si>
    <t>Alternate Audit Capability</t>
  </si>
  <si>
    <t>AU-16</t>
  </si>
  <si>
    <t>Cross-Organizational Auditing</t>
  </si>
  <si>
    <t>CA-1</t>
  </si>
  <si>
    <t>Security Assessment and Authorization Policies and Procedures</t>
  </si>
  <si>
    <t>CA-2</t>
  </si>
  <si>
    <t>Security Assessments</t>
  </si>
  <si>
    <t>CA-3</t>
  </si>
  <si>
    <t>System Interconnections</t>
  </si>
  <si>
    <t>CA-4</t>
  </si>
  <si>
    <t>CA-5</t>
  </si>
  <si>
    <t>Plan of Action and Milestones</t>
  </si>
  <si>
    <t>CA-6</t>
  </si>
  <si>
    <t>Security Authorization</t>
  </si>
  <si>
    <t>CA-7</t>
  </si>
  <si>
    <t>Continuous Monitoring</t>
  </si>
  <si>
    <t>CA-8</t>
  </si>
  <si>
    <t>Penetration Testing</t>
  </si>
  <si>
    <t>CA-9</t>
  </si>
  <si>
    <t>Internal System Connections</t>
  </si>
  <si>
    <t>CM-1</t>
  </si>
  <si>
    <t>Configuration Management Policy and Procedures</t>
  </si>
  <si>
    <t>CM-2</t>
  </si>
  <si>
    <t>Baseline Configuration</t>
  </si>
  <si>
    <t>CM-3</t>
  </si>
  <si>
    <t>Configuration Change Control</t>
  </si>
  <si>
    <t>CM-4</t>
  </si>
  <si>
    <t>Security Impact Analysis</t>
  </si>
  <si>
    <t>CM-5</t>
  </si>
  <si>
    <t>Access Restrictions for Change</t>
  </si>
  <si>
    <t>CM-6</t>
  </si>
  <si>
    <t>Configuration Settings</t>
  </si>
  <si>
    <t>CM-7</t>
  </si>
  <si>
    <t>Least Functionality</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</si>
  <si>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</si>
  <si>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</si>
  <si>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</si>
  <si>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</si>
  <si>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</si>
  <si>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</si>
  <si>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</si>
  <si>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</si>
  <si>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</si>
  <si>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</si>
  <si>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</si>
  <si>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</si>
  <si>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</si>
  <si>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CP-4</t>
  </si>
  <si>
    <t>Contingency Plan Testing</t>
  </si>
  <si>
    <t>CP-5</t>
  </si>
  <si>
    <t>CP-6</t>
  </si>
  <si>
    <t>Alternate Storage Site</t>
  </si>
  <si>
    <t>CP-7</t>
  </si>
  <si>
    <t>Alternate Processing Site</t>
  </si>
  <si>
    <t>CP-8</t>
  </si>
  <si>
    <t>Telecommunications Services</t>
  </si>
  <si>
    <t>CP-9</t>
  </si>
  <si>
    <t>Information System Backup</t>
  </si>
  <si>
    <t>CP-10</t>
  </si>
  <si>
    <t>Information System Recovery and Reconstitution</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</si>
  <si>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</si>
  <si>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</si>
  <si>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</si>
  <si>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</si>
  <si>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</si>
  <si>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</si>
  <si>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</si>
  <si>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</si>
  <si>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</si>
  <si>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</si>
  <si>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</si>
  <si>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</si>
  <si>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</si>
  <si>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</si>
  <si>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</si>
  <si>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</si>
  <si>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</si>
  <si>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</si>
  <si>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</si>
  <si>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</si>
  <si>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</si>
  <si>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 Organizational Users)</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</si>
  <si>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</si>
  <si>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</si>
  <si>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</si>
  <si>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</si>
  <si>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</si>
  <si>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</si>
  <si>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</si>
  <si>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</si>
  <si>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</si>
  <si>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</si>
  <si>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</si>
  <si>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</si>
  <si>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</si>
  <si>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</si>
  <si>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</si>
  <si>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</si>
  <si>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</si>
  <si>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</si>
  <si>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</si>
  <si>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</si>
  <si>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</si>
  <si>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</si>
  <si>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</si>
  <si>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</si>
  <si>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</si>
  <si>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</si>
  <si>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MA-1</t>
  </si>
  <si>
    <t>System Maintenance Policy and Procedures</t>
  </si>
  <si>
    <t>MA-2</t>
  </si>
  <si>
    <t>Controlled Maintenance</t>
  </si>
  <si>
    <t>MA-3</t>
  </si>
  <si>
    <t>Maintenance Tools</t>
  </si>
  <si>
    <t>MA-4</t>
  </si>
  <si>
    <t>Nonlocal Maintenance</t>
  </si>
  <si>
    <t>MA-5</t>
  </si>
  <si>
    <t>Maintenance Personnel</t>
  </si>
  <si>
    <t>MA-6</t>
  </si>
  <si>
    <t>Timely Maintenance</t>
  </si>
  <si>
    <t>MP-1</t>
  </si>
  <si>
    <t>Media Protection Policy and Procedures</t>
  </si>
  <si>
    <t>MP-2</t>
  </si>
  <si>
    <t>Media Access</t>
  </si>
  <si>
    <t>MP-3</t>
  </si>
  <si>
    <t>Media Marking</t>
  </si>
  <si>
    <t>MP-4</t>
  </si>
  <si>
    <t>Media Storage</t>
  </si>
  <si>
    <t>MP-5</t>
  </si>
  <si>
    <t>Media Transport</t>
  </si>
  <si>
    <t>MP-6</t>
  </si>
  <si>
    <t>Media Sanitization</t>
  </si>
  <si>
    <t>MP-7</t>
  </si>
  <si>
    <t>Media Use</t>
  </si>
  <si>
    <t>MP-8</t>
  </si>
  <si>
    <t>Media Downgrading</t>
  </si>
  <si>
    <t>PE-1</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</si>
  <si>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</si>
  <si>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</si>
  <si>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</si>
  <si>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</si>
  <si>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</si>
  <si>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</si>
  <si>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</si>
  <si>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</si>
  <si>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</si>
  <si>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</si>
  <si>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</si>
  <si>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PE-7</t>
  </si>
  <si>
    <t>PE-8</t>
  </si>
  <si>
    <t>Visitor Access Records</t>
  </si>
  <si>
    <t>PE-9</t>
  </si>
  <si>
    <t>Power Equipment and Cabling</t>
  </si>
  <si>
    <t>PE-10</t>
  </si>
  <si>
    <t>Emergency Shutoff</t>
  </si>
  <si>
    <t>PE-11</t>
  </si>
  <si>
    <t>Emergency Power</t>
  </si>
  <si>
    <t>PE-12</t>
  </si>
  <si>
    <t>Emergency Lighting</t>
  </si>
  <si>
    <t>PE-13</t>
  </si>
  <si>
    <t>Fire Protection</t>
  </si>
  <si>
    <t>PE-14</t>
  </si>
  <si>
    <t>Temperature and Humidity Controls</t>
  </si>
  <si>
    <t>PE-15</t>
  </si>
  <si>
    <t>Water Damage Protection</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</si>
  <si>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</si>
  <si>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</si>
  <si>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</si>
  <si>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</si>
  <si>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</si>
  <si>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</si>
  <si>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</si>
  <si>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</si>
  <si>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</si>
  <si>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</si>
  <si>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</si>
  <si>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</si>
  <si>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</si>
  <si>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</si>
  <si>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PL-3</t>
  </si>
  <si>
    <t>PL-4</t>
  </si>
  <si>
    <t>Rules of Behavior</t>
  </si>
  <si>
    <t>PL-5</t>
  </si>
  <si>
    <t>PL-6</t>
  </si>
  <si>
    <t>PL-7</t>
  </si>
  <si>
    <t>Security Concept of Operations</t>
  </si>
  <si>
    <t>PL-8</t>
  </si>
  <si>
    <t>Information Security Architecture</t>
  </si>
  <si>
    <t>PL-9</t>
  </si>
  <si>
    <t>Central Management</t>
  </si>
  <si>
    <t>PS-1</t>
  </si>
  <si>
    <t>Personnel Security Policy and Procedures</t>
  </si>
  <si>
    <t>PS-2</t>
  </si>
  <si>
    <t>Position Risk Designation</t>
  </si>
  <si>
    <t>PS-3</t>
  </si>
  <si>
    <t>Personnel Screening</t>
  </si>
  <si>
    <t>PS-4</t>
  </si>
  <si>
    <t>Personnel Termination</t>
  </si>
  <si>
    <t>PS-5</t>
  </si>
  <si>
    <t>Personnel Transfer</t>
  </si>
  <si>
    <t>PS-6</t>
  </si>
  <si>
    <t>Access Agreements</t>
  </si>
  <si>
    <t>PS-7</t>
  </si>
  <si>
    <t>Third-Party Personnel Security</t>
  </si>
  <si>
    <t>PS-8</t>
  </si>
  <si>
    <t>Personnel Sanctions</t>
  </si>
  <si>
    <t>Risk Assessment</t>
  </si>
  <si>
    <t>RA-1</t>
  </si>
  <si>
    <t>Risk Assessment Policy and Procedures</t>
  </si>
  <si>
    <t>RA-2</t>
  </si>
  <si>
    <t>Security Categorization</t>
  </si>
  <si>
    <t>RA-3</t>
  </si>
  <si>
    <t>RA-4</t>
  </si>
  <si>
    <t>RA-5</t>
  </si>
  <si>
    <t>Vulnerability Scanning</t>
  </si>
  <si>
    <t>RA-6</t>
  </si>
  <si>
    <t>Technical Surveillance Countermeasures Survey</t>
  </si>
  <si>
    <t>SA-1</t>
  </si>
  <si>
    <t>System and Services Acquisition Policy and Procedures</t>
  </si>
  <si>
    <t>SA-2</t>
  </si>
  <si>
    <t>Allocation of Resources</t>
  </si>
  <si>
    <t>SA-3</t>
  </si>
  <si>
    <t>System Development Life Cycle</t>
  </si>
  <si>
    <t>SA-4</t>
  </si>
  <si>
    <t>Acquisition Process</t>
  </si>
  <si>
    <t>SA-5</t>
  </si>
  <si>
    <t>Information System Documentation</t>
  </si>
  <si>
    <t>SA-6</t>
  </si>
  <si>
    <t>SA-7</t>
  </si>
  <si>
    <t>SA-8</t>
  </si>
  <si>
    <t>Security Engineering Principles</t>
  </si>
  <si>
    <t>SA-9</t>
  </si>
  <si>
    <t>External Information System Services</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</si>
  <si>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</si>
  <si>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</si>
  <si>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</si>
  <si>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</si>
  <si>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</si>
  <si>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</si>
  <si>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</si>
  <si>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</si>
  <si>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</si>
  <si>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</si>
  <si>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</si>
  <si>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</si>
  <si>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</si>
  <si>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</si>
  <si>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</si>
  <si>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</si>
  <si>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</si>
  <si>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</si>
  <si>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</si>
  <si>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</si>
  <si>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</si>
  <si>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</si>
  <si>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</si>
  <si>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</si>
  <si>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</si>
  <si>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</si>
  <si>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</si>
  <si>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</si>
  <si>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</si>
  <si>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</si>
  <si>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</si>
  <si>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</si>
  <si>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</si>
  <si>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</si>
  <si>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</si>
  <si>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</si>
  <si>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</si>
  <si>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</si>
  <si>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</si>
  <si>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</si>
  <si>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SC-8</t>
  </si>
  <si>
    <t>Transmission Confidentiality and Integrity</t>
  </si>
  <si>
    <t>SC-9</t>
  </si>
  <si>
    <t>SC-10</t>
  </si>
  <si>
    <t>Network Disconnect</t>
  </si>
  <si>
    <t>SC-11</t>
  </si>
  <si>
    <t>Trusted Path</t>
  </si>
  <si>
    <t>SC-12</t>
  </si>
  <si>
    <t>Cryptographic Key Establishment and Management</t>
  </si>
  <si>
    <t>SC-13</t>
  </si>
  <si>
    <t>Cryptographic Protection</t>
  </si>
  <si>
    <t>SC-14</t>
  </si>
  <si>
    <t>SC-15</t>
  </si>
  <si>
    <t>Collaborative Computing Devices</t>
  </si>
  <si>
    <t>SC-16</t>
  </si>
  <si>
    <t>Transmission of Security Attributes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</si>
  <si>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</si>
  <si>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</si>
  <si>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</si>
  <si>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</si>
  <si>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</si>
  <si>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</si>
  <si>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</si>
  <si>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</si>
  <si>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</si>
  <si>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</si>
  <si>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</si>
  <si>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</si>
  <si>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</si>
  <si>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</si>
  <si>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</si>
  <si>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</si>
  <si>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</si>
  <si>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</si>
  <si>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</si>
  <si>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</si>
  <si>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</si>
  <si>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</si>
  <si>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</si>
  <si>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</si>
  <si>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</si>
  <si>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</si>
  <si>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</si>
  <si>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</si>
  <si>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</si>
  <si>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</si>
  <si>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</si>
  <si>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</si>
  <si>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</si>
  <si>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</si>
  <si>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</si>
  <si>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</si>
  <si>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</si>
  <si>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</si>
  <si>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</si>
  <si>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</si>
  <si>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</si>
  <si>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</si>
  <si>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</si>
  <si>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</si>
  <si>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</si>
  <si>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</si>
  <si>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</si>
  <si>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</si>
  <si>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</si>
  <si>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</si>
  <si>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</si>
  <si>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</si>
  <si>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</si>
  <si>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</si>
  <si>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</si>
  <si>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</si>
  <si>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</si>
  <si>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</si>
  <si>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</si>
  <si>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SI-3</t>
  </si>
  <si>
    <t>Malicious Code Protection</t>
  </si>
  <si>
    <t>SI-4</t>
  </si>
  <si>
    <t>Information System Monitoring</t>
  </si>
  <si>
    <t>SI-5</t>
  </si>
  <si>
    <t>Security Alerts, Advisories, and Directives</t>
  </si>
  <si>
    <t>SI-6</t>
  </si>
  <si>
    <t>Security Function Verification</t>
  </si>
  <si>
    <t>SI-7</t>
  </si>
  <si>
    <t>Software, Firmware, and Information Integrity</t>
  </si>
  <si>
    <t>SI-8</t>
  </si>
  <si>
    <t>Spam Protection</t>
  </si>
  <si>
    <t>SI-9</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</si>
  <si>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</si>
  <si>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</si>
  <si>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</si>
  <si>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</si>
  <si>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</si>
  <si>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</si>
  <si>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</si>
  <si>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</si>
  <si>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</si>
  <si>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</si>
  <si>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</si>
  <si>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</si>
  <si>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</si>
  <si>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</si>
  <si>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</si>
  <si>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</si>
  <si>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</si>
  <si>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</si>
  <si>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</si>
  <si>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</si>
  <si>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</si>
  <si>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</si>
  <si>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</si>
  <si>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</si>
  <si>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</si>
  <si>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</si>
  <si>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</si>
  <si>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</si>
  <si>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</si>
  <si>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</si>
  <si>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</si>
  <si>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</si>
  <si>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</si>
  <si>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</si>
  <si>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</si>
  <si>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</si>
  <si>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</si>
  <si>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</si>
  <si>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</si>
  <si>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Isider Threat Program</t>
  </si>
  <si>
    <t>PM-13</t>
  </si>
  <si>
    <t>Information Security Workforce</t>
  </si>
  <si>
    <t>PM-14</t>
  </si>
  <si>
    <t>Testing, Training, &amp; Monitoring</t>
  </si>
  <si>
    <t>PM-15</t>
  </si>
  <si>
    <t>Contacts with Security Groups and Associations</t>
  </si>
  <si>
    <t>PM-16</t>
  </si>
  <si>
    <t>Threat Awareness Program</t>
  </si>
  <si>
    <t>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t>
  </si>
  <si>
    <t>164.310(b): Workstations Use
164.310(c): Workstation Security</t>
  </si>
  <si>
    <t>164.308(a)(1): Security Management Process - Information System Activity Review
164.308(a)(5): Security Awareness &amp; Training - Login Monitoring</t>
  </si>
  <si>
    <t xml:space="preserve">164.308(a)(7): Contingency Plan - Data Backup Plan
164.308(a)(7): Contingency Plan - Disaster Recovery Plan
164.308(a)(7): Contingency Plan - Testing &amp; Revision Procedure
164.310(d)(1): Device &amp; Media Controls - Data Backup &amp; Storage
</t>
  </si>
  <si>
    <t>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t>
  </si>
  <si>
    <t>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t>
  </si>
  <si>
    <t>164.308(a)(5): Security Awareness and Training - Security Reminders
164.308(a)(5): Security Awareness and Training - Protection from Malicious Software
164.308(a)(5): Security Awareness and Training - Log-in Monitoring
164.308(a)(5): Security Awareness and Training - Password Management</t>
  </si>
  <si>
    <t>164.308(a)(6): Security Incident Procedures - Response and Reporting</t>
  </si>
  <si>
    <t>PCI Reference</t>
  </si>
  <si>
    <t>Automated tools should be available to actively scan the internal environment, while DHS and MS-ISAC services can assist organizations with scanning their externally facing assets.</t>
  </si>
  <si>
    <t>This inventory shall include all assets, whether connected to the organization's network or not?</t>
  </si>
  <si>
    <t>Utilize an active discovery tool to identify all sensitive information stored, processed, or transmitted by the organization's technology systems, including those located on-site or at a remote service provider, and update the organization's sensitive inf</t>
  </si>
  <si>
    <t>Does the asset inventory include the hardware address, machine name, data asset owner, and department for each asset and whether the hardware asset has been approved to connect to the network.</t>
  </si>
  <si>
    <t>Protect all information stored on systems with file system, network share, claims, application, or database specific access control lists. These controls will enforce the principle that only authorized individuals should have access to the information bas</t>
  </si>
  <si>
    <t>Do you ensure that unauthorized assets are either removed from the network, quarantined or the inventory is updated in a timely manner?</t>
  </si>
  <si>
    <t>Establish and follow an automated process for revoking system access by disabling accounts immediately upon termination or change of responsibilities of an employee or contractor. Disabling these accounts, instead of deleting accounts, allows preservation</t>
  </si>
  <si>
    <t>Do you use utilize port level access control, following 802.1x standards, to control which devices can authenticate to the network?</t>
  </si>
  <si>
    <t>Create a security awareness program for all workforce members to complete on a regular basis to ensure they understand and exhibit the necessary behaviors and skills to help ensure the security of the organization. The organization's security awareness pr</t>
  </si>
  <si>
    <t>Protect web applications by deploying web application firewalls (WAFs) that inspect all traffic flowing to the web application for common web application attacks. For applications that are not web-based, specific application firewalls should be deployed i</t>
  </si>
  <si>
    <t>Do you maintain an up-to-date list of all authorized software that is required in the enterprise for any business purpose on any business system?</t>
  </si>
  <si>
    <t>Devise organization-wide standards for the time required for system administrators and other workforce members to report anomalous events to the incident handling team, the mechanisms for such reporting, and the kind of information that should be included</t>
  </si>
  <si>
    <t>Does the software inventory system track the name, version, publisher, and install date for all software, including operating systems authorized by the organization.?</t>
  </si>
  <si>
    <t>Plan and conduct routine incident response exercises and scenarios for the workforce involved in the incident response to maintain awareness and comfort in responding to real-world threats. Exercises should test communication channels, decision making, an</t>
  </si>
  <si>
    <t>Do you ensure that only software applications or operating systems currently supported and receiving vendor updates are added to the organization's authorized software inventory?</t>
  </si>
  <si>
    <t>Include tests for the presence of unprotected system information and artifacts that would be useful to attackers, including network diagrams, configuration files, older penetration test reports, emails or documents containing passwords or other informatio</t>
  </si>
  <si>
    <t>Create a test bed that mimics a production environment for specific penetration tests and Red Team attacks against elements that are not typically tested in production, such as attacks against supervisory control and data acquisition and other control sys</t>
  </si>
  <si>
    <t>Do you ensure that unauthorized software is either removed or the inventory is updated in a timely manner?</t>
  </si>
  <si>
    <t>Are the vulnerability scans conducted in authenticated mode where elevated rights are used to scan each system?</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</si>
  <si>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</si>
  <si>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</si>
  <si>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do you change all default passwords to have values consistent with administrative level accounts?</t>
  </si>
  <si>
    <t>Do you have an automated tool or process that inventories all administrative accounts, including domain and local accounts, to ensure that only authorized individuals have elevated privileges?</t>
  </si>
  <si>
    <t>Do you require that all users with administrative account access have a dedicated or secondary account for elevated activities?</t>
  </si>
  <si>
    <t>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</si>
  <si>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</si>
  <si>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Do you limit access to scripting tools (such as Microsoft PowerShell and Python) to only administrative or development users with the need to access those capabilities?</t>
  </si>
  <si>
    <t>Compare all network device configurations against approved security configurations defined for each network device in use, and alert when any deviations are discovered?</t>
  </si>
  <si>
    <t>Are all configuration rules that allow traffic to flow through network devices documented in a configuration management system with a specific business reason for each rule?</t>
  </si>
  <si>
    <t>Inaccurate or improper inventory of
authorized and unauthorized devices could result in a data breach.</t>
  </si>
  <si>
    <t>Do you maintain documented security configuration standards for all authorized operating systems and software?</t>
  </si>
  <si>
    <t>Do you maintain secure images or templates for all systems in the enterprise based on the organization's approved configuration standards?</t>
  </si>
  <si>
    <t>Do you store the master images and templates on securely configured servers, validated with integrity monitoring tools, to ensure that only authorized changes to the images are possible?</t>
  </si>
  <si>
    <t>Do you have a system configuration management tool or process that will detect system drift from the secure "master" image?</t>
  </si>
  <si>
    <t>Do all systems that store logs have adequate storage space for the logs generated?</t>
  </si>
  <si>
    <t>On a regular basis, is there a review of the logs to identify anomalies or abnormal events?</t>
  </si>
  <si>
    <t>Do you have a network-based URL filter that limit a system's ability to connect to websites not approved by the organization?</t>
  </si>
  <si>
    <t>Do you log all URL requests from each of the organization's systems, whether on-site or a mobile device, in order to identify potentially malicious activity and assist incident handlers with identifying potentially compromised systems?</t>
  </si>
  <si>
    <t>Are devices configured to automatically conduct anti-malware scan of removable media when inserted or connected?</t>
  </si>
  <si>
    <t>Is the Auto-Run feature disabled for all portable media (USB, CD/DVD’s, etc.) on systems?</t>
  </si>
  <si>
    <t>Are data integrity tests completed on backup media on a regular basis by performing a data restoration process to ensure that the backup is properly working?</t>
  </si>
  <si>
    <t>Are backups properly protected via physical security or encryption when they are stored, as well as when they are moved across the network?</t>
  </si>
  <si>
    <t>End-users may be victims of phishing over personal email services that they can access from offices and on work computers.</t>
  </si>
  <si>
    <t>Laptops and mobile devices bypass the proxy server when used outside of the LAN. Ransomware may attack systems when they are out of the office LAN.</t>
  </si>
  <si>
    <t>All Internet traffic for systems within corporate LANs and DMZ have URLs filtered against a subscription service that blocks sessions with known-bad hosts, and blocks URLs not categorized as safe by that service.</t>
  </si>
  <si>
    <t>Signature-based anti-virus on each system. Filtering of suspicious web URLs using a dictionary that is updated monthly.</t>
  </si>
  <si>
    <t>Social engineering tests show that personnel are still susceptible to being fooled into acting on content presented in phishing emails.</t>
  </si>
  <si>
    <t>Personnel have been trained to be careful not to respond to phishing emails, or to click on content provided in emails if those messages are sent outside of normal process.</t>
  </si>
  <si>
    <t>CONTROL GUIDANCE</t>
  </si>
  <si>
    <t>Why is this important?</t>
  </si>
  <si>
    <t>Attackers are continuously scanning the address space of organizations, waiting for new and unprotected systems to be attached to the network. This control is especially critical for organizations that allow BYOD, since hackers are specifically looking for devices that come and go off of the enterprise’s network.</t>
  </si>
  <si>
    <t>Attackers look for vulnerable versions of software that can be remotely exploited. They can distribute hostile web pages, media files and other content, or use zero-day exploits that take advantage of unknown vulnerabilities. Therefore, proper knowledge of what software has been deployed in your organization is essential for data security and privacy.</t>
  </si>
  <si>
    <t>Manufacturers and resellers design the default configurations of operating systems and applications for ease of deployment and use, not strong security. Open services and ports, as well as default accounts or passwords, can be exploitable in their default state, so companies have to develop configuration settings with good security properties.</t>
  </si>
  <si>
    <t>As soon as researchers report new vulnerabilities, a race starts among all relevant parties:  Culprits strive to use the vulnerability for an attack, vendors deploy patches or updates, and defenders start performing risk assessments or regression testing. Attackers have access to the same information everyone else, and can take advantage of gaps between the appearance of new knowledge and remediation.</t>
  </si>
  <si>
    <t>The misuse of administrative privileges is a primary method for attackers to spread inside an enterprise. To gain administrative credentials, they can use phishing techniques, crack or guess the password for an administrative user, or elevate the privileges of a normal user account into an administrative account. If organizations do not have resources to monitor what’s going on in their IT environments, it is easier for attackers to gain full control of their systems.</t>
  </si>
  <si>
    <t>Lack of security logging and analysis enables attackers to hide their location and activities in the network. Even if the victim organization knows which systems have been compromised, without complete logging records, it will be difficult for them to understand what an attacker has done so far and respond effectively to the security incident.</t>
  </si>
  <si>
    <t>Web browsers and email clients are very common points of entry for hackers because of their high technical complexity and flexibility. They can create content and spoof users into taking actions that can introduce malicious code and lead to loss of valuable data.</t>
  </si>
  <si>
    <t>Modern malware can be fast-moving and fast-changing, and it can enter through any number of points. Therefore, malware defenses must be able to operate in this dynamic environment through large-scale automation, updating and integration with processes like incident response.</t>
  </si>
  <si>
    <t>Attackers search for remotely accessible network services that are vulnerable for exploitation. Common examples include poorly configured web servers, mail servers, and file and print services, as well as domain name system (DNS) servers that are installed by default on a variety of devices. Therefore, it is critical to make sure that only ports, protocols, and services with a validated business need are running on each system.</t>
  </si>
  <si>
    <t>Attackers often make significant changes to data, configurations and software. Without reliable backup and recovery, it is difficult for organizations to recover from an attack.</t>
  </si>
  <si>
    <t>Just as with operating systems and applications (see Critical Security Control 3), the default configurations for network infrastructure devices are geared for ease of deployment, not security. In addition, network devices often become less securely configured over time. Attackers exploit these configuration flaws to gain access to networks or use a compromised machine to pose as a trusted system.</t>
  </si>
  <si>
    <t>Culprits often use configuration and architectural weaknesses on perimeter systems, network devices and internet-accessing client machines to gain initial access into an organization’s network.</t>
  </si>
  <si>
    <t>While many data leaks are deliberate theft, other instances of data loss or damage are the result of poor security practices or human errors. To minimize these risks, organizations need to implement solutions that can help detect data exfiltration and mitigate the effects of data compromise.</t>
  </si>
  <si>
    <t>Some organizations do not carefully identify and separate their most critical assets from less sensitive data, and users have access to more sensitive data than they need to do their jobs. As a result, it is easier for a malicious insider — or an attacker or malware that takes over their account — to steal important information or disrupt operations.</t>
  </si>
  <si>
    <t>Wireless devices are a convenient vector for attackers to maintain long-term access into the IT environment, since they do not require direct physical connection. For example, wireless clients used by employees as they travel are infected on a regular basis and later used as back doors when they are reconnected to the organization’s network.</t>
  </si>
  <si>
    <t>Attackers frequently exploit inactive user accounts to gain legitimate access to an organization’s systems and data, which makes detection of the attack more difficult.</t>
  </si>
  <si>
    <t>It is tempting to think of cyber defense as primarily a technical challenge. However, employee actions are also critical to the success of a security program. Attackers often use the human factor to plan exploitations, for example, by carefully crafting phishing messages that look like normal emails, or working within the time window of patching or log review.</t>
  </si>
  <si>
    <t>Attackers often take advantage of vulnerabilities in web-based applications and other software. They can inject specific exploits, including buffer overflows, SQL injection attacks, cross-site scripting and click-jacking of code, to gain control over vulnerable machines.</t>
  </si>
  <si>
    <t>Security incidents are now a normal part of our daily life. Even large and well-funded enterprises struggle to keep up with the evolving cyber threat landscape. Sadly, in most cases, the chance of a successful cyber attack is not “if” but “when.” Without an incident response plan, an organization may not discover an attack until it inflicts serious harm, or be able to eradicate the attacker’s presence and restore the integrity of the network and systems.</t>
  </si>
  <si>
    <t>Attackers can exploit the gap between good defensive intentions and their implementation, such as the time window between the announcement of a vulnerability, the availability of a vendor patch and patch installation. In a complex environment where technology is constantly evolving, organizations should periodically test their defenses to identify gaps and fix them before an attack occurs.</t>
  </si>
  <si>
    <t>Configuration standards do not exist for systems being implemented.</t>
  </si>
  <si>
    <t>Unauthorized tampering of system and/or configuration files is undetected due to the absence of file integrity mechanisms.</t>
  </si>
  <si>
    <t>Changes to the production environment are not operating as expected and may disrupt the production environment.</t>
  </si>
  <si>
    <t>Changes to the production environment that are inadequately tested disrupt production environment. Management does not approve changes to the operating environment prior to implementation into production.</t>
  </si>
  <si>
    <t>Changes to systems and applications are executed inconsistently in the production environment due to ill-defined procedures.</t>
  </si>
  <si>
    <t>Information and assets associated with information processing facilities are not owned by a designated part of the organization.</t>
  </si>
  <si>
    <t>Inaccurate or improper inventory of
authorized and unauthorized software could result in a data breach.</t>
  </si>
  <si>
    <t>Weaknesses or gaps in a security program can be exploited by threats to gain unauthorized access to the network.</t>
  </si>
  <si>
    <t xml:space="preserve">Failure to identify recognized threats and determine their probability may find technical teams remediating the wrong asset/s based on risk exposure. </t>
  </si>
  <si>
    <t>Programming errors or misconfiguration leads to vulnerabilities that can be exploited.</t>
  </si>
  <si>
    <t>Unauthorized parties gain access to resources by exploiting vulnerabilities in unsecured wireless networks.</t>
  </si>
  <si>
    <t>Identified risks are not accepted, mitigated or responded to with actionable plans and decisions.</t>
  </si>
  <si>
    <t>The lack of processes for system maintenance and support may result in compromise of system security due to latest updates not being made to systems in a timely manner.</t>
  </si>
  <si>
    <t>Applications and technology solutions are not effectively and efficiently used since a training curriculum for employees has not been established or regularly updated.</t>
  </si>
  <si>
    <t>Employees, contractors or third party users breach security because they are not aware or trained on information security requirements.</t>
  </si>
  <si>
    <t>Failure to conduct suitable and relevant security training, and to publish notifications to enhance awareness of organizational policies and procedures may expose the operational environment to potential security breach by employees, contractors and third parties.</t>
  </si>
  <si>
    <t>Security events and weaknesses are not detected and corrected due to lack of users reporting the events or weaknesses.</t>
  </si>
  <si>
    <t>The organization is unable to manage the initial phase of an incident since the plan is not well designed and documented.</t>
  </si>
  <si>
    <t>Failure to train personnel on the incident response roles and responsibilities may result in inadequately coordinated processes in response to a security incident.</t>
  </si>
  <si>
    <t>Incidents are mishandled due to lack of defined and tested incident management plans.</t>
  </si>
  <si>
    <t>Lack of a Security Incident Response Program may result in improper identification and handling of security events.</t>
  </si>
  <si>
    <t>Users gain access to information that is beyond their appropriate level of privilege.</t>
  </si>
  <si>
    <t>The lack of logging mechanisms to record and store user activities, exceptions, and information security events may result in unauthorized access or activity going undetected.</t>
  </si>
  <si>
    <t>Unauthorized users log on to information systems.</t>
  </si>
  <si>
    <t>Users expose information systems by not correctly executing their access control responsibilities.</t>
  </si>
  <si>
    <t>Processes which do not restrict access to information, information processing systems or applications and sensitive business processes based on a need to know basis, may result in accidental or deliberate misuse of access privileges.</t>
  </si>
  <si>
    <t>System failure is not detected in a timely fashion due to inadequate fault logging and monitoring capabilities.</t>
  </si>
  <si>
    <t>Unauthorized access and activity is undetected due to incomplete log information.</t>
  </si>
  <si>
    <t>Logging facilities and log information is compromised and tampered with due to inadequate data protection mechanisms.</t>
  </si>
  <si>
    <t>Networks and supporting infrastructure are exposed to unauthorized parties due to lack of defined network security and administration policies, procedures and standards.</t>
  </si>
  <si>
    <t>Information is disclosed due to mislabeled, unlabeled or mishandled physical or electronic media.</t>
  </si>
  <si>
    <t xml:space="preserve">Do not conduct penetration testing or employ independent penetration testing </t>
  </si>
  <si>
    <t>Security vulnerabilities may not be identified timely.</t>
  </si>
  <si>
    <t>Unauthorized, malicious code is executed on systems without authorization.</t>
  </si>
  <si>
    <t>Inadequately managed and controlled networks and supporting infrastructure expose systems and applications.</t>
  </si>
  <si>
    <t>Data is not recoverable due to inadequate or undefined backup and restoration procedures.</t>
  </si>
  <si>
    <t>Disaster recovery plans fail because they were not tested, maintained or re-assessed.</t>
  </si>
  <si>
    <t>Sensitive data may be exposed to unauthorized disclosure or modification while in storage.</t>
  </si>
  <si>
    <t>Unauthenticated and/or unauthorized users access networks by exploiting vulnerabilities in external connections.</t>
  </si>
  <si>
    <t xml:space="preserve">Lack of network connection controls over communications sessions may result in unauthorized access to information systems </t>
  </si>
  <si>
    <t>Insufficient segregation of communications and interfaces between the system processes, may expose sensitive information resources to unauthorized access.</t>
  </si>
  <si>
    <t>Technical vulnerabilities are exploited to gain inappropriate or unauthorized access to information systems due to lack of controls for those vulnerabilities.</t>
  </si>
  <si>
    <t>Unauthorized users are able to gain access to information systems by claiming to be an authorized user.</t>
  </si>
  <si>
    <t>Information is disclosed due to lack of protection based on the need, priorities and expected degree of protection.</t>
  </si>
  <si>
    <t>Information stored in physical media may be disclosed to or altered by unauthorized parties while being physically transported.</t>
  </si>
  <si>
    <t>The lack of formal procedures for handling, processing, storing and communicating information consistent with its classification scheme, may result in potential mishandling or misuse of information by unauthorized parties.</t>
  </si>
  <si>
    <t>Sensitive systems co-located with less sensitive systems are accessed by unauthorized parties.</t>
  </si>
  <si>
    <t>Sensitive data has not been clearly identified and inventoried.</t>
  </si>
  <si>
    <t>Unauthorized users access operating systems by physically or logically accessing valid inactive and/or unattended sessions.</t>
  </si>
  <si>
    <t>Security is breached by employees, contractors or third party users that leverage access given after termination or change of their employment, contract or agreement.</t>
  </si>
  <si>
    <t>Failure to assign unique user identification and a relevant authentication mechanisms to confirm the claimed identity of an user may result in potential fraud and/or falsification of user identities.</t>
  </si>
  <si>
    <t>Encryption and other cryptographic controls are inconsistently used to protect information assets and deviate with policy.</t>
  </si>
  <si>
    <t>Information systems are compromised due to the lack of protection from environmental threats and hazards.</t>
  </si>
  <si>
    <t>Configuration standards are not met for systems being implemented.</t>
  </si>
  <si>
    <t>Independent reviews of information security are not regularly performed to ensure the continuing suitability, adequacy, and effectiveness of the organization's information security program.</t>
  </si>
  <si>
    <t>Unauthorized users gain access through user accounts based on a password that was disclosed during communication to the authorized users.</t>
  </si>
  <si>
    <t>Incapable of denying or restricting network access to noncompliant devices.  This may allow an insecure system to infect the entire network.</t>
  </si>
  <si>
    <t>Unauthorized software increases the risk of outsiders gaining access to sensitive data.</t>
  </si>
  <si>
    <t>Where permissible, do you require multi-factor authentication and encrypted channels for all administrative account access?</t>
  </si>
  <si>
    <t>164.310(b): Workstations Use
164.310(c): Workstation Security
164.308(a)(5): Security Awareness &amp; Training - Protection from Malicious Software
164.310(b): Device &amp; Media Controls - Accountability</t>
  </si>
  <si>
    <t>Where permissible, do you manage all network devices using multi-factor authentication and encrypted sessions?</t>
  </si>
  <si>
    <t>Commercial software that is not supported by a vendor and introduces errors into the information system processing environment.</t>
  </si>
  <si>
    <t>Do you have a vulnerability scanning tool that automatically scans all systems on the network on a frequent basis to identify potential vulnerabilities on the organization's systems?</t>
  </si>
  <si>
    <t>Do you regularly compare the results from consecutive vulnerability scans to verify that vulnerabilities have been remediated in a timely manner?</t>
  </si>
  <si>
    <t>Is local logging enabled on all systems and networking devices?</t>
  </si>
  <si>
    <t>Does the anti-malware software updates its scanning engine and signature database on a regular basis?</t>
  </si>
  <si>
    <t>Are all of the organization's key systems backed up as a complete system, through processes such as imaging, to enable the quick recovery of an entire system?</t>
  </si>
  <si>
    <t>The organization does not have  staff or resources responsible for responding to information spillage.</t>
  </si>
  <si>
    <t>Do all software development personnel receive training in writing secure code for their specific development environment and responsibilities?</t>
  </si>
  <si>
    <t>Foundational</t>
  </si>
  <si>
    <t xml:space="preserve">Actively manage (inventory, track, and correct) all hardware devices on the network so that only authorized devices are given access, and unauthorized and unmanaged devices are found and prevented from gaining access._x000D_
</t>
  </si>
  <si>
    <t xml:space="preserve">Continuously acquire, assess, and take action on new information in order to identify vulnerabilities, remediate, and minimize the window of opportunity for attackers._x000D_
</t>
  </si>
  <si>
    <t xml:space="preserve">The processes and tools used to track/control/prevent/correct the use, assignment, and configuration of administrative privileges on computers, networks, and applications._x000D_
</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</si>
  <si>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settings._x000D_
</t>
  </si>
  <si>
    <t>Collect, manage, and analyze audit logs of events that could help detect, understand, or recover from an attack.</t>
  </si>
  <si>
    <t xml:space="preserve">Minimize the attack surface and the opportunities for attackers to manipulate human behavior through their interaction with web browsers and email systems._x000D_
</t>
  </si>
  <si>
    <t xml:space="preserve">Control the installation, spread, and execution of malicious code at multiple points in the enterprise, while optimizing the use of automation to enable rapid updating of defense, data gathering, and corrective action._x000D_
</t>
  </si>
  <si>
    <t xml:space="preserve">Manage (track/control/correct) the ongoing operational use of ports, protocols, and services on networked devices in order to minimize windows of vulnerability available to attackers._x000D_
</t>
  </si>
  <si>
    <t xml:space="preserve">The processes and tools used to properly back up critical information with a proven methodology for timely recovery of it._x000D_
</t>
  </si>
  <si>
    <t xml:space="preserve">Establish, implement, and actively manage (track, report on, correct) the security configuration of network infrastructure devices using a rigorous configuration management and change control process in order to prevent attackers from exploiting vulnerable services and settings._x000D_
</t>
  </si>
  <si>
    <t xml:space="preserve">Detect/prevent/correct the flow of information transferring networks of different trust levels with a focus on security-damaging data._x000D_
</t>
  </si>
  <si>
    <t xml:space="preserve">The processes and tools used to prevent data exfiltration, mitigate the effects of exfiltrated data, and ensure the privacy and integrity of sensitive information._x000D_
</t>
  </si>
  <si>
    <t xml:space="preserve">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classification._x000D_
</t>
  </si>
  <si>
    <t xml:space="preserve">The processes and tools used to track/control/prevent/correct the security use of wireless local area networks (WLANs), access points, and wireless client systems._x000D_
</t>
  </si>
  <si>
    <t xml:space="preserve">Actively manage the life cycle of system and application accounts - their creation, use, dormancy, deletion - in order to minimize opportunities for attackers to leverage them._x000D_
</t>
  </si>
  <si>
    <t xml:space="preserve">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programs._x000D_
</t>
  </si>
  <si>
    <t xml:space="preserve">Manage the security life cycle of all in-house developed and acquired software in order to prevent, detect, and correct security weaknesses._x000D_
</t>
  </si>
  <si>
    <t xml:space="preserve">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systems._x000D_
</t>
  </si>
  <si>
    <t xml:space="preserve">Test the overall strength of an organization’s defense (the technology, the processes, and the people) by simulating the objectives and actions of an attacker._x000D_
</t>
  </si>
  <si>
    <t>Description</t>
  </si>
  <si>
    <t>Category</t>
  </si>
  <si>
    <t>Control Focus</t>
  </si>
  <si>
    <t>Does system logging  include detailed information such as an event source, date, user, timestamp, source addresses, destination addresses, and other useful elements?</t>
  </si>
  <si>
    <t xml:space="preserve"> </t>
  </si>
  <si>
    <t xml:space="preserve">Do you have an active discovery tool that is used to build an inventory of systems connected to an organization’s public and private network(s)?  </t>
  </si>
  <si>
    <t>Do you configure systems to issue a log entry and alert on unsuccessful login to an administrative account?</t>
  </si>
  <si>
    <t>CIS Actual #</t>
  </si>
  <si>
    <t>Do you have host based firewalls or port filtering tools on end systems, with a default rule that drops all traffic except those services and ports that are explicitly allowed?</t>
  </si>
  <si>
    <t>Do you ensure that all backups have at least one offline (i.e. not accessible via a network connection) backup destination?</t>
  </si>
  <si>
    <t>Do you maintain documented security configuration standards for all authorized network devices?</t>
  </si>
  <si>
    <t>Identify</t>
  </si>
  <si>
    <t>Detect</t>
  </si>
  <si>
    <t>Protect</t>
  </si>
  <si>
    <t>Security Function</t>
  </si>
  <si>
    <t>Does all network traffic to or from the internet pass through an authenticated applciation layer proxy that is configured to filter unauthorized connections?</t>
  </si>
  <si>
    <t>Do you have a network-based Intrusion Prevention System/s (IPS) deployed to inspect and block malicious traffic entering the company's network?</t>
  </si>
  <si>
    <t>Do you protect all information stored on systems with file system, network share, claims, application or database specific access control lists?</t>
  </si>
  <si>
    <t>Do you encrypt all sensitive information in transit?</t>
  </si>
  <si>
    <t>Sensitive data is exposed to unauthorized disclosure or modification while in transit.</t>
  </si>
  <si>
    <t>Has the organization implemented Domain-based Message Authentication, Reporting and Conformance (DMARC), starting by implementing the Sender Policy Framework (SPF) and the DomainKeys Identified Mail(DKIM) standards?</t>
  </si>
  <si>
    <t>Has the organization blocked all e-mail attachments entering the organization's e-mail gateway if the file types are unnecessary for the organization's business?</t>
  </si>
  <si>
    <t>Has the organization utilized a risk-rating process to prioritize the remediation of discovered vulnerabilities?</t>
  </si>
  <si>
    <t>Does the organization maintain an up-to-date inventory of all of the organization's network boundaries?</t>
  </si>
  <si>
    <t>Are each of the organization's network boundaries configured to deny communications with known malicious or unused Internet IP addresses and limit access only to trusted and necessary IP address ranges?</t>
  </si>
  <si>
    <t>Are each of the organization's network boundaries configured to deny communication over unauthorized TCP or UDP ports or application traffic to ensure that only authorized protocols are allowed to cross the network boundary in or out of the network?</t>
  </si>
  <si>
    <t>Does the organization maintain an inventory of all sensitive information stored, processed, or transmitted by the organization's technology systems, including those located onsite or at a remote service provider?</t>
  </si>
  <si>
    <t>Has the organization deployed an automated tool on network perimeters that monitors for sensitive information and blocks such transfers while alerting information security professionals?</t>
  </si>
  <si>
    <t>Does the organization only allow access to authorized cloud storage or email providers?</t>
  </si>
  <si>
    <t>Does the organization utilize a separate a wireless network for personal or untrusted devices?</t>
  </si>
  <si>
    <t>Does the organization have a process that is documented &amp; followed for revoking system access by disabling account immediately upon termination?</t>
  </si>
  <si>
    <t>Does the organization encrypt or hash with a salt all authentication credentials when stored?</t>
  </si>
  <si>
    <t>Does the organization alert when users deviate from normal login behavior, such as time-of-day, workstation location and duration?</t>
  </si>
  <si>
    <t>Does the organization automatically lock workstation sessions after a standard period of inactivity?</t>
  </si>
  <si>
    <t>Does the organization automatically disable dormant accounts after a set period of inactivity?</t>
  </si>
  <si>
    <t>Does the organization monitor attempts to access deactivated accounts through audit logging?</t>
  </si>
  <si>
    <t>N/A</t>
  </si>
  <si>
    <t>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</si>
  <si>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Has the organization trained workforce members on the importance of enabling and utilizing secure authentication?</t>
  </si>
  <si>
    <t>Has the organization trained the workforce on how to identify different forms of social engineering attacks, such as phishing, phone scams and impersonation calls?</t>
  </si>
  <si>
    <t>Has the organization trained workforce on how to identify and properly store, transfer, archive and destroy sensitive information?</t>
  </si>
  <si>
    <t>Has the organization trained workforce members to be aware of causes for unintentional data exposures, such as losing their mobile devices or emailing the wrong person due to autocomplete in email?</t>
  </si>
  <si>
    <t>Has the organization trained employees to be able to identify the most common indicators of an incident and be able to report such an incident?</t>
  </si>
  <si>
    <t>Has the organization only used up-to-date and trusted third-party components for the software developed by the organization?</t>
  </si>
  <si>
    <t>Has the organization maintained separate environments for production and nonproduction systems?</t>
  </si>
  <si>
    <t>Has the organization established a process to accept and address reports of software vulnerabilities, including providing a means for external entities to contact your security group?</t>
  </si>
  <si>
    <t>Has the organization applied static and dynamic analysis tools to verify that secure coding practices are being adhered to for internally developed software??</t>
  </si>
  <si>
    <t>Does your organization protect its web applications by deploying Web Application Firewalls (WAFs) that inspect all traffic flowing to the application for common web appliation attacks?</t>
  </si>
  <si>
    <t>Has the organization ensured that there are written incident response plans that defines roles of personnel as well as phases of incident handling/management?</t>
  </si>
  <si>
    <t>Has the organization assigned job titles and duties for handling computer and network incidents to specific individuals and ensure tracking and documentation throughout the incident through resolution?</t>
  </si>
  <si>
    <t>Has the organization designated management personnel, as well as backups, who will support the incident handling process by acting in key decision-making roles?</t>
  </si>
  <si>
    <t>Has the organization published information for all workforce members, regarding reporting computer anomalies and incidents to the incident handling team? Such information should be included in routine employee awareness activities.</t>
  </si>
  <si>
    <t>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</si>
  <si>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Has the organization conducted regular external and internal penetration tests to identify vulnerabilities and attack vectors that can be used to exploit enterprise systems successfully?</t>
  </si>
  <si>
    <t>Has the organization performed periodic Red Team exercises to test organizational readiness to identify and stop attacks or to respond quickly and effectively?</t>
  </si>
  <si>
    <t>Respond</t>
  </si>
  <si>
    <t>Does the organization require multi-factor authenication for all user accounts, on all systems, whether managed on-site or by a third-party provider?</t>
  </si>
  <si>
    <t>Do you have a centrally managed anti-malware software to continously monitor and defend each of the organizations workstations and servers?</t>
  </si>
  <si>
    <t>Do you ensure that all system data is automatically backed up on a regularly basis?</t>
  </si>
  <si>
    <t>Does the organization leverage the Advanced Encryption Standard (AES) to encrypt wireless data in transit?</t>
  </si>
  <si>
    <t>Does the organization maintain a inventory of all the accounts managed by authentication systems?</t>
  </si>
  <si>
    <t>Do you periodically review all system accounts and disable any account that is not linked to a business process/owner?</t>
  </si>
  <si>
    <t>Solution Name</t>
  </si>
  <si>
    <t>Data Custodian</t>
  </si>
  <si>
    <t>Project Sponsor</t>
  </si>
  <si>
    <t>Vendor Account Manager</t>
  </si>
  <si>
    <t>Solution Web Site</t>
  </si>
  <si>
    <t>Name</t>
  </si>
  <si>
    <t>Email</t>
  </si>
  <si>
    <t>Business Case / System Purpose</t>
  </si>
  <si>
    <t>System Management</t>
  </si>
  <si>
    <t>Solution State</t>
  </si>
  <si>
    <t>Target Audience</t>
  </si>
  <si>
    <t>Information Type</t>
  </si>
  <si>
    <t>Protection</t>
  </si>
  <si>
    <t>Protection Level</t>
  </si>
  <si>
    <t>Availability Level</t>
  </si>
  <si>
    <t>Role</t>
  </si>
  <si>
    <t>P1 - Public</t>
  </si>
  <si>
    <t>A4 - High</t>
  </si>
  <si>
    <t>A3 - Moderate</t>
  </si>
  <si>
    <t>A2 - Low</t>
  </si>
  <si>
    <t>A1 - Minimal</t>
  </si>
  <si>
    <t>BLANK</t>
  </si>
  <si>
    <t>Impact</t>
  </si>
  <si>
    <t>Likelihood</t>
  </si>
  <si>
    <t xml:space="preserve">Human Error (User, Maintenance, Operation) </t>
  </si>
  <si>
    <t xml:space="preserve">System Failure (Hardware, Software, Communication, Power, etc.) </t>
  </si>
  <si>
    <t xml:space="preserve">Environmental Disaster (Fire, Water, Natural Disaster, Terrorism) </t>
  </si>
  <si>
    <t>Attack Summary</t>
  </si>
  <si>
    <t>Availability</t>
  </si>
  <si>
    <t>DATA VALUE MATRIX</t>
  </si>
  <si>
    <t xml:space="preserve">Availability </t>
  </si>
  <si>
    <t>Risk Exposure</t>
  </si>
  <si>
    <t>P1-A1</t>
  </si>
  <si>
    <t>P1-A2</t>
  </si>
  <si>
    <t>P1-A3</t>
  </si>
  <si>
    <t>P1-A4</t>
  </si>
  <si>
    <t>P2-A1</t>
  </si>
  <si>
    <t>P2-A2</t>
  </si>
  <si>
    <t>P2-A3</t>
  </si>
  <si>
    <t>P2-A4</t>
  </si>
  <si>
    <t>P3-A1</t>
  </si>
  <si>
    <t>P3-A2</t>
  </si>
  <si>
    <t>P3-A3</t>
  </si>
  <si>
    <t>P4-A1</t>
  </si>
  <si>
    <t>P4-A2</t>
  </si>
  <si>
    <t>P4-A3</t>
  </si>
  <si>
    <t>P3-A4</t>
  </si>
  <si>
    <t>P4-A4</t>
  </si>
  <si>
    <t>Data Value</t>
  </si>
  <si>
    <t>OVERALL RISK VALUE MATRIX</t>
  </si>
  <si>
    <t>RISK EXPOSURE MATRIX</t>
  </si>
  <si>
    <t>YES</t>
  </si>
  <si>
    <t>NO</t>
  </si>
  <si>
    <t>Control Area</t>
  </si>
  <si>
    <t>&lt;=</t>
  </si>
  <si>
    <t>&gt;=</t>
  </si>
  <si>
    <t>RISK APPETITE THRESHOLD</t>
  </si>
  <si>
    <t>Value</t>
  </si>
  <si>
    <t>Vendor Responses</t>
  </si>
  <si>
    <t>Total Controls</t>
  </si>
  <si>
    <t>% Compliant</t>
  </si>
  <si>
    <t>Assessment Breakdown by Control Area</t>
  </si>
  <si>
    <t>Non-Compliant</t>
  </si>
  <si>
    <t>-</t>
  </si>
  <si>
    <t>High Risk</t>
  </si>
  <si>
    <t>Medium Risk</t>
  </si>
  <si>
    <t>Low Risk</t>
  </si>
  <si>
    <t>ACCEPTABLE</t>
  </si>
  <si>
    <t>TOLERABLE</t>
  </si>
  <si>
    <t>UNACCEPTABLE</t>
  </si>
  <si>
    <t>Definitions:</t>
  </si>
  <si>
    <r>
      <rPr>
        <b/>
        <sz val="12"/>
        <color theme="1"/>
        <rFont val="Calibri"/>
        <family val="2"/>
        <scheme val="minor"/>
      </rPr>
      <t xml:space="preserve">UNACCEPTABLE </t>
    </r>
    <r>
      <rPr>
        <sz val="12"/>
        <color theme="1"/>
        <rFont val="Calibri"/>
        <family val="2"/>
        <scheme val="minor"/>
      </rPr>
      <t>- Risk cannot be justified except in extraordinary circumstances.</t>
    </r>
  </si>
  <si>
    <r>
      <rPr>
        <b/>
        <sz val="12"/>
        <color theme="1"/>
        <rFont val="Calibri"/>
        <family val="2"/>
        <scheme val="minor"/>
      </rPr>
      <t>TOLERABLE</t>
    </r>
    <r>
      <rPr>
        <sz val="12"/>
        <color theme="1"/>
        <rFont val="Calibri"/>
        <family val="2"/>
        <scheme val="minor"/>
      </rPr>
      <t xml:space="preserve"> - Residual risk is tolerable only if further risk reduction is impracticable.  Extraordinary cost and effort would be required and would only marginally reduce the risk.</t>
    </r>
  </si>
  <si>
    <r>
      <rPr>
        <b/>
        <sz val="12"/>
        <color theme="1"/>
        <rFont val="Calibri"/>
        <family val="2"/>
        <scheme val="minor"/>
      </rPr>
      <t xml:space="preserve">ACCEPTABLE </t>
    </r>
    <r>
      <rPr>
        <sz val="12"/>
        <color theme="1"/>
        <rFont val="Calibri"/>
        <family val="2"/>
        <scheme val="minor"/>
      </rPr>
      <t>- Risks are negligible or so small that can be managed by routine procedures and no additional risk measures are needed.</t>
    </r>
  </si>
  <si>
    <t>Classification</t>
  </si>
  <si>
    <t>Matrix Value</t>
  </si>
  <si>
    <t>Highest Data Value</t>
  </si>
  <si>
    <t>Hackers may try to interrupt your services , break-in to your systems, or use your systems as a bridge to pivot into other systems.</t>
  </si>
  <si>
    <t>Cyber Attack</t>
  </si>
  <si>
    <t>Unauthorized Access to Systems or Data</t>
  </si>
  <si>
    <t>People with stolen credentials may try to access unauthorized system or data.  Internal people with valid access may try to access data they should not.</t>
  </si>
  <si>
    <t>Machines are not unbreakable.  They will fail.</t>
  </si>
  <si>
    <t>Any environment or domestic disaster can easily disrupt your services.</t>
  </si>
  <si>
    <t>Exposure</t>
  </si>
  <si>
    <t>Matix Value</t>
  </si>
  <si>
    <t>Associated Risk</t>
  </si>
  <si>
    <t>Insignificant</t>
  </si>
  <si>
    <t>Rare</t>
  </si>
  <si>
    <t>Almost Certain</t>
  </si>
  <si>
    <t>Moderate</t>
  </si>
  <si>
    <t>Significant</t>
  </si>
  <si>
    <t>Possible</t>
  </si>
  <si>
    <t>Examples</t>
  </si>
  <si>
    <t>P4 - Highly Sensitive</t>
  </si>
  <si>
    <t>P3 - Sensitive</t>
  </si>
  <si>
    <t>P2 - Internal Data</t>
  </si>
  <si>
    <t>PROTECTION LEVEL DEFINITIONS</t>
  </si>
  <si>
    <t>AVAILABILITY LEVEL DEFINITIONS</t>
  </si>
  <si>
    <t>Risk Statement</t>
  </si>
  <si>
    <t>Humans are prone to make mistakes.  Everyone involved in using, maintaining or operating the system could become a potential threat.</t>
  </si>
  <si>
    <t>Data that could easily be used for financial fraud, or could cause significant reputational damage.</t>
  </si>
  <si>
    <t>Low Value</t>
  </si>
  <si>
    <t>High Value</t>
  </si>
  <si>
    <t>TOTALS</t>
  </si>
  <si>
    <t>Highest Exposure Value</t>
  </si>
  <si>
    <t>Data Value Rating</t>
  </si>
  <si>
    <t>Required Controls</t>
  </si>
  <si>
    <t>Compensating Controls</t>
  </si>
  <si>
    <t>HIGH</t>
  </si>
  <si>
    <t>LOW</t>
  </si>
  <si>
    <t>DATA VALUE</t>
  </si>
  <si>
    <t>This is determined by the controls in place by the vendor/solution to reduce the potential impact, likelihood, or both of an incident.</t>
  </si>
  <si>
    <t>Medium Value</t>
  </si>
  <si>
    <t>Risk Exposure Determination</t>
  </si>
  <si>
    <t>Appetite Level</t>
  </si>
  <si>
    <t>Risk Appetite Determination</t>
  </si>
  <si>
    <t>Data Value Determination</t>
  </si>
  <si>
    <t>Result</t>
  </si>
  <si>
    <t>Total Risk Value</t>
  </si>
  <si>
    <t>Controls by Function</t>
  </si>
  <si>
    <t>Criteria 1:</t>
  </si>
  <si>
    <t>Criteria 2:</t>
  </si>
  <si>
    <t>MATCH</t>
  </si>
  <si>
    <t>ROW #</t>
  </si>
  <si>
    <t>What this sheet does:</t>
  </si>
  <si>
    <t>Column A</t>
  </si>
  <si>
    <t>Column B</t>
  </si>
  <si>
    <t>Column C</t>
  </si>
  <si>
    <t>Column D</t>
  </si>
  <si>
    <t>FILTERED</t>
  </si>
  <si>
    <t>This formula is performing a search to filter the question numbers where we'll be gathering our additional data from.</t>
  </si>
  <si>
    <t xml:space="preserve">This formula we want to sort/extract the smallest fraction from Column C followed by the next and so on.  In this we start with "=SMALL(" then copy/paste formula in Column C (note all value will need to be changed to asolute values), append ",ROWS($A$1:A1))" then hold down CRTL+SHIFT+ENTER </t>
  </si>
  <si>
    <t>SORTED</t>
  </si>
  <si>
    <t>RESULT-1</t>
  </si>
  <si>
    <t>This formula determine the Question/Row # - first you need to build it into an array, in the first cell type your formal "=match(row(range),row(range))", hold down control+shift+enter, then highlight all match cells for this row, then click into the first cell to select the formula and then hold down CTRL+SHIFT+ENTER.</t>
  </si>
  <si>
    <t>Column E</t>
  </si>
  <si>
    <t>This formula will return the Technology Question number associated with Column D.  This information will be displayed within the Assessment Summary tab under the Gap section.</t>
  </si>
  <si>
    <t>Rare-Insignificant</t>
  </si>
  <si>
    <t>Rare-Moderate</t>
  </si>
  <si>
    <t>Possible-Insignificant</t>
  </si>
  <si>
    <t>Rare-Significant</t>
  </si>
  <si>
    <t>Almost Certain-Insignificant</t>
  </si>
  <si>
    <t>Possible-Moderate</t>
  </si>
  <si>
    <t>Possible-Significant</t>
  </si>
  <si>
    <t>Almost Certain-Moderate</t>
  </si>
  <si>
    <t>Almost Certain-Significant</t>
  </si>
  <si>
    <t>Q #</t>
  </si>
  <si>
    <t>Function</t>
  </si>
  <si>
    <t>Regulatory Implications</t>
  </si>
  <si>
    <t>Control Description</t>
  </si>
  <si>
    <t>Attack Summary Mapping</t>
  </si>
  <si>
    <t>System Failure</t>
  </si>
  <si>
    <t>Human Error</t>
  </si>
  <si>
    <t>Environmental Disaster</t>
  </si>
  <si>
    <t>Patients/General Public</t>
  </si>
  <si>
    <t>Entire organization</t>
  </si>
  <si>
    <t>Single department</t>
  </si>
  <si>
    <t>Small group of users</t>
  </si>
  <si>
    <t>Low</t>
  </si>
  <si>
    <t>Medium</t>
  </si>
  <si>
    <t>High</t>
  </si>
  <si>
    <t>REQUIRED CONTROLS</t>
  </si>
  <si>
    <t>Compensating Controls by Function</t>
  </si>
  <si>
    <t>Likelihood Determination</t>
  </si>
  <si>
    <t>Likelihood AFTER Comp Controls</t>
  </si>
  <si>
    <t>Likelihood BEFORE Comp Controls</t>
  </si>
  <si>
    <t>% Adjustment</t>
  </si>
  <si>
    <t>Weighted Value:</t>
  </si>
  <si>
    <t>Data Value Scale</t>
  </si>
  <si>
    <t>Impact Value Scale</t>
  </si>
  <si>
    <t>IMPACT MATRIX</t>
  </si>
  <si>
    <t>Attack Scenarios</t>
  </si>
  <si>
    <r>
      <rPr>
        <b/>
        <sz val="16"/>
        <color rgb="FFFF0000"/>
        <rFont val="Calibri"/>
        <family val="2"/>
        <scheme val="minor"/>
      </rPr>
      <t xml:space="preserve">STEP 1 - </t>
    </r>
    <r>
      <rPr>
        <sz val="16"/>
        <color rgb="FFFF0000"/>
        <rFont val="Calibri"/>
        <family val="2"/>
        <scheme val="minor"/>
      </rPr>
      <t>Define the value of your data</t>
    </r>
  </si>
  <si>
    <t>* Values to be defined by Security w/ guidance</t>
  </si>
  <si>
    <t>DATA VALUE CALCULATION</t>
  </si>
  <si>
    <t>RISK EXPOSURE CALCULATION</t>
  </si>
  <si>
    <r>
      <rPr>
        <b/>
        <sz val="16"/>
        <color rgb="FFFF0000"/>
        <rFont val="Calibri"/>
        <family val="2"/>
        <scheme val="minor"/>
      </rPr>
      <t xml:space="preserve">STEP 2 </t>
    </r>
    <r>
      <rPr>
        <sz val="16"/>
        <color rgb="FFFF0000"/>
        <rFont val="Calibri"/>
        <family val="2"/>
        <scheme val="minor"/>
      </rPr>
      <t>- Determine Grading Value for your Data
(Overall Data Value = Protection Level * Availability Level)</t>
    </r>
  </si>
  <si>
    <r>
      <rPr>
        <b/>
        <sz val="16"/>
        <color rgb="FFFF0000"/>
        <rFont val="Calibri"/>
        <family val="2"/>
        <scheme val="minor"/>
      </rPr>
      <t xml:space="preserve">STEP 2 </t>
    </r>
    <r>
      <rPr>
        <sz val="16"/>
        <color rgb="FFFF0000"/>
        <rFont val="Calibri"/>
        <family val="2"/>
        <scheme val="minor"/>
      </rPr>
      <t>- Determine Impact Level 
(Impact Level = Target Audenice * Highest Data Value above)</t>
    </r>
  </si>
  <si>
    <t>&lt;-- This grade value will determine the overall Impact of the solution to the environment.  The thresholds established in red will be defined/agreed upon by buisness leaders.</t>
  </si>
  <si>
    <t>&lt;-- This grade value will determine the questionnaire type that will be sent to the vendor.  The thresholds established in red will be defined/agreed upon by buisness leaders.</t>
  </si>
  <si>
    <t>&lt;-- This grade value will determine the overall  likelihood of an attack to the environment.  The thresholds established in red will be defined/agreed upon by buisness leaders.</t>
  </si>
  <si>
    <r>
      <rPr>
        <b/>
        <sz val="16"/>
        <color rgb="FFFF0000"/>
        <rFont val="Calibri"/>
        <family val="2"/>
        <scheme val="minor"/>
      </rPr>
      <t xml:space="preserve">STEP 1 - </t>
    </r>
    <r>
      <rPr>
        <sz val="16"/>
        <color rgb="FFFF0000"/>
        <rFont val="Calibri"/>
        <family val="2"/>
        <scheme val="minor"/>
      </rPr>
      <t>Define Impact Criteria</t>
    </r>
  </si>
  <si>
    <t>IMPACT CRITERIA</t>
  </si>
  <si>
    <t>DATA CRITERIA</t>
  </si>
  <si>
    <r>
      <rPr>
        <b/>
        <sz val="16"/>
        <color rgb="FFFF0000"/>
        <rFont val="Calibri"/>
        <family val="2"/>
        <scheme val="minor"/>
      </rPr>
      <t xml:space="preserve">STEP 4 - </t>
    </r>
    <r>
      <rPr>
        <sz val="16"/>
        <color rgb="FFFF0000"/>
        <rFont val="Calibri"/>
        <family val="2"/>
        <scheme val="minor"/>
      </rPr>
      <t>Define Exposure Criteria</t>
    </r>
  </si>
  <si>
    <r>
      <rPr>
        <b/>
        <sz val="16"/>
        <color rgb="FFFF0000"/>
        <rFont val="Calibri"/>
        <family val="2"/>
        <scheme val="minor"/>
      </rPr>
      <t xml:space="preserve">STEP 3 </t>
    </r>
    <r>
      <rPr>
        <sz val="16"/>
        <color rgb="FFFF0000"/>
        <rFont val="Calibri"/>
        <family val="2"/>
        <scheme val="minor"/>
      </rPr>
      <t>- Determine Likelihood Level
Likelihood = (Required Controls Implemented/Total Required Controls) + Adjustment of Compensating Controls</t>
    </r>
  </si>
  <si>
    <t>FINAL CONCLUSION</t>
  </si>
  <si>
    <r>
      <rPr>
        <b/>
        <sz val="16"/>
        <color rgb="FFFF0000"/>
        <rFont val="Calibri"/>
        <family val="2"/>
        <scheme val="minor"/>
      </rPr>
      <t xml:space="preserve">STEP 1 </t>
    </r>
    <r>
      <rPr>
        <sz val="16"/>
        <color rgb="FFFF0000"/>
        <rFont val="Calibri"/>
        <family val="2"/>
        <scheme val="minor"/>
      </rPr>
      <t>- Define Appetite Thresholds</t>
    </r>
  </si>
  <si>
    <t>* Values defined by business owners.</t>
  </si>
  <si>
    <t>EXPOSURE CRITERIA</t>
  </si>
  <si>
    <r>
      <rPr>
        <b/>
        <sz val="16"/>
        <color rgb="FFFF0000"/>
        <rFont val="Calibri"/>
        <family val="2"/>
        <scheme val="minor"/>
      </rPr>
      <t xml:space="preserve">STEP 5 </t>
    </r>
    <r>
      <rPr>
        <sz val="16"/>
        <color rgb="FFFF0000"/>
        <rFont val="Calibri"/>
        <family val="2"/>
        <scheme val="minor"/>
      </rPr>
      <t>- Determine Risk Exposure Level
(Risk Exposure = Likelihood * Impact)</t>
    </r>
  </si>
  <si>
    <t>RISK APPETITE CALCULATION</t>
  </si>
  <si>
    <r>
      <rPr>
        <b/>
        <sz val="16"/>
        <color rgb="FFFF0000"/>
        <rFont val="Calibri"/>
        <family val="2"/>
        <scheme val="minor"/>
      </rPr>
      <t xml:space="preserve">STEP 2 </t>
    </r>
    <r>
      <rPr>
        <sz val="16"/>
        <color rgb="FFFF0000"/>
        <rFont val="Calibri"/>
        <family val="2"/>
        <scheme val="minor"/>
      </rPr>
      <t>- Determine Risk Appetite
(Risk Value  = Risk Exposure * Data Value)</t>
    </r>
  </si>
  <si>
    <t>Risk Exposure Scale</t>
  </si>
  <si>
    <t>CONTROL GAPS IDENTIFIED IN VENDOR RESPONSE</t>
  </si>
  <si>
    <t>Score</t>
  </si>
  <si>
    <t>Impact  Classification</t>
  </si>
  <si>
    <t>Impact Level</t>
  </si>
  <si>
    <t xml:space="preserve">Actively manage (inventory, track, and correct) all software on the network so that only authorized software is installed and can execute, and that unauthorized and unmanaged software is found and prevented from installation or execution.
</t>
  </si>
  <si>
    <t>Revision History:</t>
  </si>
  <si>
    <t>Version</t>
  </si>
  <si>
    <t>COMMENTS</t>
  </si>
  <si>
    <t>Unanswered Vendor Questions</t>
  </si>
  <si>
    <t>REQUEST OVERVIEW</t>
  </si>
  <si>
    <t>Phone</t>
  </si>
  <si>
    <t>POINT OF CONTACTS</t>
  </si>
  <si>
    <t>SOLUTION PROFILE</t>
  </si>
  <si>
    <t xml:space="preserve">All data that has been sanitized and approved for distribution to the public with no restrictions on use. </t>
  </si>
  <si>
    <t xml:space="preserve">Data that is not considered sensitive, but should not be exposed publicly. </t>
  </si>
  <si>
    <t>Regulated data, or data that could cause embarrassment to patients or organizations.</t>
  </si>
  <si>
    <t xml:space="preserve">Materials published on websites, presentations, and research publications. </t>
  </si>
  <si>
    <t>Policies and procedures, contracts, business plans, corporate strategy and business development plans, internal business communications.</t>
  </si>
  <si>
    <t>G1</t>
  </si>
  <si>
    <t>G2</t>
  </si>
  <si>
    <t>G3</t>
  </si>
  <si>
    <t>G4</t>
  </si>
  <si>
    <t>G5</t>
  </si>
  <si>
    <t>G6</t>
  </si>
  <si>
    <t>G7</t>
  </si>
  <si>
    <t>G8</t>
  </si>
  <si>
    <t>G9</t>
  </si>
  <si>
    <t>Will data associated to the project be stored/hosted within United States (US) Data Centers only?</t>
  </si>
  <si>
    <t>Will onshore (US based) support personnel be used to service the solution being proposed?</t>
  </si>
  <si>
    <t>Do you require a persistent connection (e.g. VPN) into the customers environment to support the solution being proposed?</t>
  </si>
  <si>
    <t>Will any third parties have access to my data?</t>
  </si>
  <si>
    <t>Does your organization have data security/cyber liability insurance?</t>
  </si>
  <si>
    <t>Has your organization experienced any reportable breaches of sensitive/confidential information in the last two years?</t>
  </si>
  <si>
    <t>Do you have any third party assurance reports and/or certifications that you can share?  (e.g. SOC 2, ISO, HITRUST, etc.)</t>
  </si>
  <si>
    <t>Application Analyst</t>
  </si>
  <si>
    <t>Security Analyst</t>
  </si>
  <si>
    <t>Project Number</t>
  </si>
  <si>
    <t>DATA CLASSIFICATION</t>
  </si>
  <si>
    <t>Do you notify customers on security vulnerabilities impacting your products?  If so, please explain in the comments section.</t>
  </si>
  <si>
    <t>If the proposed solution stores/processes/transmits Protected Health Information (PHI) will you be willing to sign a Business Associates Agreement (BAA)?</t>
  </si>
  <si>
    <t>Customer Responsibility</t>
  </si>
  <si>
    <t>ATTACK SUMMARY</t>
  </si>
  <si>
    <t>IMPACT</t>
  </si>
  <si>
    <t>LIKELIHOOD</t>
  </si>
  <si>
    <t>RISK EXPOSURE</t>
  </si>
  <si>
    <t>LIKELIHOOD LEVEL DEFINITIONS</t>
  </si>
  <si>
    <t>IMPACT LEVEL DEFINITIONS</t>
  </si>
  <si>
    <t>Response Type</t>
  </si>
  <si>
    <t>The threat event could be expected to have a negligible adverse effect on the organizations operations, its assets or workers and/or its customers.</t>
  </si>
  <si>
    <t>The threat event could be expected to have a serious adverse effect on the organizations operations, its assets or workers and/or its customers.</t>
  </si>
  <si>
    <t>The threat event could be expected to have multiple severe or catastrophic adverse effect on the organizations operations, its assets or workers and/or its customers.</t>
  </si>
  <si>
    <t>Error, accident or act of nature is highly unlikely to occur.</t>
  </si>
  <si>
    <t>Error, accident or act of nature is somewhat likely to occur.</t>
  </si>
  <si>
    <t>Error, accident or act of nature is almost certain to occur.</t>
  </si>
  <si>
    <t>MEDIUM</t>
  </si>
  <si>
    <t>NOTE: IF ANY COLUMNS GET MOVED,ADDED OR DELETED YOU MUST GO TO THE VENDOR QUESTIONNAIRE AND UPDATE THE HLOOKUP VALUES IN COLUMM "T" FOR ALL QUESTIONS.
MODIFYING THE CONTENT WITHIN THE CELLS DOES NOT IMPACT THE HLOOKUP VALUES SO NO ACTION IS NEEDED IF YOUR JUST UPDATING CELL VALUES.</t>
  </si>
  <si>
    <t>CUSTOMER RESPONSIBILITY</t>
  </si>
  <si>
    <t>Policy</t>
  </si>
  <si>
    <t>CONTROLS CUSTOMER IS RESPONSIBLE FOR ADDRESSING</t>
  </si>
  <si>
    <t xml:space="preserve"> Policy</t>
  </si>
  <si>
    <t>Campus</t>
  </si>
  <si>
    <t>Search VENDOR QUESTIONNAIRE tab for any REQUIRED controls that the vendor answered NO:</t>
  </si>
  <si>
    <t>This formula determines if the criteria specified above is met within each row of the VENDOR QUESTIONNAIRE tab.  If a match is found it reports a "1" if not then a "0".  Specify the formula within cell A2 "=COUNTIFS(L$2,'VENDOR QUESTIONNAIRE'!E2:E108,L$3,'VENDOR QUESTIONNAIRE'!F2:F108)" then hold down CTRL+SHIFT+ENTER, finally highlight remaining rows below cell then click back into A2 and click CTRL+SHIFT+ENTER to pass the formula to the other rows.</t>
  </si>
  <si>
    <t>&lt;-- Look under VENDOR QUESTIONNAIRE TAB COLUMN T ("X" Risk)</t>
  </si>
  <si>
    <t>&lt;-- Look under VENDOR QUESTIONNAIRE TAB COLUMN L (RESPONSE OPTIONS)</t>
  </si>
  <si>
    <t>Request Date</t>
  </si>
  <si>
    <t>Yes
No
Customer Responsibility</t>
  </si>
  <si>
    <t>Do you maintain an accurate and up-to-date inventory of all technology assets with the potential to store or process Customer information?</t>
  </si>
  <si>
    <t xml:space="preserve">Yes
No
Customer Responsibility
</t>
  </si>
  <si>
    <t>Yes
No
Customer Responsibility
N/A</t>
  </si>
  <si>
    <t>GENERAL QUESTIONS</t>
  </si>
  <si>
    <t>Technical Assessment</t>
  </si>
  <si>
    <t>In the proceeding section/s you will be asked a series of technical, administrative and operational questions, these questions were modeled from the Center of Internet Security Top 20 controls.  All responses are multiple choice, you will have three options to choose from:
1) "YES" - You the VENDOR are responsible for the control/process AND it is included within the service offering.
2) "NO" - You the VENDOR are responsible for the control/process AND it is NOT included within the service offering OR does not meet the criteria defined.
3) "CUSTOMER RESPONSIBILITY" - You the vendor are providing a commercially available solution and its owner's responsibility to implement said control/process.</t>
  </si>
  <si>
    <t>Vendor Profile</t>
  </si>
  <si>
    <r>
      <t xml:space="preserve">VENDOR COMMENTS </t>
    </r>
    <r>
      <rPr>
        <i/>
        <sz val="14"/>
        <rFont val="Calibri"/>
        <family val="2"/>
        <scheme val="minor"/>
      </rPr>
      <t xml:space="preserve"> 
(Optional)</t>
    </r>
  </si>
  <si>
    <t xml:space="preserve"> - - THE SECTION BELOW IS TO BE COMPLETED BY THE VENDOR - -</t>
  </si>
  <si>
    <t>Assessed Date:</t>
  </si>
  <si>
    <t>** YOU CAN MODIFY ANY DATA VALUES BELOW IN RED TO MEET THE NEEDS OF YOUR ENVIRONMENT **</t>
  </si>
  <si>
    <t xml:space="preserve">Initial release </t>
  </si>
  <si>
    <t>Recover</t>
  </si>
  <si>
    <t>SA-4: Acquisition Process</t>
  </si>
  <si>
    <t>CM-8 - Information System Component Inventory</t>
  </si>
  <si>
    <t>IA-4 - Identifier Management</t>
  </si>
  <si>
    <t>CM-11 - User-Installed Software</t>
  </si>
  <si>
    <t xml:space="preserve">RA-5 - Vulnerability Scanning </t>
  </si>
  <si>
    <t>IA-5 - Authenticator Management</t>
  </si>
  <si>
    <t>IA-02 - Identification and Authentication</t>
  </si>
  <si>
    <t>AU-3 - Content of Audit Records</t>
  </si>
  <si>
    <t>CM-1 - Configuration Management Policy and Procedures
CM-2 - Baseline Configurations
CM-6 - Configuration Settings
CM-7 - Least Functionality
IA-5 - Authenticator Management
IA-6 - Authenticator Feedback
SC-20 - Secure Name / Address Resolution Service
SC-21 - Secure Name / Address Resolution Service
AU-2 - Audit Events</t>
  </si>
  <si>
    <t xml:space="preserve">CM-6 - Configuration Settings </t>
  </si>
  <si>
    <t xml:space="preserve">AU-12 - Audit Generation </t>
  </si>
  <si>
    <t>AU-4 - Audit Storage Capacity</t>
  </si>
  <si>
    <t xml:space="preserve">AU-6 - Audit Review, Analysis, and Reporting </t>
  </si>
  <si>
    <t xml:space="preserve">SI-3 - Malicious Code Protection </t>
  </si>
  <si>
    <t xml:space="preserve">SI-4 - Information System Monitoring </t>
  </si>
  <si>
    <t>CP-9 - Information system Backup</t>
  </si>
  <si>
    <t xml:space="preserve">CA-3 - System Interconnections </t>
  </si>
  <si>
    <t>SC-7 - Boundary Protection</t>
  </si>
  <si>
    <t xml:space="preserve">CA-7 - Continuous Monitoring </t>
  </si>
  <si>
    <t>SA-9 - External Information System Services</t>
  </si>
  <si>
    <t>AC-3 - Access Enforcement</t>
  </si>
  <si>
    <t xml:space="preserve">AC-2 - Account Management </t>
  </si>
  <si>
    <t xml:space="preserve">IR-2 - Incident Response Training </t>
  </si>
  <si>
    <t>AT-1 - Security Awareness and Training Policy and Procedures</t>
  </si>
  <si>
    <t>IR-1 - Incident Response Policy and Procedures</t>
  </si>
  <si>
    <t>IR-8 - Incident Response Plan</t>
  </si>
  <si>
    <t xml:space="preserve">SI-5 - Security Alerts, Advisories, and Directives </t>
  </si>
  <si>
    <t>2.4
9.9.1</t>
  </si>
  <si>
    <t>2.1
2.1.1</t>
  </si>
  <si>
    <t>2.3
8.3
8.3.1
8.3.2</t>
  </si>
  <si>
    <t>10.2.5</t>
  </si>
  <si>
    <t>10.2.4</t>
  </si>
  <si>
    <t>10.2
10.3</t>
  </si>
  <si>
    <t>10.1
10.3</t>
  </si>
  <si>
    <t>10.6
10.6.1
10.6.2</t>
  </si>
  <si>
    <t>1.4
5.1
11.4</t>
  </si>
  <si>
    <t>5.1.1
5.2
11.4</t>
  </si>
  <si>
    <t>1.2.1
2.2.2
2.2.5</t>
  </si>
  <si>
    <t>12.10.1</t>
  </si>
  <si>
    <t>9.5
9.5.1</t>
  </si>
  <si>
    <t>1.1.6</t>
  </si>
  <si>
    <t>1.1.4
1.3.1</t>
  </si>
  <si>
    <t>1.3.2
1.3.3
1.3.4
1.3.5</t>
  </si>
  <si>
    <t>7.1
7.1.1
7.1.2
7.1.3</t>
  </si>
  <si>
    <t>10.2.1
11.5</t>
  </si>
  <si>
    <t>3.2
8.2.1</t>
  </si>
  <si>
    <t>8.2.1</t>
  </si>
  <si>
    <t>8.1
8.1.1</t>
  </si>
  <si>
    <t>8.1.3
8.1.4</t>
  </si>
  <si>
    <t>12.6
12.6.1
12.6.2</t>
  </si>
  <si>
    <t>12.10.3
12.10.4</t>
  </si>
  <si>
    <t>12.1
12.10.1</t>
  </si>
  <si>
    <t>NIST 800-53 r4 Policy Reference</t>
  </si>
  <si>
    <t>Total</t>
  </si>
  <si>
    <t>RECOMMEND</t>
  </si>
  <si>
    <t>Likelihood before 
Compensating Controls</t>
  </si>
  <si>
    <t>Likelihood after
Compensating Controls</t>
  </si>
  <si>
    <t>Breakdown of Controls by Attack Scenario</t>
  </si>
  <si>
    <t>ATTACK SURFACE MAP</t>
  </si>
  <si>
    <t>New Threat Coverage Map is now provided under the Assessment Results tab, this provides a visual for gaps identified in the vendor responses.</t>
  </si>
  <si>
    <t>Vendor Name</t>
  </si>
  <si>
    <t>Application Anaylst</t>
  </si>
  <si>
    <t>Require Controls</t>
  </si>
  <si>
    <t>CA-Likelihood</t>
  </si>
  <si>
    <t>UA-Likelihood</t>
  </si>
  <si>
    <t>HE-Likelihood</t>
  </si>
  <si>
    <t>SF-Likelihood</t>
  </si>
  <si>
    <t>ED-Likelihood</t>
  </si>
  <si>
    <t>All Information Types</t>
  </si>
  <si>
    <t>3.1</t>
  </si>
  <si>
    <t>3.2</t>
  </si>
  <si>
    <t>3.3</t>
  </si>
  <si>
    <t>3.4</t>
  </si>
  <si>
    <t>3.5</t>
  </si>
  <si>
    <t>3.6</t>
  </si>
  <si>
    <t>4.1</t>
  </si>
  <si>
    <t>4.2</t>
  </si>
  <si>
    <t>4.3</t>
  </si>
  <si>
    <t>4.4</t>
  </si>
  <si>
    <t>4.5</t>
  </si>
  <si>
    <t>4.6</t>
  </si>
  <si>
    <t>4.7</t>
  </si>
  <si>
    <t>4.8</t>
  </si>
  <si>
    <t>5.1</t>
  </si>
  <si>
    <t>5.2</t>
  </si>
  <si>
    <t>5.3</t>
  </si>
  <si>
    <t>5.4</t>
  </si>
  <si>
    <t>10.5</t>
  </si>
  <si>
    <t>17.6</t>
  </si>
  <si>
    <t>New Aggregate tab added to the workbook, this tab will be referenced by a separate workbook to consolidate the assessment results of all vendors for future reporting/analysis.</t>
  </si>
  <si>
    <t>Adjusted the Data Values under the Risk Calc/Risk Exposure section to now display Low=1, Medium=3, High=5.</t>
  </si>
  <si>
    <t>CA-Likelihood_%</t>
  </si>
  <si>
    <t>UA-Likelihood_%</t>
  </si>
  <si>
    <t>HE-Likelihood_%</t>
  </si>
  <si>
    <t>SF-Likelihood_%</t>
  </si>
  <si>
    <t>AVG-Likelihood-AllCats_%</t>
  </si>
  <si>
    <t>CA-Likelihood_%_CC</t>
  </si>
  <si>
    <t>UA-Likelihood_%_CC</t>
  </si>
  <si>
    <t>HE-Likelihood_%_CC</t>
  </si>
  <si>
    <t>SF-Likelihood_%_CC</t>
  </si>
  <si>
    <t>OVERRIDE</t>
  </si>
  <si>
    <t>Criteria:</t>
  </si>
  <si>
    <t>Search Technology MASTER tab for any control with the status of OVERRIDE</t>
  </si>
  <si>
    <t>Adjusted the Tolerance Thresholds under the Risk Calc/Risk Appetite section to now display Acceptable &lt;=18, Tolerable=19 to 53, Unacceptable &gt;= 54.</t>
  </si>
  <si>
    <t>New Override Calc tab created to track control questions that are overriden throughout the assessment process, this information will funnel up into the central reporting tool.</t>
  </si>
  <si>
    <t>FINAL</t>
  </si>
  <si>
    <t xml:space="preserve">Health information, SSN, Credit Card Number, clinical research data, insurance information, human/employee data, board materials. </t>
  </si>
  <si>
    <t xml:space="preserve">Mental health information, substance abuse information, sexually transmitted infections. </t>
  </si>
  <si>
    <t>Adjusted examples for Highly Sensitve and Sensitive data.</t>
  </si>
  <si>
    <t>Concatentated value to send to AGGREGATE tab:</t>
  </si>
  <si>
    <t>Changed control question 10.5 to RECOMMEND (from REQUIRED).</t>
  </si>
  <si>
    <t># Controls Override</t>
  </si>
  <si>
    <t>List Controls Override</t>
  </si>
  <si>
    <t>Completion Date</t>
  </si>
  <si>
    <t>Created new field within VENDOR QUESTIONNAIRE to capture Completion Date.  Also, modified date in top right corner of Assessment Results tab to now display this date.</t>
  </si>
  <si>
    <t>Added additional attributes to the AGGREGRATE tab for reporting, new columns include % of the attack scenarios as well as the overall percent compliant across all categories. Also, now capturing # of controls as well as the control names that are being overridden within this tab.</t>
  </si>
  <si>
    <t>ANALYST COMMENTS/JUSTIFICATION</t>
  </si>
  <si>
    <t>CONTROLS ADJUSTMENTS MADE AFTER ANALYSIS</t>
  </si>
  <si>
    <t>Unauthorized Access to Systems/Data</t>
  </si>
  <si>
    <t>Updated logo on both VENDOR QUESTIONNAIRE &amp; Assessment Results.</t>
  </si>
  <si>
    <t>Included new section at the bottom of the Assessment Results tab to record the OVERRIDES made throughout the assessment.  Also, provided a notes field for the analyst to document their comments/justification.</t>
  </si>
  <si>
    <t>Turnaround Time</t>
  </si>
  <si>
    <t>ED-Likelihood_%</t>
  </si>
  <si>
    <t>ED-Likelihood_%_CC</t>
  </si>
  <si>
    <t>Under the Assessment Results tab applied conditional formatting to hide non-conforming controls that don't map to policy (currently represented by a "0") this will now be a blank cell for a cleaner look.</t>
  </si>
  <si>
    <t>Also under the Assessment Results tab modifed the Breakdown of Controls by Attack Scenario table there was a miconfgiuration in the Compensating Controls, % Adjustment and Likelihood After Comp Controls, those numbers will now pull from the Risk Calc Tab.</t>
  </si>
  <si>
    <t>Are logs being aggregated to a central log management system for analysis and review?</t>
  </si>
  <si>
    <t>Corrected grammar on question 6.4.</t>
  </si>
  <si>
    <t>Added two new tracking metrics "Date Security Received" responses and "Turnaround (Days)" this will be enter by Security Analyst and can be found in the first section of the VENDOR QUESTIONNAIRE.  Fields will appears when Completion Date is entered.</t>
  </si>
  <si>
    <t>Date Security Received</t>
  </si>
  <si>
    <t>Turnaround</t>
  </si>
  <si>
    <t>Turnaround (Days)</t>
  </si>
  <si>
    <t>Corrected mis-calculation with the Risk Calc tab AE40:AE44 to accurately report the Likelihood AFTER Comp Controls are applied.</t>
  </si>
  <si>
    <t>Changed Cell C158 in the VENDOR QUESTIONAIRE to a Text Format to account for the trailing zero in 16.10, same change was also made in the Technology Master sheet Cell C88.</t>
  </si>
  <si>
    <t>Made adjustments within the Assessments Results tab to account for OVERRIDES for Cells J18:K37 and also O18:S37, previously these ranges would only count if the vendor responded as YES.</t>
  </si>
  <si>
    <t>Similar to the aboive made adjustment to the Risk Calc tab to account for OVERRIDES for Cells T40:U44, previously these ranges would only count if the verndor responded as YES.</t>
  </si>
  <si>
    <t>BASIC</t>
  </si>
  <si>
    <t>ORG.</t>
  </si>
  <si>
    <t>FOUNDATIONAL</t>
  </si>
  <si>
    <t>Within the Assessment Results tab created labels in COLUMN A to identify the three control categorires… BASIC, FOUNDATIONAL &amp; ORGANIZATIONAL.</t>
  </si>
  <si>
    <t>Tier 1 - Mission Critical 
(0-8 hours RTO) 
(0-1 hour RPO)</t>
  </si>
  <si>
    <t>Tier 2 - Business Critical 
(9-24 hours RTO) 
(1-24 hours RPO)</t>
  </si>
  <si>
    <t>Tier 3 - Important 
(25 hours – 1-week RTO) 
(24 hours RPO)</t>
  </si>
  <si>
    <t>Tier 4 - Deferrable 
(&gt;1-week RTO) 
(24+ hours RPO)</t>
  </si>
  <si>
    <t>Definition</t>
  </si>
  <si>
    <t>Systems that may not meet the criteria of mission-critical but will need to be available and operating soon after.</t>
  </si>
  <si>
    <t>Systems (often minor) which are often those that are not immediately required to support critical infrastructure or business processes.</t>
  </si>
  <si>
    <t>Redefined the Availability defintiions and descriptions within the VENDOR QUESTIONNAIRE tab.</t>
  </si>
  <si>
    <t>Requesting Dept. Cost Center</t>
  </si>
  <si>
    <t>Supply Chain Risk Assessment Questionnaire</t>
  </si>
  <si>
    <t xml:space="preserve"> - - THE SECTION BELOW IS TO BE COMPLETED BY THE APPLICATION ANALYST - -</t>
  </si>
  <si>
    <t>Systems that have the greatest impact on Customer’s continued operations with an immediate need for recovery.</t>
  </si>
  <si>
    <t>Systems that will require recovery but only after critical business functions are restored.  They could have an impact on Customer if not available in the near term.</t>
  </si>
  <si>
    <t xml:space="preserve">Welcome to the Customer Technology Risk Assessment Questionnaire.  This assessment consists of two sections, the first labeled "Vendor Profile" that includes questions about your business,  service and/or product being evaluated.   The second section labeled "Technical Assessment" contains a series of questions to be answered that will provide insight into the maturity of your cyber security program. </t>
  </si>
  <si>
    <t>Customer Responsible</t>
  </si>
  <si>
    <t>High level view on the assessment process (diagram shown to the right):
1) The initial request for new or change of technology is submitted by the Customer Application Team/Business Unit, once complete the Technology Risk Assessment Questionnaire is routed to the vendor.
2) The vendor will complete the multiple-choice questionnaire and return the results back to Customer.
3) The Customer Security Team will assess the vendors response and summarize the results within the tab labeled “Assessment Summary”, this report will highlight the data value being handled by the solution, the risk exposure (impact/likelihood of a threat event) and whether the security controls implemented by the vendor meet the risk appetite defined by Customer leadership.
4) The Customer Security Team will present their findings to the Customer Application Team/Business Unit, any gaps identified and/or guidance as to how the solution should be deployed within with the environment will be addressed at this time.
5) Results of the assessment are formally documented with the central Governance, Risk &amp; Compliance (GRC) tool.  Any gap identified in the prior step will be added to the risk register, prioritized by the Security Team and assigned to the Application Team/Business Unit for remediation.  If the assessment results fall within the tolerable levels of the organization the solution may at this point advance to Step 8 in the process (Approved for Use).  NOTE: it is suggested that the Customer Application Team still work on developing a plan to address any gap in the long-term strategy of the solution.  If the assessment results however fall outside the tolerable levels of the organization the solution must move to Step 6 in the process (Remediation Phase) as it is not approved for use until gaps are addressed and risk is driven to an acceptable level.
6) The Customer Application Team/Business Unit will establish a remediation plan to address the gaps identified (working with the vendor if needed).  If the gaps are remediated and risk is reduced to a tolerable level the risk register is updated within the GRC tool and the request is moved to Step 8 of the process (Approved for Use).  If the gaps cannot be remediated to an accepted level (due to financial constraints, technology challenges, etc.) and the solution is still critical to the environment the Application Team/Business Unit will need to prepare a business case to be reviewed and the residual risk accepted by the Customer Leadership team before it can be advanced to Step 8.  
7) The Customer Leadership team will review the business case documented and decide whether to accept the residual risk which would advance the assessment process to Step 8 (Approved for Use) or reject the request which would halt any further movement of the project.
8) The solution is approved for use, the Customer Security team is to remain involved during the planning, development, testing and implementation phases to ensure no additional risk is introduced.
9) Once the solution has been implemented it is to be re-assessed/evaluated on a regular basis, the Customer Security team will create a reminder to trigger an event at the time defined within organizations policy.</t>
  </si>
  <si>
    <t>Supply Chain Risk Assessment Questionnaire Results</t>
  </si>
  <si>
    <t xml:space="preserve"> - - THIS SECTION IS TO BE COMPLETED BY CYBERSECURITY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</si>
</sst>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60">
    <font>
      <sz val="12"/>
      <color theme="1"/>
      <name val="Calibri"/>
      <family val="2"/>
      <scheme val="minor"/>
    </font>
    <font>
      <sz val="11"/>
      <color theme="1"/>
      <name val="Calibri"/>
      <family val="2"/>
      <scheme val="minor"/>
    </font>
    <font>
      <sz val="14"/>
      <color theme="0"/>
      <name val="Calibri"/>
      <family val="2"/>
      <scheme val="minor"/>
    </font>
    <font>
      <sz val="14"/>
      <name val="Calibri"/>
      <family val="2"/>
      <scheme val="minor"/>
    </font>
    <font>
      <b/>
      <sz val="11"/>
      <color theme="1"/>
      <name val="Calibri"/>
      <family val="2"/>
      <scheme val="minor"/>
    </font>
    <font>
      <sz val="12"/>
      <color theme="0"/>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4"/>
      <color theme="0"/>
      <name val="Calibri"/>
      <family val="2"/>
      <scheme val="minor"/>
    </font>
    <font>
      <b/>
      <u/>
      <sz val="12"/>
      <color theme="1"/>
      <name val="Calibri"/>
      <family val="2"/>
      <scheme val="minor"/>
    </font>
    <font>
      <sz val="18"/>
      <color theme="1"/>
      <name val="Calibri"/>
      <family val="2"/>
      <scheme val="minor"/>
    </font>
    <font>
      <sz val="22"/>
      <color theme="1"/>
      <name val="Calibri"/>
      <family val="2"/>
      <scheme val="minor"/>
    </font>
    <font>
      <sz val="26"/>
      <color theme="1"/>
      <name val="Calibri"/>
      <family val="2"/>
      <scheme val="minor"/>
    </font>
    <font>
      <sz val="48"/>
      <color rgb="FFFF0000"/>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b/>
      <sz val="22"/>
      <color rgb="FFFF0000"/>
      <name val="Calibri"/>
      <family val="2"/>
      <scheme val="minor"/>
    </font>
    <font>
      <u/>
      <sz val="18"/>
      <color theme="0"/>
      <name val="Calibri"/>
      <family val="2"/>
      <scheme val="minor"/>
    </font>
    <font>
      <sz val="16"/>
      <color theme="0"/>
      <name val="Calibri"/>
      <family val="2"/>
      <scheme val="minor"/>
    </font>
    <font>
      <u/>
      <sz val="12"/>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36"/>
      <color theme="1"/>
      <name val="Calibri"/>
      <family val="2"/>
      <scheme val="minor"/>
    </font>
    <font>
      <b/>
      <sz val="16"/>
      <color theme="0"/>
      <name val="Calibri"/>
      <family val="2"/>
      <scheme val="minor"/>
    </font>
    <font>
      <sz val="20"/>
      <color theme="1"/>
      <name val="Calibri"/>
      <family val="2"/>
      <scheme val="minor"/>
    </font>
    <font>
      <b/>
      <u/>
      <sz val="12"/>
      <color theme="0"/>
      <name val="Calibri"/>
      <family val="2"/>
      <scheme val="minor"/>
    </font>
    <font>
      <sz val="9"/>
      <color indexed="81"/>
      <name val="Tahoma"/>
      <family val="2"/>
    </font>
    <font>
      <sz val="12"/>
      <name val="Calibri"/>
      <family val="2"/>
      <scheme val="minor"/>
    </font>
    <font>
      <b/>
      <sz val="18"/>
      <color theme="0"/>
      <name val="Calibri"/>
      <family val="2"/>
      <scheme val="minor"/>
    </font>
    <font>
      <b/>
      <sz val="14"/>
      <color theme="3"/>
      <name val="Calibri"/>
      <family val="2"/>
      <scheme val="minor"/>
    </font>
    <font>
      <sz val="12"/>
      <color theme="3"/>
      <name val="Calibri"/>
      <family val="2"/>
      <scheme val="minor"/>
    </font>
    <font>
      <sz val="24"/>
      <color theme="0"/>
      <name val="Calibri"/>
      <family val="2"/>
      <scheme val="minor"/>
    </font>
    <font>
      <b/>
      <sz val="9"/>
      <color indexed="81"/>
      <name val="Tahoma"/>
      <family val="2"/>
    </font>
    <font>
      <sz val="10"/>
      <name val="Calibri"/>
      <family val="1"/>
      <scheme val="minor"/>
    </font>
    <font>
      <sz val="20"/>
      <color rgb="FF0070C0"/>
      <name val="Comic Sans MS"/>
      <family val="4"/>
    </font>
    <font>
      <sz val="10"/>
      <color rgb="FF0070C0"/>
      <name val="Comic Sans MS"/>
      <family val="4"/>
    </font>
    <font>
      <sz val="10"/>
      <name val="Calibri"/>
      <family val="2"/>
      <scheme val="minor"/>
    </font>
    <font>
      <sz val="10"/>
      <name val="Calibri"/>
      <family val="2"/>
    </font>
    <font>
      <sz val="14"/>
      <color theme="1"/>
      <name val="Calibri"/>
      <family val="2"/>
      <scheme val="minor"/>
    </font>
    <font>
      <sz val="24"/>
      <color theme="1"/>
      <name val="Calibri"/>
      <family val="2"/>
      <scheme val="minor"/>
    </font>
    <font>
      <sz val="26"/>
      <color rgb="FFC00000"/>
      <name val="Calibri"/>
      <family val="2"/>
      <scheme val="minor"/>
    </font>
    <font>
      <sz val="10"/>
      <color theme="1"/>
      <name val="Calibri"/>
      <family val="2"/>
      <scheme val="minor"/>
    </font>
    <font>
      <b/>
      <sz val="18"/>
      <color theme="1"/>
      <name val="Calibri"/>
      <family val="2"/>
      <scheme val="minor"/>
    </font>
    <font>
      <b/>
      <sz val="24"/>
      <name val="Calibri"/>
      <family val="2"/>
      <scheme val="minor"/>
    </font>
    <font>
      <b/>
      <sz val="24"/>
      <color theme="1"/>
      <name val="Calibri"/>
      <family val="2"/>
      <scheme val="minor"/>
    </font>
    <font>
      <sz val="20"/>
      <color theme="0"/>
      <name val="Calibri"/>
      <family val="2"/>
      <scheme val="minor"/>
    </font>
    <font>
      <b/>
      <sz val="20"/>
      <color theme="1"/>
      <name val="Calibri"/>
      <family val="2"/>
      <scheme val="minor"/>
    </font>
    <font>
      <i/>
      <sz val="14"/>
      <name val="Calibri"/>
      <family val="2"/>
      <scheme val="minor"/>
    </font>
    <font>
      <sz val="24"/>
      <color rgb="FFFF0000"/>
      <name val="Calibri"/>
      <family val="2"/>
      <scheme val="minor"/>
    </font>
    <font>
      <sz val="22"/>
      <name val="Calibri"/>
      <family val="2"/>
      <scheme val="minor"/>
    </font>
    <font>
      <sz val="26"/>
      <color theme="0"/>
      <name val="Calibri"/>
      <family val="2"/>
      <scheme val="minor"/>
    </font>
    <font>
      <b/>
      <u/>
      <sz val="11"/>
      <color theme="1"/>
      <name val="Calibri"/>
      <family val="2"/>
      <scheme val="minor"/>
    </font>
    <font>
      <b/>
      <sz val="14"/>
      <color theme="7" tint="-0.499984740745262"/>
      <name val="Calibri"/>
      <family val="2"/>
      <scheme val="minor"/>
    </font>
  </fonts>
  <fills count="44">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0000"/>
        <bgColor indexed="64"/>
      </patternFill>
    </fill>
    <fill>
      <patternFill patternType="solid">
        <fgColor rgb="FFFFDCDA"/>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bgColor indexed="64"/>
      </patternFill>
    </fill>
    <fill>
      <patternFill patternType="solid">
        <fgColor theme="0" tint="-0.499984740745262"/>
        <bgColor indexed="64"/>
      </patternFill>
    </fill>
    <fill>
      <patternFill patternType="solid">
        <fgColor theme="8"/>
        <bgColor indexed="64"/>
      </patternFill>
    </fill>
    <fill>
      <patternFill patternType="solid">
        <fgColor theme="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7030A0"/>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CCC"/>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4" tint="-0.249977111117893"/>
        <bgColor indexed="64"/>
      </patternFill>
    </fill>
  </fills>
  <borders count="14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Dashed">
        <color theme="3"/>
      </left>
      <right/>
      <top style="mediumDashed">
        <color theme="3"/>
      </top>
      <bottom/>
      <diagonal/>
    </border>
    <border>
      <left style="mediumDashed">
        <color theme="3"/>
      </left>
      <right/>
      <top/>
      <bottom/>
      <diagonal/>
    </border>
    <border>
      <left style="mediumDashed">
        <color theme="3"/>
      </left>
      <right/>
      <top/>
      <bottom style="mediumDashed">
        <color theme="3"/>
      </bottom>
      <diagonal/>
    </border>
    <border>
      <left/>
      <right style="mediumDashed">
        <color theme="3"/>
      </right>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auto="1"/>
      </bottom>
      <diagonal/>
    </border>
    <border>
      <left style="medium">
        <color indexed="64"/>
      </left>
      <right/>
      <top style="thin">
        <color auto="1"/>
      </top>
      <bottom/>
      <diagonal/>
    </border>
    <border>
      <left style="medium">
        <color indexed="64"/>
      </left>
      <right/>
      <top/>
      <bottom style="thin">
        <color indexed="64"/>
      </bottom>
      <diagonal/>
    </border>
    <border>
      <left style="thin">
        <color auto="1"/>
      </left>
      <right style="medium">
        <color indexed="64"/>
      </right>
      <top/>
      <bottom style="thin">
        <color auto="1"/>
      </bottom>
      <diagonal/>
    </border>
    <border>
      <left/>
      <right/>
      <top style="thin">
        <color auto="1"/>
      </top>
      <bottom style="thin">
        <color auto="1"/>
      </bottom>
      <diagonal/>
    </border>
    <border>
      <left style="medium">
        <color indexed="64"/>
      </left>
      <right/>
      <top style="thin">
        <color auto="1"/>
      </top>
      <bottom style="thin">
        <color auto="1"/>
      </bottom>
      <diagonal/>
    </border>
    <border>
      <left style="thick">
        <color auto="1"/>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diagonal/>
    </border>
    <border>
      <left style="thin">
        <color auto="1"/>
      </left>
      <right style="thin">
        <color auto="1"/>
      </right>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style="thick">
        <color theme="8"/>
      </left>
      <right/>
      <top style="thick">
        <color theme="8"/>
      </top>
      <bottom/>
      <diagonal/>
    </border>
    <border>
      <left/>
      <right/>
      <top style="thick">
        <color theme="8"/>
      </top>
      <bottom/>
      <diagonal/>
    </border>
    <border>
      <left/>
      <right style="thick">
        <color theme="8"/>
      </right>
      <top style="thick">
        <color theme="8"/>
      </top>
      <bottom/>
      <diagonal/>
    </border>
    <border>
      <left style="thick">
        <color theme="8"/>
      </left>
      <right/>
      <top/>
      <bottom/>
      <diagonal/>
    </border>
    <border>
      <left/>
      <right style="thick">
        <color theme="8"/>
      </right>
      <top/>
      <bottom/>
      <diagonal/>
    </border>
    <border>
      <left style="thin">
        <color auto="1"/>
      </left>
      <right style="thick">
        <color theme="8"/>
      </right>
      <top style="thin">
        <color auto="1"/>
      </top>
      <bottom style="thin">
        <color auto="1"/>
      </bottom>
      <diagonal/>
    </border>
    <border>
      <left style="thick">
        <color theme="8"/>
      </left>
      <right style="thin">
        <color theme="1" tint="0.249977111117893"/>
      </right>
      <top style="thin">
        <color theme="1" tint="0.249977111117893"/>
      </top>
      <bottom style="thin">
        <color theme="1" tint="0.249977111117893"/>
      </bottom>
      <diagonal/>
    </border>
    <border>
      <left/>
      <right style="thick">
        <color theme="8"/>
      </right>
      <top style="thin">
        <color indexed="64"/>
      </top>
      <bottom/>
      <diagonal/>
    </border>
    <border>
      <left/>
      <right style="thin">
        <color auto="1"/>
      </right>
      <top style="thin">
        <color auto="1"/>
      </top>
      <bottom style="thick">
        <color theme="8"/>
      </bottom>
      <diagonal/>
    </border>
    <border>
      <left style="thin">
        <color indexed="64"/>
      </left>
      <right/>
      <top/>
      <bottom style="thick">
        <color theme="8"/>
      </bottom>
      <diagonal/>
    </border>
    <border>
      <left/>
      <right style="thin">
        <color auto="1"/>
      </right>
      <top/>
      <bottom style="thick">
        <color theme="8"/>
      </bottom>
      <diagonal/>
    </border>
    <border>
      <left/>
      <right style="thick">
        <color theme="8"/>
      </right>
      <top/>
      <bottom style="thick">
        <color theme="8"/>
      </bottom>
      <diagonal/>
    </border>
    <border>
      <left style="thin">
        <color auto="1"/>
      </left>
      <right style="thin">
        <color auto="1"/>
      </right>
      <top style="thin">
        <color auto="1"/>
      </top>
      <bottom style="thick">
        <color theme="8"/>
      </bottom>
      <diagonal/>
    </border>
    <border>
      <left style="thin">
        <color auto="1"/>
      </left>
      <right style="thick">
        <color theme="8"/>
      </right>
      <top style="thin">
        <color auto="1"/>
      </top>
      <bottom style="thick">
        <color theme="8"/>
      </bottom>
      <diagonal/>
    </border>
    <border>
      <left style="thick">
        <color theme="8"/>
      </left>
      <right style="thin">
        <color auto="1"/>
      </right>
      <top style="thin">
        <color auto="1"/>
      </top>
      <bottom style="thin">
        <color auto="1"/>
      </bottom>
      <diagonal/>
    </border>
    <border>
      <left style="thick">
        <color theme="8"/>
      </left>
      <right/>
      <top style="thin">
        <color auto="1"/>
      </top>
      <bottom/>
      <diagonal/>
    </border>
    <border>
      <left style="thick">
        <color theme="8"/>
      </left>
      <right/>
      <top/>
      <bottom style="thick">
        <color theme="8"/>
      </bottom>
      <diagonal/>
    </border>
    <border>
      <left/>
      <right/>
      <top/>
      <bottom style="thick">
        <color theme="8"/>
      </bottom>
      <diagonal/>
    </border>
    <border>
      <left style="thick">
        <color theme="8"/>
      </left>
      <right style="thin">
        <color theme="1"/>
      </right>
      <top style="thin">
        <color theme="1"/>
      </top>
      <bottom/>
      <diagonal/>
    </border>
    <border>
      <left style="thin">
        <color theme="1"/>
      </left>
      <right style="thin">
        <color theme="1"/>
      </right>
      <top style="thin">
        <color theme="1"/>
      </top>
      <bottom/>
      <diagonal/>
    </border>
    <border>
      <left style="thin">
        <color theme="1"/>
      </left>
      <right style="thick">
        <color theme="8"/>
      </right>
      <top style="thin">
        <color theme="1"/>
      </top>
      <bottom/>
      <diagonal/>
    </border>
    <border>
      <left style="thick">
        <color theme="8"/>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8"/>
      </right>
      <top/>
      <bottom style="thin">
        <color theme="1"/>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medium">
        <color theme="1" tint="0.249977111117893"/>
      </right>
      <top style="thin">
        <color theme="1" tint="0.249977111117893"/>
      </top>
      <bottom/>
      <diagonal/>
    </border>
    <border>
      <left style="medium">
        <color rgb="FF0070C0"/>
      </left>
      <right style="double">
        <color rgb="FFFF0000"/>
      </right>
      <top style="medium">
        <color rgb="FF0070C0"/>
      </top>
      <bottom/>
      <diagonal/>
    </border>
    <border>
      <left style="double">
        <color rgb="FFFF0000"/>
      </left>
      <right style="medium">
        <color rgb="FF0070C0"/>
      </right>
      <top style="medium">
        <color rgb="FF0070C0"/>
      </top>
      <bottom/>
      <diagonal/>
    </border>
    <border>
      <left style="medium">
        <color rgb="FF0070C0"/>
      </left>
      <right style="double">
        <color rgb="FFFF0000"/>
      </right>
      <top/>
      <bottom/>
      <diagonal/>
    </border>
    <border>
      <left style="double">
        <color rgb="FFFF0000"/>
      </left>
      <right style="medium">
        <color rgb="FF0070C0"/>
      </right>
      <top/>
      <bottom/>
      <diagonal/>
    </border>
    <border>
      <left style="double">
        <color rgb="FFFF0000"/>
      </left>
      <right style="medium">
        <color rgb="FF0070C0"/>
      </right>
      <top/>
      <bottom style="thin">
        <color rgb="FF0070C0"/>
      </bottom>
      <diagonal/>
    </border>
    <border>
      <left style="medium">
        <color rgb="FF0070C0"/>
      </left>
      <right style="double">
        <color rgb="FFFF0000"/>
      </right>
      <top style="thin">
        <color rgb="FF0070C0"/>
      </top>
      <bottom style="thin">
        <color rgb="FF0070C0"/>
      </bottom>
      <diagonal/>
    </border>
    <border>
      <left style="double">
        <color rgb="FFFF0000"/>
      </left>
      <right style="medium">
        <color rgb="FF0070C0"/>
      </right>
      <top style="thin">
        <color rgb="FF0070C0"/>
      </top>
      <bottom style="thin">
        <color rgb="FF0070C0"/>
      </bottom>
      <diagonal/>
    </border>
    <border>
      <left style="dashed">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dashed">
        <color auto="1"/>
      </right>
      <top style="thin">
        <color auto="1"/>
      </top>
      <bottom style="dash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style="thin">
        <color auto="1"/>
      </bottom>
      <diagonal/>
    </border>
    <border>
      <left/>
      <right style="dashed">
        <color auto="1"/>
      </right>
      <top/>
      <bottom style="thin">
        <color auto="1"/>
      </bottom>
      <diagonal/>
    </border>
    <border>
      <left style="thin">
        <color auto="1"/>
      </left>
      <right/>
      <top style="thin">
        <color auto="1"/>
      </top>
      <bottom style="dashed">
        <color auto="1"/>
      </bottom>
      <diagonal/>
    </border>
    <border>
      <left style="thick">
        <color auto="1"/>
      </left>
      <right/>
      <top style="dashed">
        <color auto="1"/>
      </top>
      <bottom/>
      <diagonal/>
    </border>
    <border>
      <left style="thick">
        <color auto="1"/>
      </left>
      <right/>
      <top/>
      <bottom style="thin">
        <color auto="1"/>
      </bottom>
      <diagonal/>
    </border>
    <border>
      <left style="thick">
        <color auto="1"/>
      </left>
      <right style="thin">
        <color auto="1"/>
      </right>
      <top style="thin">
        <color auto="1"/>
      </top>
      <bottom style="dashed">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thin">
        <color auto="1"/>
      </top>
      <bottom style="dashed">
        <color auto="1"/>
      </bottom>
      <diagonal/>
    </border>
    <border>
      <left style="thick">
        <color theme="8"/>
      </left>
      <right/>
      <top style="thin">
        <color theme="1" tint="0.249977111117893"/>
      </top>
      <bottom style="thick">
        <color theme="8"/>
      </bottom>
      <diagonal/>
    </border>
    <border>
      <left/>
      <right style="thin">
        <color theme="1" tint="0.249977111117893"/>
      </right>
      <top style="thin">
        <color theme="1" tint="0.249977111117893"/>
      </top>
      <bottom style="thick">
        <color theme="8"/>
      </bottom>
      <diagonal/>
    </border>
    <border>
      <left style="medium">
        <color indexed="64"/>
      </left>
      <right style="thin">
        <color theme="1" tint="0.249977111117893"/>
      </right>
      <top style="medium">
        <color indexed="64"/>
      </top>
      <bottom style="thin">
        <color theme="1" tint="0.249977111117893"/>
      </bottom>
      <diagonal/>
    </border>
    <border>
      <left style="thin">
        <color theme="1" tint="0.249977111117893"/>
      </left>
      <right style="thin">
        <color theme="1" tint="0.249977111117893"/>
      </right>
      <top style="medium">
        <color indexed="64"/>
      </top>
      <bottom style="thin">
        <color theme="1" tint="0.249977111117893"/>
      </bottom>
      <diagonal/>
    </border>
    <border>
      <left style="thin">
        <color theme="1" tint="0.249977111117893"/>
      </left>
      <right style="medium">
        <color indexed="64"/>
      </right>
      <top style="medium">
        <color indexed="64"/>
      </top>
      <bottom style="thin">
        <color theme="1" tint="0.249977111117893"/>
      </bottom>
      <diagonal/>
    </border>
    <border>
      <left style="medium">
        <color indexed="64"/>
      </left>
      <right style="thin">
        <color theme="1" tint="0.249977111117893"/>
      </right>
      <top style="thin">
        <color theme="1" tint="0.249977111117893"/>
      </top>
      <bottom style="thin">
        <color theme="1" tint="0.249977111117893"/>
      </bottom>
      <diagonal/>
    </border>
    <border>
      <left style="thin">
        <color theme="1" tint="0.249977111117893"/>
      </left>
      <right style="medium">
        <color indexed="64"/>
      </right>
      <top style="thin">
        <color theme="1" tint="0.249977111117893"/>
      </top>
      <bottom style="thin">
        <color theme="1" tint="0.249977111117893"/>
      </bottom>
      <diagonal/>
    </border>
    <border>
      <left style="medium">
        <color indexed="64"/>
      </left>
      <right style="thin">
        <color theme="1" tint="0.249977111117893"/>
      </right>
      <top style="thin">
        <color theme="1" tint="0.249977111117893"/>
      </top>
      <bottom style="medium">
        <color indexed="64"/>
      </bottom>
      <diagonal/>
    </border>
    <border>
      <left style="thin">
        <color theme="1" tint="0.249977111117893"/>
      </left>
      <right style="thin">
        <color theme="1" tint="0.249977111117893"/>
      </right>
      <top style="thin">
        <color theme="1" tint="0.249977111117893"/>
      </top>
      <bottom style="medium">
        <color indexed="64"/>
      </bottom>
      <diagonal/>
    </border>
    <border>
      <left style="thin">
        <color theme="1" tint="0.249977111117893"/>
      </left>
      <right style="medium">
        <color indexed="64"/>
      </right>
      <top style="thin">
        <color theme="1" tint="0.249977111117893"/>
      </top>
      <bottom style="medium">
        <color indexed="64"/>
      </bottom>
      <diagonal/>
    </border>
    <border>
      <left style="thin">
        <color auto="1"/>
      </left>
      <right/>
      <top style="thin">
        <color auto="1"/>
      </top>
      <bottom style="medium">
        <color indexed="64"/>
      </bottom>
      <diagonal/>
    </border>
    <border>
      <left style="medium">
        <color indexed="64"/>
      </left>
      <right style="thin">
        <color theme="1" tint="0.249977111117893"/>
      </right>
      <top style="medium">
        <color indexed="64"/>
      </top>
      <bottom/>
      <diagonal/>
    </border>
    <border>
      <left style="thin">
        <color theme="1" tint="0.249977111117893"/>
      </left>
      <right/>
      <top style="medium">
        <color indexed="64"/>
      </top>
      <bottom/>
      <diagonal/>
    </border>
    <border>
      <left style="double">
        <color auto="1"/>
      </left>
      <right style="medium">
        <color indexed="64"/>
      </right>
      <top style="thin">
        <color auto="1"/>
      </top>
      <bottom style="thin">
        <color auto="1"/>
      </bottom>
      <diagonal/>
    </border>
  </borders>
  <cellStyleXfs count="2">
    <xf numFmtId="0" fontId="0" fillId="0" borderId="0"/>
    <xf numFmtId="9" fontId="26" fillId="0" borderId="0" applyFont="0" applyFill="0" applyBorder="0" applyAlignment="0" applyProtection="0"/>
  </cellStyleXfs>
  <cellXfs count="796">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left" vertical="top" wrapText="1" inden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2" fillId="2" borderId="1" xfId="0" applyFont="1" applyFill="1" applyBorder="1" applyAlignment="1">
      <alignment horizontal="right" vertical="top" wrapText="1" indent="1"/>
    </xf>
    <xf numFmtId="0" fontId="0" fillId="3" borderId="1" xfId="0"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0" fillId="0" borderId="0" xfId="0" applyBorder="1" applyAlignment="1">
      <alignment horizontal="center" vertical="top"/>
    </xf>
    <xf numFmtId="0" fontId="2" fillId="6" borderId="1" xfId="0" applyFont="1" applyFill="1" applyBorder="1" applyAlignment="1">
      <alignment horizontal="center" vertical="top" wrapText="1"/>
    </xf>
    <xf numFmtId="0" fontId="7" fillId="0" borderId="0" xfId="0" applyFont="1"/>
    <xf numFmtId="0" fontId="7" fillId="11" borderId="0" xfId="0" applyFont="1" applyFill="1" applyAlignment="1">
      <alignment horizontal="center" vertical="center" wrapText="1"/>
    </xf>
    <xf numFmtId="0" fontId="7" fillId="11" borderId="0" xfId="0" applyFont="1" applyFill="1" applyAlignment="1">
      <alignment horizontal="center" vertical="center"/>
    </xf>
    <xf numFmtId="0" fontId="8" fillId="6" borderId="0" xfId="0" applyFont="1" applyFill="1" applyAlignment="1">
      <alignment horizontal="center" vertical="top"/>
    </xf>
    <xf numFmtId="0" fontId="8" fillId="6" borderId="0" xfId="0" applyFont="1" applyFill="1" applyAlignment="1">
      <alignment horizontal="center" vertical="top" wrapText="1"/>
    </xf>
    <xf numFmtId="0" fontId="4" fillId="12" borderId="0" xfId="0" applyFont="1" applyFill="1" applyAlignment="1">
      <alignment horizontal="center" vertical="center"/>
    </xf>
    <xf numFmtId="0" fontId="7" fillId="0" borderId="0" xfId="0" applyFont="1" applyAlignment="1">
      <alignment vertical="center"/>
    </xf>
    <xf numFmtId="0" fontId="8" fillId="0" borderId="0" xfId="0" applyFont="1" applyFill="1" applyAlignment="1">
      <alignment horizontal="center" vertical="center"/>
    </xf>
    <xf numFmtId="0" fontId="7" fillId="0" borderId="0" xfId="0" applyFont="1" applyFill="1"/>
    <xf numFmtId="0" fontId="6" fillId="13" borderId="0" xfId="0" applyFont="1" applyFill="1" applyAlignment="1">
      <alignment horizontal="center" vertical="top"/>
    </xf>
    <xf numFmtId="0" fontId="6" fillId="13" borderId="0" xfId="0" quotePrefix="1" applyFont="1" applyFill="1" applyAlignment="1">
      <alignment horizontal="center" vertical="top"/>
    </xf>
    <xf numFmtId="0" fontId="8" fillId="13"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8" fillId="14" borderId="0" xfId="0" applyFont="1" applyFill="1" applyAlignment="1">
      <alignment horizontal="center" vertical="center" wrapText="1"/>
    </xf>
    <xf numFmtId="0" fontId="8" fillId="14" borderId="0" xfId="0" applyFont="1" applyFill="1" applyAlignment="1">
      <alignment horizontal="left" vertical="center" wrapText="1"/>
    </xf>
    <xf numFmtId="0" fontId="8" fillId="0" borderId="0" xfId="0" applyFont="1" applyAlignment="1">
      <alignment wrapText="1"/>
    </xf>
    <xf numFmtId="0" fontId="8" fillId="14" borderId="0" xfId="0" applyFont="1" applyFill="1" applyAlignment="1">
      <alignment vertical="center" wrapText="1"/>
    </xf>
    <xf numFmtId="0" fontId="7" fillId="0" borderId="0" xfId="0" applyFont="1" applyAlignment="1">
      <alignment wrapText="1"/>
    </xf>
    <xf numFmtId="0" fontId="8" fillId="13" borderId="0" xfId="0" quotePrefix="1" applyFont="1" applyFill="1" applyAlignment="1">
      <alignment horizontal="center" vertical="center" wrapText="1"/>
    </xf>
    <xf numFmtId="0" fontId="7" fillId="15" borderId="0" xfId="0" applyFont="1" applyFill="1" applyAlignment="1">
      <alignment horizontal="left" vertical="center" wrapText="1"/>
    </xf>
    <xf numFmtId="0" fontId="7" fillId="12" borderId="0" xfId="0" applyFont="1" applyFill="1" applyAlignment="1">
      <alignment horizontal="center" vertical="center" wrapText="1"/>
    </xf>
    <xf numFmtId="0" fontId="7" fillId="15" borderId="0" xfId="0" applyFont="1" applyFill="1" applyAlignment="1">
      <alignment horizontal="center" vertical="center" wrapText="1"/>
    </xf>
    <xf numFmtId="0" fontId="7" fillId="15" borderId="0" xfId="0" quotePrefix="1" applyFont="1" applyFill="1" applyAlignment="1">
      <alignment horizontal="center" vertical="center" wrapText="1"/>
    </xf>
    <xf numFmtId="0" fontId="7" fillId="0" borderId="0" xfId="0" applyFont="1" applyAlignment="1">
      <alignment horizontal="center" wrapText="1"/>
    </xf>
    <xf numFmtId="0" fontId="0" fillId="0" borderId="0" xfId="0" applyAlignment="1">
      <alignment horizontal="center"/>
    </xf>
    <xf numFmtId="0" fontId="0" fillId="0" borderId="0" xfId="0" applyAlignment="1">
      <alignment horizontal="left" indent="1"/>
    </xf>
    <xf numFmtId="0" fontId="5" fillId="13" borderId="0" xfId="0" applyFont="1" applyFill="1" applyAlignment="1">
      <alignment horizontal="center" vertical="center" wrapText="1"/>
    </xf>
    <xf numFmtId="0" fontId="0" fillId="0" borderId="0" xfId="0" applyAlignment="1">
      <alignment horizontal="center" vertical="center"/>
    </xf>
    <xf numFmtId="0" fontId="0" fillId="16" borderId="0" xfId="0" applyFill="1" applyAlignment="1">
      <alignment horizontal="center"/>
    </xf>
    <xf numFmtId="0" fontId="0" fillId="16" borderId="0" xfId="0" applyFill="1" applyAlignment="1">
      <alignment horizontal="left" indent="1"/>
    </xf>
    <xf numFmtId="0" fontId="0" fillId="5" borderId="0" xfId="0" applyFill="1" applyAlignment="1">
      <alignment horizontal="center"/>
    </xf>
    <xf numFmtId="0" fontId="0" fillId="5" borderId="0" xfId="0" applyFill="1" applyAlignment="1">
      <alignment horizontal="left" indent="1"/>
    </xf>
    <xf numFmtId="0" fontId="6" fillId="17" borderId="0" xfId="0" quotePrefix="1" applyFont="1" applyFill="1" applyAlignment="1">
      <alignment horizontal="center" vertical="top"/>
    </xf>
    <xf numFmtId="0" fontId="0" fillId="0" borderId="0" xfId="0" applyAlignment="1">
      <alignment horizontal="center"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2" fontId="0" fillId="0" borderId="1" xfId="0" applyNumberFormat="1" applyFill="1" applyBorder="1" applyAlignment="1">
      <alignment horizontal="center" vertical="top"/>
    </xf>
    <xf numFmtId="0" fontId="0" fillId="0" borderId="2" xfId="0" applyBorder="1" applyAlignment="1">
      <alignment horizontal="center" vertical="top" wrapText="1"/>
    </xf>
    <xf numFmtId="0" fontId="0" fillId="3" borderId="2" xfId="0" applyFill="1" applyBorder="1" applyAlignment="1">
      <alignment horizontal="center" vertical="top"/>
    </xf>
    <xf numFmtId="0" fontId="0" fillId="0" borderId="0" xfId="0" applyFill="1" applyBorder="1" applyAlignment="1">
      <alignment horizontal="center" vertical="top"/>
    </xf>
    <xf numFmtId="0" fontId="8" fillId="18" borderId="0" xfId="0" applyFont="1" applyFill="1" applyAlignment="1">
      <alignment horizontal="center" vertical="center" wrapText="1"/>
    </xf>
    <xf numFmtId="0" fontId="8" fillId="19" borderId="0" xfId="0" applyFont="1" applyFill="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top" wrapText="1"/>
    </xf>
    <xf numFmtId="0" fontId="2" fillId="7" borderId="1" xfId="0" applyFont="1" applyFill="1" applyBorder="1" applyAlignment="1">
      <alignment horizontal="center" vertical="top" wrapText="1"/>
    </xf>
    <xf numFmtId="0" fontId="0" fillId="11" borderId="1" xfId="0"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2" xfId="0" applyBorder="1" applyAlignment="1">
      <alignment horizontal="center"/>
    </xf>
    <xf numFmtId="0" fontId="0" fillId="0" borderId="15" xfId="0" applyBorder="1" applyAlignment="1">
      <alignment horizontal="center"/>
    </xf>
    <xf numFmtId="0" fontId="14" fillId="0" borderId="0" xfId="0" applyFont="1"/>
    <xf numFmtId="0" fontId="0" fillId="20" borderId="1" xfId="0" applyFill="1" applyBorder="1" applyAlignment="1">
      <alignment horizontal="center"/>
    </xf>
    <xf numFmtId="0" fontId="0" fillId="20" borderId="14" xfId="0" applyFill="1" applyBorder="1" applyAlignment="1">
      <alignment horizontal="center"/>
    </xf>
    <xf numFmtId="0" fontId="0" fillId="20" borderId="12" xfId="0" applyFill="1" applyBorder="1" applyAlignment="1">
      <alignment horizontal="center"/>
    </xf>
    <xf numFmtId="0" fontId="5" fillId="22" borderId="1" xfId="0" applyFont="1" applyFill="1" applyBorder="1" applyAlignment="1">
      <alignment horizontal="center"/>
    </xf>
    <xf numFmtId="0" fontId="5" fillId="22" borderId="12" xfId="0" applyFont="1" applyFill="1" applyBorder="1" applyAlignment="1">
      <alignment horizontal="center"/>
    </xf>
    <xf numFmtId="0" fontId="10" fillId="21" borderId="19" xfId="0" applyFont="1" applyFill="1" applyBorder="1" applyAlignment="1">
      <alignment horizontal="center"/>
    </xf>
    <xf numFmtId="0" fontId="5" fillId="21" borderId="3" xfId="0" applyFont="1" applyFill="1" applyBorder="1"/>
    <xf numFmtId="0" fontId="10" fillId="21" borderId="17" xfId="0" applyFont="1" applyFill="1" applyBorder="1"/>
    <xf numFmtId="0" fontId="0" fillId="20" borderId="11" xfId="0" applyFill="1" applyBorder="1" applyAlignment="1">
      <alignment horizontal="left" indent="2"/>
    </xf>
    <xf numFmtId="0" fontId="0" fillId="20" borderId="13" xfId="0" applyFill="1" applyBorder="1" applyAlignment="1">
      <alignment horizontal="left" indent="2"/>
    </xf>
    <xf numFmtId="0" fontId="9" fillId="0" borderId="0" xfId="0" applyFont="1"/>
    <xf numFmtId="0" fontId="10" fillId="21" borderId="28" xfId="0" applyFont="1" applyFill="1" applyBorder="1" applyAlignment="1">
      <alignment horizontal="center"/>
    </xf>
    <xf numFmtId="0" fontId="11" fillId="0" borderId="0" xfId="0" applyFont="1"/>
    <xf numFmtId="0" fontId="5" fillId="19" borderId="1" xfId="0" applyFont="1" applyFill="1" applyBorder="1" applyAlignment="1">
      <alignment horizontal="center"/>
    </xf>
    <xf numFmtId="0" fontId="5" fillId="22" borderId="14" xfId="0" applyFont="1" applyFill="1" applyBorder="1" applyAlignment="1">
      <alignment horizontal="center"/>
    </xf>
    <xf numFmtId="0" fontId="5" fillId="19" borderId="14" xfId="0" applyFont="1" applyFill="1" applyBorder="1" applyAlignment="1">
      <alignment horizontal="center"/>
    </xf>
    <xf numFmtId="0" fontId="0" fillId="21" borderId="3" xfId="0" applyFill="1" applyBorder="1" applyAlignment="1"/>
    <xf numFmtId="0" fontId="0" fillId="21" borderId="4" xfId="0" applyFill="1" applyBorder="1" applyAlignment="1"/>
    <xf numFmtId="0" fontId="0" fillId="21" borderId="6" xfId="0" applyFill="1" applyBorder="1" applyAlignment="1"/>
    <xf numFmtId="0" fontId="5" fillId="2" borderId="1" xfId="0" applyFont="1" applyFill="1" applyBorder="1" applyAlignment="1">
      <alignment horizontal="center" vertical="center" wrapText="1"/>
    </xf>
    <xf numFmtId="0" fontId="0" fillId="0" borderId="0" xfId="0" applyFont="1" applyAlignment="1">
      <alignment vertical="center"/>
    </xf>
    <xf numFmtId="0" fontId="0" fillId="8" borderId="8" xfId="0" applyFill="1" applyBorder="1" applyAlignment="1">
      <alignment horizontal="right"/>
    </xf>
    <xf numFmtId="0" fontId="0" fillId="20" borderId="9" xfId="0" applyFill="1" applyBorder="1" applyAlignment="1">
      <alignment horizontal="center"/>
    </xf>
    <xf numFmtId="0" fontId="0" fillId="20" borderId="47" xfId="0" applyFill="1" applyBorder="1" applyAlignment="1">
      <alignment horizontal="center"/>
    </xf>
    <xf numFmtId="0" fontId="0" fillId="20" borderId="22" xfId="0" applyFill="1" applyBorder="1" applyAlignment="1">
      <alignment horizontal="center"/>
    </xf>
    <xf numFmtId="0" fontId="0" fillId="20" borderId="29" xfId="0" applyFill="1" applyBorder="1" applyAlignment="1">
      <alignment horizontal="center"/>
    </xf>
    <xf numFmtId="0" fontId="0" fillId="10" borderId="48" xfId="0" applyFill="1" applyBorder="1" applyAlignment="1">
      <alignment horizontal="right"/>
    </xf>
    <xf numFmtId="0" fontId="0" fillId="0" borderId="1" xfId="0" applyFill="1" applyBorder="1" applyAlignment="1">
      <alignment horizontal="center"/>
    </xf>
    <xf numFmtId="0" fontId="0" fillId="0" borderId="12"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21" borderId="6" xfId="0" applyFill="1" applyBorder="1" applyAlignment="1">
      <alignment wrapText="1"/>
    </xf>
    <xf numFmtId="0" fontId="0" fillId="21" borderId="0" xfId="0" applyFill="1" applyBorder="1" applyAlignment="1">
      <alignment wrapText="1"/>
    </xf>
    <xf numFmtId="0" fontId="0" fillId="0" borderId="0" xfId="0" applyBorder="1"/>
    <xf numFmtId="0" fontId="0" fillId="0" borderId="0" xfId="0" applyBorder="1" applyAlignment="1">
      <alignment wrapText="1"/>
    </xf>
    <xf numFmtId="0" fontId="0" fillId="20" borderId="0" xfId="0" applyFill="1" applyBorder="1" applyAlignment="1">
      <alignment horizontal="center"/>
    </xf>
    <xf numFmtId="0" fontId="27" fillId="0" borderId="56" xfId="0" applyFont="1" applyBorder="1" applyAlignment="1">
      <alignment horizontal="center"/>
    </xf>
    <xf numFmtId="9" fontId="27" fillId="0" borderId="57" xfId="0" applyNumberFormat="1" applyFont="1" applyBorder="1" applyAlignment="1">
      <alignment horizontal="center"/>
    </xf>
    <xf numFmtId="0" fontId="27" fillId="20" borderId="0" xfId="0" applyFont="1" applyFill="1" applyBorder="1" applyAlignment="1">
      <alignment horizontal="center"/>
    </xf>
    <xf numFmtId="9" fontId="27" fillId="20" borderId="0" xfId="0" applyNumberFormat="1"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0" borderId="0" xfId="0" quotePrefix="1"/>
    <xf numFmtId="0" fontId="5" fillId="18" borderId="0" xfId="0" applyFont="1" applyFill="1" applyAlignment="1">
      <alignment horizontal="center"/>
    </xf>
    <xf numFmtId="0" fontId="5" fillId="13" borderId="0" xfId="0" applyFont="1"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5" fillId="22" borderId="1"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0" borderId="11" xfId="0" applyBorder="1"/>
    <xf numFmtId="0" fontId="5" fillId="21" borderId="4" xfId="0" applyFont="1" applyFill="1" applyBorder="1" applyAlignment="1"/>
    <xf numFmtId="0" fontId="0" fillId="0" borderId="0" xfId="0" applyBorder="1" applyAlignment="1">
      <alignment horizontal="center"/>
    </xf>
    <xf numFmtId="0" fontId="0" fillId="21" borderId="0" xfId="0" applyFill="1" applyBorder="1"/>
    <xf numFmtId="0" fontId="0" fillId="20" borderId="8" xfId="0" applyFill="1" applyBorder="1"/>
    <xf numFmtId="0" fontId="0" fillId="20" borderId="9" xfId="0" applyFill="1" applyBorder="1"/>
    <xf numFmtId="0" fontId="10" fillId="21" borderId="58" xfId="0" applyFont="1" applyFill="1" applyBorder="1" applyAlignment="1">
      <alignment horizontal="center"/>
    </xf>
    <xf numFmtId="0" fontId="0" fillId="0" borderId="58" xfId="0" applyBorder="1" applyAlignment="1">
      <alignment horizontal="center"/>
    </xf>
    <xf numFmtId="0" fontId="27" fillId="0" borderId="9" xfId="0" applyFont="1" applyBorder="1" applyAlignment="1">
      <alignment horizontal="center"/>
    </xf>
    <xf numFmtId="0" fontId="27" fillId="0" borderId="10" xfId="0" applyFont="1" applyBorder="1" applyAlignment="1">
      <alignment horizontal="center"/>
    </xf>
    <xf numFmtId="0" fontId="2"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22" borderId="58" xfId="0" applyFont="1" applyFill="1" applyBorder="1" applyAlignment="1">
      <alignment horizontal="center"/>
    </xf>
    <xf numFmtId="0" fontId="0" fillId="20" borderId="58" xfId="0" applyFill="1" applyBorder="1" applyAlignment="1">
      <alignment horizontal="center"/>
    </xf>
    <xf numFmtId="0" fontId="0" fillId="21" borderId="63" xfId="0" applyFill="1" applyBorder="1" applyAlignment="1">
      <alignment horizontal="center"/>
    </xf>
    <xf numFmtId="0" fontId="32" fillId="21" borderId="0" xfId="0" applyFont="1" applyFill="1" applyBorder="1" applyAlignment="1">
      <alignment vertical="center"/>
    </xf>
    <xf numFmtId="0" fontId="0" fillId="20" borderId="59" xfId="0" applyFill="1" applyBorder="1" applyAlignment="1">
      <alignment horizontal="center"/>
    </xf>
    <xf numFmtId="0" fontId="5" fillId="22" borderId="60" xfId="0" applyFont="1" applyFill="1" applyBorder="1" applyAlignment="1">
      <alignment horizontal="center"/>
    </xf>
    <xf numFmtId="0" fontId="0" fillId="20" borderId="60" xfId="0" applyFill="1" applyBorder="1" applyAlignment="1">
      <alignment horizontal="center"/>
    </xf>
    <xf numFmtId="0" fontId="0" fillId="10" borderId="58" xfId="0" applyFill="1" applyBorder="1" applyAlignment="1">
      <alignment horizontal="center"/>
    </xf>
    <xf numFmtId="0" fontId="0" fillId="8" borderId="58" xfId="0" applyFill="1" applyBorder="1" applyAlignment="1">
      <alignment horizontal="center"/>
    </xf>
    <xf numFmtId="9" fontId="0" fillId="0" borderId="58" xfId="1" applyFont="1" applyBorder="1"/>
    <xf numFmtId="0" fontId="12" fillId="0" borderId="0" xfId="0" applyFont="1" applyFill="1" applyBorder="1" applyAlignment="1"/>
    <xf numFmtId="0" fontId="0" fillId="0" borderId="21" xfId="0" applyBorder="1" applyAlignment="1">
      <alignment horizontal="center"/>
    </xf>
    <xf numFmtId="0" fontId="0" fillId="0" borderId="21" xfId="0" applyBorder="1" applyAlignment="1">
      <alignment horizontal="center" vertical="center"/>
    </xf>
    <xf numFmtId="0" fontId="5" fillId="19" borderId="26" xfId="0" applyFont="1" applyFill="1" applyBorder="1" applyAlignment="1">
      <alignment horizontal="left" indent="1"/>
    </xf>
    <xf numFmtId="0" fontId="5" fillId="19" borderId="1" xfId="0" applyFont="1" applyFill="1" applyBorder="1"/>
    <xf numFmtId="0" fontId="5" fillId="19" borderId="14" xfId="0" applyFont="1" applyFill="1" applyBorder="1"/>
    <xf numFmtId="0" fontId="5" fillId="19" borderId="21" xfId="0" applyFont="1" applyFill="1" applyBorder="1" applyAlignment="1">
      <alignment horizontal="center"/>
    </xf>
    <xf numFmtId="0" fontId="5" fillId="19" borderId="12" xfId="0" applyFont="1" applyFill="1" applyBorder="1" applyAlignment="1">
      <alignment horizontal="center"/>
    </xf>
    <xf numFmtId="0" fontId="34" fillId="20" borderId="1" xfId="0" applyFont="1" applyFill="1" applyBorder="1" applyAlignment="1">
      <alignment horizontal="center"/>
    </xf>
    <xf numFmtId="0" fontId="34" fillId="20" borderId="12" xfId="0" applyFont="1" applyFill="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34" fillId="0" borderId="14" xfId="0" applyFont="1" applyBorder="1" applyAlignment="1">
      <alignment horizontal="center"/>
    </xf>
    <xf numFmtId="0" fontId="34" fillId="0" borderId="15" xfId="0" applyFont="1" applyBorder="1" applyAlignment="1">
      <alignment horizontal="center"/>
    </xf>
    <xf numFmtId="0" fontId="34" fillId="0" borderId="58" xfId="0" applyFont="1" applyBorder="1" applyAlignment="1">
      <alignment horizontal="center"/>
    </xf>
    <xf numFmtId="0" fontId="34" fillId="0" borderId="59" xfId="0" applyFont="1" applyBorder="1" applyAlignment="1">
      <alignment horizontal="center"/>
    </xf>
    <xf numFmtId="0" fontId="34" fillId="0" borderId="60" xfId="0" applyFont="1" applyBorder="1" applyAlignment="1">
      <alignment horizontal="center"/>
    </xf>
    <xf numFmtId="0" fontId="34" fillId="0" borderId="61" xfId="0" applyFont="1" applyBorder="1" applyAlignment="1">
      <alignment horizontal="center"/>
    </xf>
    <xf numFmtId="0" fontId="0" fillId="0" borderId="63" xfId="0" applyBorder="1"/>
    <xf numFmtId="0" fontId="0" fillId="0" borderId="63" xfId="0" applyBorder="1" applyAlignment="1">
      <alignment horizontal="center"/>
    </xf>
    <xf numFmtId="0" fontId="0" fillId="0" borderId="64" xfId="0" applyBorder="1"/>
    <xf numFmtId="0" fontId="0" fillId="0" borderId="66" xfId="0" applyBorder="1"/>
    <xf numFmtId="0" fontId="0" fillId="0" borderId="0" xfId="0" applyBorder="1" applyAlignment="1">
      <alignment vertical="top" wrapText="1"/>
    </xf>
    <xf numFmtId="0" fontId="0" fillId="0" borderId="66" xfId="0" applyBorder="1" applyAlignment="1">
      <alignment horizontal="center"/>
    </xf>
    <xf numFmtId="0" fontId="0" fillId="0" borderId="0" xfId="0" applyBorder="1" applyAlignment="1">
      <alignment horizontal="left" indent="2"/>
    </xf>
    <xf numFmtId="0" fontId="9" fillId="0" borderId="0" xfId="0" applyFont="1" applyBorder="1"/>
    <xf numFmtId="0" fontId="11" fillId="0" borderId="0" xfId="0" applyFont="1" applyBorder="1"/>
    <xf numFmtId="0" fontId="0" fillId="0" borderId="68" xfId="0" applyBorder="1"/>
    <xf numFmtId="0" fontId="0" fillId="0" borderId="68" xfId="0" applyBorder="1" applyAlignment="1">
      <alignment horizontal="center"/>
    </xf>
    <xf numFmtId="0" fontId="0" fillId="0" borderId="69" xfId="0" applyBorder="1"/>
    <xf numFmtId="0" fontId="14" fillId="0" borderId="0" xfId="0" applyFont="1" applyBorder="1"/>
    <xf numFmtId="0" fontId="9" fillId="0" borderId="0" xfId="0" applyFont="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center" wrapText="1"/>
    </xf>
    <xf numFmtId="0" fontId="25" fillId="0" borderId="0" xfId="0" applyFont="1" applyBorder="1"/>
    <xf numFmtId="0" fontId="12" fillId="0" borderId="0" xfId="0" applyFont="1" applyBorder="1" applyAlignment="1">
      <alignment horizontal="right"/>
    </xf>
    <xf numFmtId="0" fontId="37" fillId="0" borderId="0" xfId="0" applyFont="1" applyBorder="1" applyAlignment="1">
      <alignment vertical="center" textRotation="90"/>
    </xf>
    <xf numFmtId="0" fontId="0" fillId="0" borderId="79" xfId="0" applyBorder="1"/>
    <xf numFmtId="0" fontId="0" fillId="0" borderId="80" xfId="0" applyBorder="1"/>
    <xf numFmtId="0" fontId="0" fillId="0" borderId="84" xfId="0" applyBorder="1" applyAlignment="1">
      <alignment horizontal="center" vertical="center"/>
    </xf>
    <xf numFmtId="0" fontId="0" fillId="0" borderId="84" xfId="0" applyBorder="1" applyAlignment="1">
      <alignment horizontal="center"/>
    </xf>
    <xf numFmtId="0" fontId="12" fillId="0" borderId="0" xfId="0" applyFont="1" applyBorder="1" applyAlignment="1"/>
    <xf numFmtId="0" fontId="10" fillId="21" borderId="0" xfId="0" applyFont="1" applyFill="1" applyBorder="1" applyAlignment="1">
      <alignment vertical="center" textRotation="90"/>
    </xf>
    <xf numFmtId="0" fontId="5" fillId="2" borderId="79" xfId="0" applyFont="1" applyFill="1" applyBorder="1"/>
    <xf numFmtId="0" fontId="0" fillId="0" borderId="90" xfId="0" applyBorder="1" applyAlignment="1">
      <alignment horizontal="right"/>
    </xf>
    <xf numFmtId="0" fontId="0" fillId="0" borderId="90" xfId="0" applyBorder="1" applyAlignment="1">
      <alignment horizontal="right" vertical="center"/>
    </xf>
    <xf numFmtId="0" fontId="24" fillId="21" borderId="4" xfId="0" applyFont="1" applyFill="1" applyBorder="1" applyAlignment="1"/>
    <xf numFmtId="0" fontId="24" fillId="21" borderId="5" xfId="0" applyFont="1" applyFill="1" applyBorder="1" applyAlignment="1"/>
    <xf numFmtId="0" fontId="0" fillId="15" borderId="1" xfId="0" applyFill="1" applyBorder="1" applyAlignment="1">
      <alignment horizontal="center"/>
    </xf>
    <xf numFmtId="0" fontId="0" fillId="15" borderId="12" xfId="0" applyFill="1" applyBorder="1" applyAlignment="1">
      <alignment horizontal="center"/>
    </xf>
    <xf numFmtId="0" fontId="0" fillId="0" borderId="58" xfId="0" applyBorder="1" applyAlignment="1">
      <alignment horizontal="center" vertical="center"/>
    </xf>
    <xf numFmtId="9" fontId="0" fillId="0" borderId="58" xfId="0" applyNumberFormat="1" applyBorder="1" applyAlignment="1">
      <alignment horizontal="center"/>
    </xf>
    <xf numFmtId="0" fontId="0" fillId="0" borderId="0" xfId="0" applyBorder="1" applyAlignment="1"/>
    <xf numFmtId="0" fontId="0" fillId="0" borderId="80" xfId="0" applyBorder="1" applyAlignment="1">
      <alignment horizontal="center"/>
    </xf>
    <xf numFmtId="0" fontId="0" fillId="0" borderId="92" xfId="0" applyBorder="1"/>
    <xf numFmtId="0" fontId="0" fillId="0" borderId="93" xfId="0" applyBorder="1"/>
    <xf numFmtId="0" fontId="0" fillId="0" borderId="93" xfId="0" applyBorder="1" applyAlignment="1">
      <alignment horizontal="center"/>
    </xf>
    <xf numFmtId="0" fontId="0" fillId="0" borderId="87" xfId="0" applyBorder="1" applyAlignment="1">
      <alignment horizontal="center"/>
    </xf>
    <xf numFmtId="0" fontId="10" fillId="2" borderId="94" xfId="0" applyFont="1" applyFill="1" applyBorder="1" applyAlignment="1"/>
    <xf numFmtId="0" fontId="5" fillId="22" borderId="27" xfId="0" applyFont="1" applyFill="1" applyBorder="1" applyAlignment="1">
      <alignment horizontal="center"/>
    </xf>
    <xf numFmtId="0" fontId="5" fillId="22" borderId="100" xfId="0" applyFont="1" applyFill="1" applyBorder="1" applyAlignment="1">
      <alignment horizontal="center" vertical="center"/>
    </xf>
    <xf numFmtId="0" fontId="5" fillId="22" borderId="101" xfId="0" applyFont="1" applyFill="1" applyBorder="1" applyAlignment="1">
      <alignment horizontal="center" vertical="center"/>
    </xf>
    <xf numFmtId="0" fontId="40" fillId="5" borderId="102" xfId="0" applyFont="1" applyFill="1" applyBorder="1" applyAlignment="1"/>
    <xf numFmtId="0" fontId="40" fillId="5" borderId="104" xfId="0" applyFont="1" applyFill="1" applyBorder="1" applyAlignment="1"/>
    <xf numFmtId="0" fontId="42" fillId="5" borderId="106" xfId="0" applyFont="1" applyFill="1" applyBorder="1" applyAlignment="1">
      <alignment horizontal="center"/>
    </xf>
    <xf numFmtId="0" fontId="43" fillId="5" borderId="107" xfId="0" applyFont="1" applyFill="1" applyBorder="1" applyAlignment="1">
      <alignment horizontal="center" vertical="center"/>
    </xf>
    <xf numFmtId="0" fontId="44" fillId="5" borderId="108" xfId="0" applyFont="1" applyFill="1" applyBorder="1" applyAlignment="1">
      <alignment horizontal="left" indent="1"/>
    </xf>
    <xf numFmtId="164" fontId="43" fillId="5" borderId="107" xfId="0" applyNumberFormat="1" applyFont="1" applyFill="1" applyBorder="1" applyAlignment="1">
      <alignment horizontal="center" vertical="center"/>
    </xf>
    <xf numFmtId="0" fontId="0" fillId="0" borderId="58" xfId="0" applyBorder="1" applyAlignment="1">
      <alignment horizontal="center"/>
    </xf>
    <xf numFmtId="0" fontId="0" fillId="0" borderId="0" xfId="0" applyAlignment="1">
      <alignment horizontal="left" vertical="top"/>
    </xf>
    <xf numFmtId="0" fontId="0" fillId="20" borderId="47" xfId="0" applyFill="1" applyBorder="1" applyAlignment="1">
      <alignment vertical="center" textRotation="90" wrapText="1"/>
    </xf>
    <xf numFmtId="0" fontId="0" fillId="0" borderId="0" xfId="0" applyAlignment="1">
      <alignment vertical="center" wrapText="1"/>
    </xf>
    <xf numFmtId="0" fontId="45" fillId="0" borderId="0" xfId="0" applyFont="1" applyAlignment="1">
      <alignment horizontal="center" vertical="center" textRotation="90" wrapText="1"/>
    </xf>
    <xf numFmtId="0" fontId="0" fillId="20" borderId="0" xfId="0" applyFill="1" applyBorder="1" applyAlignment="1">
      <alignment horizontal="center" vertical="center" textRotation="90" wrapText="1"/>
    </xf>
    <xf numFmtId="0" fontId="9" fillId="0" borderId="0" xfId="0" applyFont="1" applyAlignment="1">
      <alignment horizontal="center" vertical="center"/>
    </xf>
    <xf numFmtId="0" fontId="2" fillId="23" borderId="1" xfId="0" applyFont="1" applyFill="1" applyBorder="1" applyAlignment="1">
      <alignment horizontal="center" vertical="center" wrapText="1"/>
    </xf>
    <xf numFmtId="0" fontId="15" fillId="0" borderId="0" xfId="0" applyFont="1"/>
    <xf numFmtId="0" fontId="0" fillId="20" borderId="0" xfId="0" applyFont="1" applyFill="1" applyBorder="1" applyAlignment="1">
      <alignment horizontal="center" vertical="top"/>
    </xf>
    <xf numFmtId="0" fontId="0" fillId="20" borderId="0" xfId="0" applyFont="1" applyFill="1" applyBorder="1" applyAlignment="1">
      <alignment horizontal="left" vertical="top"/>
    </xf>
    <xf numFmtId="0" fontId="0" fillId="20" borderId="0" xfId="0" applyFont="1" applyFill="1" applyBorder="1" applyAlignment="1">
      <alignment horizontal="left" vertical="top" wrapText="1"/>
    </xf>
    <xf numFmtId="0" fontId="0" fillId="20" borderId="0" xfId="0" applyFont="1" applyFill="1" applyBorder="1" applyAlignment="1">
      <alignment horizontal="center" vertical="center"/>
    </xf>
    <xf numFmtId="0" fontId="0" fillId="20" borderId="0" xfId="0" applyFont="1" applyFill="1" applyBorder="1" applyAlignment="1">
      <alignment horizontal="left"/>
    </xf>
    <xf numFmtId="0" fontId="45" fillId="20" borderId="0" xfId="0" applyFont="1" applyFill="1" applyBorder="1" applyAlignment="1">
      <alignment horizontal="center" vertical="center" wrapText="1"/>
    </xf>
    <xf numFmtId="0" fontId="0" fillId="20" borderId="0" xfId="0" applyFill="1" applyBorder="1" applyAlignment="1">
      <alignment horizontal="center" vertical="top"/>
    </xf>
    <xf numFmtId="0" fontId="0" fillId="20" borderId="0" xfId="0" applyFill="1" applyBorder="1" applyAlignment="1">
      <alignment horizontal="left" vertical="top"/>
    </xf>
    <xf numFmtId="0" fontId="0" fillId="20" borderId="0" xfId="0" applyFill="1" applyBorder="1" applyAlignment="1">
      <alignment horizontal="left" vertical="top" wrapText="1"/>
    </xf>
    <xf numFmtId="0" fontId="9" fillId="20" borderId="0" xfId="0" applyFont="1" applyFill="1" applyBorder="1" applyAlignment="1">
      <alignment horizontal="center" vertical="center"/>
    </xf>
    <xf numFmtId="0" fontId="0" fillId="20" borderId="0" xfId="0" applyFill="1" applyBorder="1" applyAlignment="1">
      <alignment horizontal="left"/>
    </xf>
    <xf numFmtId="0" fontId="0" fillId="20" borderId="129" xfId="0" applyFill="1" applyBorder="1"/>
    <xf numFmtId="0" fontId="0" fillId="20" borderId="130" xfId="0" applyFill="1" applyBorder="1"/>
    <xf numFmtId="0" fontId="0" fillId="20" borderId="129" xfId="0" applyFill="1" applyBorder="1" applyAlignment="1">
      <alignment vertical="center" wrapText="1"/>
    </xf>
    <xf numFmtId="0" fontId="0" fillId="20" borderId="130" xfId="0" applyFill="1" applyBorder="1" applyAlignment="1">
      <alignment vertical="center" wrapText="1"/>
    </xf>
    <xf numFmtId="0" fontId="15" fillId="20" borderId="129" xfId="0" applyFont="1" applyFill="1" applyBorder="1" applyAlignment="1"/>
    <xf numFmtId="0" fontId="15" fillId="20" borderId="130" xfId="0" applyFont="1" applyFill="1" applyBorder="1"/>
    <xf numFmtId="0" fontId="0" fillId="20" borderId="131" xfId="0" applyFill="1" applyBorder="1" applyAlignment="1"/>
    <xf numFmtId="0" fontId="45" fillId="20" borderId="132" xfId="0" applyFont="1" applyFill="1" applyBorder="1" applyAlignment="1">
      <alignment horizontal="center" vertical="center" wrapText="1"/>
    </xf>
    <xf numFmtId="0" fontId="0" fillId="20" borderId="132" xfId="0" applyFill="1" applyBorder="1" applyAlignment="1">
      <alignment horizontal="center" vertical="top"/>
    </xf>
    <xf numFmtId="0" fontId="0" fillId="20" borderId="132" xfId="0" applyFill="1" applyBorder="1" applyAlignment="1">
      <alignment horizontal="left" vertical="top"/>
    </xf>
    <xf numFmtId="0" fontId="0" fillId="20" borderId="132" xfId="0" applyFill="1" applyBorder="1" applyAlignment="1">
      <alignment horizontal="left" vertical="top" wrapText="1"/>
    </xf>
    <xf numFmtId="0" fontId="9" fillId="20" borderId="132" xfId="0" applyFont="1" applyFill="1" applyBorder="1" applyAlignment="1">
      <alignment horizontal="center" vertical="center"/>
    </xf>
    <xf numFmtId="0" fontId="0" fillId="20" borderId="132" xfId="0" applyFill="1" applyBorder="1" applyAlignment="1">
      <alignment horizontal="left"/>
    </xf>
    <xf numFmtId="0" fontId="0" fillId="20" borderId="133" xfId="0" applyFill="1" applyBorder="1"/>
    <xf numFmtId="0" fontId="0" fillId="20" borderId="0" xfId="0" applyFont="1" applyFill="1" applyBorder="1" applyAlignment="1">
      <alignment horizontal="left" vertical="top" wrapText="1" indent="1"/>
    </xf>
    <xf numFmtId="0" fontId="0" fillId="20" borderId="0" xfId="0" applyFont="1" applyFill="1" applyBorder="1" applyAlignment="1">
      <alignment horizontal="left" vertical="center" indent="1"/>
    </xf>
    <xf numFmtId="0" fontId="0" fillId="20" borderId="0" xfId="0" applyFont="1" applyFill="1" applyBorder="1" applyAlignment="1">
      <alignment horizontal="center" vertical="center" wrapText="1"/>
    </xf>
    <xf numFmtId="0" fontId="0" fillId="20" borderId="0" xfId="0" applyFont="1" applyFill="1" applyBorder="1" applyAlignment="1">
      <alignment vertical="top" wrapText="1"/>
    </xf>
    <xf numFmtId="0" fontId="0" fillId="20" borderId="131" xfId="0" applyFill="1" applyBorder="1"/>
    <xf numFmtId="0" fontId="0" fillId="20" borderId="132" xfId="0" applyFont="1" applyFill="1" applyBorder="1" applyAlignment="1">
      <alignment horizontal="center" vertical="center" wrapText="1"/>
    </xf>
    <xf numFmtId="0" fontId="0" fillId="20" borderId="132" xfId="0" applyFont="1" applyFill="1" applyBorder="1" applyAlignment="1">
      <alignment horizontal="center" vertical="top"/>
    </xf>
    <xf numFmtId="0" fontId="0" fillId="20" borderId="132" xfId="0" applyFont="1" applyFill="1" applyBorder="1" applyAlignment="1">
      <alignment horizontal="left" vertical="top"/>
    </xf>
    <xf numFmtId="0" fontId="0" fillId="20" borderId="132" xfId="0" applyFont="1" applyFill="1" applyBorder="1" applyAlignment="1">
      <alignment horizontal="left" vertical="top" wrapText="1"/>
    </xf>
    <xf numFmtId="0" fontId="0" fillId="20" borderId="132" xfId="0" applyFont="1" applyFill="1" applyBorder="1" applyAlignment="1">
      <alignment horizontal="center" vertical="center"/>
    </xf>
    <xf numFmtId="0" fontId="0" fillId="20" borderId="132" xfId="0" applyFont="1" applyFill="1" applyBorder="1" applyAlignment="1">
      <alignment horizontal="left"/>
    </xf>
    <xf numFmtId="0" fontId="0" fillId="20" borderId="129" xfId="0" applyFill="1" applyBorder="1" applyAlignment="1"/>
    <xf numFmtId="0" fontId="45" fillId="20" borderId="130" xfId="0" applyFont="1" applyFill="1" applyBorder="1" applyAlignment="1">
      <alignment vertical="center" wrapText="1"/>
    </xf>
    <xf numFmtId="0" fontId="45" fillId="20" borderId="132" xfId="0" applyFont="1" applyFill="1" applyBorder="1" applyAlignment="1">
      <alignment horizontal="center" vertical="center" textRotation="90" wrapText="1"/>
    </xf>
    <xf numFmtId="0" fontId="0" fillId="20" borderId="132" xfId="0" applyFill="1" applyBorder="1" applyAlignment="1">
      <alignment horizontal="left" vertical="top" wrapText="1" indent="1"/>
    </xf>
    <xf numFmtId="0" fontId="0" fillId="20" borderId="132" xfId="0" applyFill="1" applyBorder="1" applyAlignment="1">
      <alignment horizontal="left" indent="1"/>
    </xf>
    <xf numFmtId="0" fontId="47" fillId="0" borderId="0" xfId="0" applyFont="1" applyBorder="1" applyAlignment="1">
      <alignment horizontal="center" vertical="center"/>
    </xf>
    <xf numFmtId="0" fontId="5" fillId="20" borderId="0" xfId="0" applyFont="1" applyFill="1" applyBorder="1" applyAlignment="1">
      <alignment horizontal="center" vertical="center" wrapText="1"/>
    </xf>
    <xf numFmtId="0" fontId="10" fillId="20" borderId="0" xfId="0" applyFont="1" applyFill="1" applyBorder="1" applyAlignment="1">
      <alignment horizontal="center" vertical="center" wrapText="1"/>
    </xf>
    <xf numFmtId="0" fontId="34" fillId="20" borderId="0" xfId="0" applyFont="1" applyFill="1" applyBorder="1" applyAlignment="1">
      <alignment horizontal="center" vertical="center" wrapText="1"/>
    </xf>
    <xf numFmtId="0" fontId="46" fillId="20" borderId="0" xfId="0" applyFont="1" applyFill="1" applyBorder="1" applyAlignment="1">
      <alignment horizontal="center" vertical="center" wrapText="1"/>
    </xf>
    <xf numFmtId="0" fontId="48" fillId="20" borderId="0" xfId="0" applyFont="1" applyFill="1" applyBorder="1" applyAlignment="1">
      <alignment horizontal="center" vertical="center" wrapText="1"/>
    </xf>
    <xf numFmtId="0" fontId="3" fillId="20" borderId="0" xfId="0" applyFont="1" applyFill="1" applyBorder="1" applyAlignment="1">
      <alignment horizontal="center" vertical="center" wrapText="1"/>
    </xf>
    <xf numFmtId="0" fontId="2" fillId="32" borderId="1" xfId="0" applyFont="1" applyFill="1" applyBorder="1" applyAlignment="1">
      <alignment horizontal="center" vertical="center" wrapText="1"/>
    </xf>
    <xf numFmtId="0" fontId="49" fillId="20" borderId="129" xfId="0" applyFont="1" applyFill="1" applyBorder="1" applyAlignment="1">
      <alignment horizontal="center" vertical="center" wrapText="1"/>
    </xf>
    <xf numFmtId="0" fontId="49" fillId="20"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31" fillId="20" borderId="0" xfId="0" applyFont="1" applyFill="1" applyBorder="1" applyAlignment="1">
      <alignment horizontal="center" vertical="center" wrapText="1"/>
    </xf>
    <xf numFmtId="0" fontId="51" fillId="20" borderId="0" xfId="0" applyFont="1" applyFill="1" applyBorder="1" applyAlignment="1">
      <alignment horizontal="center" vertical="center" wrapText="1"/>
    </xf>
    <xf numFmtId="0" fontId="0" fillId="20" borderId="0" xfId="0" applyFill="1" applyBorder="1" applyAlignment="1">
      <alignment horizontal="center" vertical="center"/>
    </xf>
    <xf numFmtId="0" fontId="0" fillId="0" borderId="1" xfId="0" applyFill="1" applyBorder="1" applyAlignment="1">
      <alignment horizontal="center" vertical="center" wrapText="1"/>
    </xf>
    <xf numFmtId="0" fontId="0" fillId="20" borderId="132" xfId="0" applyFill="1" applyBorder="1" applyAlignment="1">
      <alignment horizontal="center" vertical="center"/>
    </xf>
    <xf numFmtId="0" fontId="0" fillId="20" borderId="41" xfId="0" applyFont="1" applyFill="1" applyBorder="1" applyAlignment="1">
      <alignment horizontal="left"/>
    </xf>
    <xf numFmtId="0" fontId="0" fillId="20" borderId="28" xfId="0" applyFont="1" applyFill="1" applyBorder="1" applyAlignment="1">
      <alignment horizontal="left"/>
    </xf>
    <xf numFmtId="0" fontId="0" fillId="20" borderId="29" xfId="0" applyFont="1" applyFill="1" applyBorder="1" applyAlignment="1">
      <alignment horizontal="left" vertical="top" wrapText="1" indent="1"/>
    </xf>
    <xf numFmtId="0" fontId="0" fillId="20" borderId="29" xfId="0" applyFont="1" applyFill="1" applyBorder="1" applyAlignment="1">
      <alignment horizontal="left" vertical="center" indent="1"/>
    </xf>
    <xf numFmtId="0" fontId="0" fillId="20" borderId="29" xfId="0" applyFont="1" applyFill="1" applyBorder="1" applyAlignment="1">
      <alignment horizontal="center" vertical="center"/>
    </xf>
    <xf numFmtId="0" fontId="0" fillId="0" borderId="97" xfId="0" applyBorder="1" applyAlignment="1">
      <alignment horizontal="center"/>
    </xf>
    <xf numFmtId="0" fontId="10" fillId="23" borderId="137" xfId="0" applyFont="1" applyFill="1" applyBorder="1" applyAlignment="1">
      <alignment horizontal="center"/>
    </xf>
    <xf numFmtId="0" fontId="0" fillId="10" borderId="54" xfId="0" applyFill="1" applyBorder="1" applyAlignment="1">
      <alignment horizontal="center"/>
    </xf>
    <xf numFmtId="0" fontId="0" fillId="0" borderId="51" xfId="0" quotePrefix="1" applyBorder="1"/>
    <xf numFmtId="0" fontId="0" fillId="0" borderId="16" xfId="0" quotePrefix="1" applyBorder="1"/>
    <xf numFmtId="9" fontId="0" fillId="0" borderId="2" xfId="1" applyFont="1" applyFill="1" applyBorder="1"/>
    <xf numFmtId="9" fontId="0" fillId="0" borderId="145" xfId="1" applyFont="1" applyFill="1" applyBorder="1"/>
    <xf numFmtId="0" fontId="0" fillId="15" borderId="11" xfId="0" applyFill="1" applyBorder="1" applyAlignment="1">
      <alignment horizontal="center"/>
    </xf>
    <xf numFmtId="0" fontId="0" fillId="20" borderId="129" xfId="0" applyFont="1" applyFill="1" applyBorder="1" applyAlignment="1">
      <alignment vertical="center"/>
    </xf>
    <xf numFmtId="0" fontId="0" fillId="20" borderId="0" xfId="0" applyFont="1" applyFill="1" applyBorder="1" applyAlignment="1">
      <alignment vertical="center"/>
    </xf>
    <xf numFmtId="0" fontId="0" fillId="20" borderId="130" xfId="0" applyFont="1" applyFill="1" applyBorder="1" applyAlignment="1">
      <alignment vertical="center"/>
    </xf>
    <xf numFmtId="0" fontId="0" fillId="20" borderId="0" xfId="0" applyFill="1" applyBorder="1"/>
    <xf numFmtId="0" fontId="0" fillId="20" borderId="0" xfId="0" applyFill="1" applyBorder="1" applyAlignment="1"/>
    <xf numFmtId="0" fontId="0" fillId="20" borderId="132" xfId="0" applyFill="1" applyBorder="1"/>
    <xf numFmtId="0" fontId="16" fillId="0" borderId="0" xfId="0" applyFont="1" applyAlignment="1">
      <alignment vertical="center"/>
    </xf>
    <xf numFmtId="0" fontId="21" fillId="0" borderId="12" xfId="0" applyFont="1" applyBorder="1" applyAlignment="1" applyProtection="1">
      <alignment horizontal="center"/>
      <protection locked="0"/>
    </xf>
    <xf numFmtId="0" fontId="21" fillId="0" borderId="15" xfId="0" applyFont="1" applyBorder="1" applyAlignment="1" applyProtection="1">
      <alignment horizontal="center"/>
      <protection locked="0"/>
    </xf>
    <xf numFmtId="0" fontId="21" fillId="0" borderId="50" xfId="0" applyFont="1" applyBorder="1" applyAlignment="1" applyProtection="1">
      <alignment horizontal="center"/>
      <protection locked="0"/>
    </xf>
    <xf numFmtId="0" fontId="21" fillId="0" borderId="42" xfId="0" applyFont="1" applyBorder="1" applyAlignment="1" applyProtection="1">
      <alignment horizontal="center"/>
      <protection locked="0"/>
    </xf>
    <xf numFmtId="0" fontId="21" fillId="0" borderId="43" xfId="0" applyFont="1" applyBorder="1" applyAlignment="1" applyProtection="1">
      <alignment horizontal="center"/>
      <protection locked="0"/>
    </xf>
    <xf numFmtId="0" fontId="21" fillId="0" borderId="10" xfId="0" applyFont="1" applyBorder="1" applyAlignment="1" applyProtection="1">
      <alignment horizontal="center"/>
      <protection locked="0"/>
    </xf>
    <xf numFmtId="0" fontId="21" fillId="0" borderId="58" xfId="0" applyFont="1" applyBorder="1" applyAlignment="1" applyProtection="1">
      <alignment horizontal="center"/>
      <protection locked="0"/>
    </xf>
    <xf numFmtId="9" fontId="21" fillId="0" borderId="58" xfId="1" applyFont="1" applyBorder="1" applyAlignment="1" applyProtection="1">
      <alignment horizontal="center"/>
      <protection locked="0"/>
    </xf>
    <xf numFmtId="0" fontId="21" fillId="0" borderId="7" xfId="0" applyFont="1" applyBorder="1" applyAlignment="1" applyProtection="1">
      <alignment horizontal="center"/>
      <protection locked="0"/>
    </xf>
    <xf numFmtId="0" fontId="0" fillId="8"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center" wrapText="1"/>
      <protection locked="0"/>
    </xf>
    <xf numFmtId="0" fontId="0" fillId="0" borderId="1" xfId="0" applyBorder="1" applyAlignment="1" applyProtection="1">
      <alignment horizontal="center" vertical="top"/>
      <protection locked="0"/>
    </xf>
    <xf numFmtId="0" fontId="45" fillId="20" borderId="0" xfId="0" applyFont="1" applyFill="1" applyBorder="1" applyAlignment="1">
      <alignment horizontal="center" vertical="center" textRotation="90" wrapText="1"/>
    </xf>
    <xf numFmtId="0" fontId="0" fillId="20" borderId="0" xfId="0" applyFill="1" applyBorder="1" applyAlignment="1">
      <alignment horizontal="left" vertical="top" wrapText="1" indent="1"/>
    </xf>
    <xf numFmtId="0" fontId="0" fillId="20" borderId="0" xfId="0" applyFill="1" applyBorder="1" applyAlignment="1">
      <alignment horizontal="left" indent="1"/>
    </xf>
    <xf numFmtId="0" fontId="44" fillId="5" borderId="108" xfId="0" applyFont="1" applyFill="1" applyBorder="1" applyAlignment="1">
      <alignment horizontal="left" wrapText="1" indent="1"/>
    </xf>
    <xf numFmtId="0" fontId="10" fillId="21" borderId="137" xfId="0" applyFont="1" applyFill="1" applyBorder="1" applyAlignment="1">
      <alignment horizontal="center"/>
    </xf>
    <xf numFmtId="0" fontId="5" fillId="33" borderId="0" xfId="0" applyFont="1" applyFill="1" applyAlignment="1">
      <alignment horizontal="center"/>
    </xf>
    <xf numFmtId="0" fontId="5" fillId="28" borderId="0" xfId="0" applyFont="1"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54" xfId="0" applyFill="1" applyBorder="1" applyAlignment="1">
      <alignment horizontal="center"/>
    </xf>
    <xf numFmtId="2" fontId="0" fillId="0" borderId="1" xfId="0" applyNumberFormat="1" applyFill="1" applyBorder="1" applyAlignment="1">
      <alignment horizontal="center" vertical="top" wrapText="1"/>
    </xf>
    <xf numFmtId="0" fontId="0" fillId="29" borderId="1" xfId="0" applyFill="1" applyBorder="1" applyAlignment="1">
      <alignment horizontal="center"/>
    </xf>
    <xf numFmtId="0" fontId="5" fillId="2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9" fillId="21" borderId="0" xfId="0" applyFont="1" applyFill="1" applyBorder="1" applyAlignment="1"/>
    <xf numFmtId="0" fontId="5" fillId="21" borderId="0" xfId="0" applyFont="1" applyFill="1" applyBorder="1" applyAlignment="1">
      <alignment vertical="center"/>
    </xf>
    <xf numFmtId="9" fontId="0" fillId="29" borderId="1" xfId="1" applyFont="1" applyFill="1" applyBorder="1" applyAlignment="1">
      <alignment horizontal="center"/>
    </xf>
    <xf numFmtId="9" fontId="0" fillId="0" borderId="1" xfId="1" applyFont="1" applyBorder="1" applyAlignment="1">
      <alignment horizontal="center"/>
    </xf>
    <xf numFmtId="0" fontId="16" fillId="0" borderId="132" xfId="0" applyFont="1" applyBorder="1" applyAlignment="1">
      <alignment vertical="center"/>
    </xf>
    <xf numFmtId="0" fontId="56" fillId="29" borderId="127" xfId="0" applyFont="1" applyFill="1" applyBorder="1" applyAlignment="1"/>
    <xf numFmtId="0" fontId="56" fillId="29" borderId="128" xfId="0" applyFont="1" applyFill="1" applyBorder="1" applyAlignment="1"/>
    <xf numFmtId="0" fontId="0" fillId="29" borderId="126" xfId="0" applyFill="1" applyBorder="1"/>
    <xf numFmtId="0" fontId="0" fillId="29" borderId="127" xfId="0" applyFill="1" applyBorder="1"/>
    <xf numFmtId="0" fontId="0" fillId="29" borderId="0" xfId="0" applyFill="1" applyBorder="1"/>
    <xf numFmtId="0" fontId="0" fillId="29" borderId="0" xfId="0" applyFill="1" applyBorder="1" applyAlignment="1"/>
    <xf numFmtId="0" fontId="0" fillId="29" borderId="128" xfId="0" applyFill="1" applyBorder="1"/>
    <xf numFmtId="0" fontId="0" fillId="29" borderId="130" xfId="0" applyFill="1" applyBorder="1"/>
    <xf numFmtId="0" fontId="0" fillId="29" borderId="132" xfId="0" applyFill="1" applyBorder="1"/>
    <xf numFmtId="0" fontId="0" fillId="29" borderId="133" xfId="0" applyFill="1" applyBorder="1"/>
    <xf numFmtId="0" fontId="0" fillId="0" borderId="0" xfId="0" applyAlignment="1">
      <alignment horizontal="center" wrapText="1"/>
    </xf>
    <xf numFmtId="0" fontId="0" fillId="0" borderId="0" xfId="0" applyAlignment="1">
      <alignment vertical="top"/>
    </xf>
    <xf numFmtId="9" fontId="0" fillId="0" borderId="0" xfId="0" applyNumberFormat="1" applyAlignment="1">
      <alignment horizontal="center" vertical="top"/>
    </xf>
    <xf numFmtId="2" fontId="0" fillId="0" borderId="0" xfId="0" applyNumberFormat="1" applyAlignment="1">
      <alignment horizontal="center"/>
    </xf>
    <xf numFmtId="0" fontId="58" fillId="0" borderId="0" xfId="0" applyFont="1"/>
    <xf numFmtId="0" fontId="5" fillId="38" borderId="1" xfId="0" applyFont="1" applyFill="1" applyBorder="1" applyAlignment="1">
      <alignment horizontal="center"/>
    </xf>
    <xf numFmtId="0" fontId="5" fillId="14" borderId="1" xfId="0" applyFont="1" applyFill="1" applyBorder="1" applyAlignment="1">
      <alignment horizontal="center"/>
    </xf>
    <xf numFmtId="0" fontId="0" fillId="39" borderId="1" xfId="0" applyFill="1" applyBorder="1" applyAlignment="1">
      <alignment horizontal="center"/>
    </xf>
    <xf numFmtId="0" fontId="0" fillId="25" borderId="1" xfId="0" applyFill="1" applyBorder="1" applyAlignment="1">
      <alignment horizontal="center"/>
    </xf>
    <xf numFmtId="0" fontId="5" fillId="40" borderId="1" xfId="0" applyFont="1" applyFill="1" applyBorder="1" applyAlignment="1">
      <alignment horizontal="center"/>
    </xf>
    <xf numFmtId="0" fontId="5" fillId="16" borderId="1" xfId="0" applyFont="1" applyFill="1" applyBorder="1" applyAlignment="1">
      <alignment horizontal="center"/>
    </xf>
    <xf numFmtId="0" fontId="0" fillId="12" borderId="1" xfId="0" applyFill="1" applyBorder="1" applyAlignment="1">
      <alignment horizontal="center"/>
    </xf>
    <xf numFmtId="0" fontId="0" fillId="41" borderId="1" xfId="0" applyFill="1" applyBorder="1" applyAlignment="1">
      <alignment horizontal="center"/>
    </xf>
    <xf numFmtId="0" fontId="0" fillId="5" borderId="1" xfId="0" applyFill="1" applyBorder="1" applyAlignment="1">
      <alignment horizontal="center"/>
    </xf>
    <xf numFmtId="0" fontId="5" fillId="18" borderId="1" xfId="0" applyFont="1" applyFill="1" applyBorder="1" applyAlignment="1">
      <alignment horizontal="center"/>
    </xf>
    <xf numFmtId="0" fontId="5" fillId="13" borderId="1" xfId="0" applyFont="1" applyFill="1" applyBorder="1" applyAlignment="1">
      <alignment horizontal="center"/>
    </xf>
    <xf numFmtId="0" fontId="0" fillId="26" borderId="1" xfId="0" applyFill="1" applyBorder="1" applyAlignment="1">
      <alignment horizontal="center"/>
    </xf>
    <xf numFmtId="0" fontId="0" fillId="27" borderId="1" xfId="0" applyFill="1" applyBorder="1" applyAlignment="1">
      <alignment horizontal="center"/>
    </xf>
    <xf numFmtId="0" fontId="0" fillId="10" borderId="1" xfId="0" applyFill="1" applyBorder="1" applyAlignment="1">
      <alignment horizontal="center"/>
    </xf>
    <xf numFmtId="0" fontId="5" fillId="2" borderId="0" xfId="0" applyFont="1" applyFill="1" applyAlignment="1">
      <alignment horizontal="center"/>
    </xf>
    <xf numFmtId="0" fontId="5" fillId="6" borderId="0" xfId="0" applyFont="1" applyFill="1" applyAlignment="1">
      <alignment horizontal="center"/>
    </xf>
    <xf numFmtId="0" fontId="25" fillId="0" borderId="0" xfId="0" applyFont="1"/>
    <xf numFmtId="0" fontId="10" fillId="42" borderId="1" xfId="0" applyFont="1" applyFill="1" applyBorder="1" applyAlignment="1">
      <alignment horizontal="center"/>
    </xf>
    <xf numFmtId="0" fontId="10" fillId="42" borderId="1" xfId="0" applyFont="1" applyFill="1" applyBorder="1"/>
    <xf numFmtId="0" fontId="10" fillId="43" borderId="146" xfId="0" applyFont="1" applyFill="1" applyBorder="1" applyAlignment="1">
      <alignment horizontal="center"/>
    </xf>
    <xf numFmtId="0" fontId="0" fillId="20" borderId="11" xfId="0" applyFill="1" applyBorder="1" applyAlignment="1">
      <alignment horizontal="center"/>
    </xf>
    <xf numFmtId="0" fontId="0" fillId="20" borderId="13" xfId="0" applyFill="1" applyBorder="1" applyAlignment="1">
      <alignment horizontal="center"/>
    </xf>
    <xf numFmtId="0" fontId="1" fillId="20" borderId="140" xfId="0" applyFont="1" applyFill="1" applyBorder="1" applyAlignment="1">
      <alignment horizontal="center" vertical="top"/>
    </xf>
    <xf numFmtId="0" fontId="1" fillId="20" borderId="142" xfId="0" applyFont="1" applyFill="1" applyBorder="1" applyAlignment="1">
      <alignment horizontal="center" vertical="top"/>
    </xf>
    <xf numFmtId="0" fontId="1" fillId="20" borderId="140" xfId="0" applyFont="1" applyFill="1" applyBorder="1" applyAlignment="1">
      <alignment vertical="center"/>
    </xf>
    <xf numFmtId="0" fontId="1" fillId="20" borderId="142" xfId="0" applyFont="1" applyFill="1" applyBorder="1" applyAlignment="1">
      <alignment vertical="center"/>
    </xf>
    <xf numFmtId="165" fontId="0" fillId="0" borderId="0" xfId="0" applyNumberFormat="1" applyAlignment="1">
      <alignment horizontal="center" vertical="top"/>
    </xf>
    <xf numFmtId="14" fontId="0" fillId="0" borderId="0" xfId="0" applyNumberFormat="1" applyAlignment="1">
      <alignment horizontal="center" vertical="top"/>
    </xf>
    <xf numFmtId="1" fontId="0" fillId="0" borderId="0" xfId="0" applyNumberFormat="1" applyAlignment="1">
      <alignment horizontal="center" vertical="top"/>
    </xf>
    <xf numFmtId="0" fontId="0" fillId="0" borderId="58" xfId="0" applyBorder="1" applyAlignment="1">
      <alignment horizontal="center"/>
    </xf>
    <xf numFmtId="49" fontId="0" fillId="0" borderId="1" xfId="0" applyNumberFormat="1" applyFill="1" applyBorder="1" applyAlignment="1">
      <alignment horizontal="center" vertical="top"/>
    </xf>
    <xf numFmtId="0" fontId="12" fillId="20" borderId="109"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48" fillId="0" borderId="2" xfId="0" applyFont="1" applyBorder="1" applyAlignment="1">
      <alignment horizontal="center" vertical="center" wrapText="1"/>
    </xf>
    <xf numFmtId="0" fontId="12" fillId="20" borderId="49" xfId="0" applyFont="1" applyFill="1" applyBorder="1" applyAlignment="1">
      <alignment horizontal="center" vertical="center" wrapText="1"/>
    </xf>
    <xf numFmtId="0" fontId="48" fillId="0" borderId="110" xfId="0" applyFont="1" applyBorder="1" applyAlignment="1">
      <alignment horizontal="center" vertical="center" wrapText="1"/>
    </xf>
    <xf numFmtId="0" fontId="50" fillId="15" borderId="1" xfId="0" applyFont="1" applyFill="1" applyBorder="1" applyAlignment="1">
      <alignment horizontal="right" vertical="center" wrapText="1" indent="1"/>
    </xf>
    <xf numFmtId="0" fontId="12" fillId="20" borderId="111" xfId="0" applyFont="1" applyFill="1" applyBorder="1" applyAlignment="1">
      <alignment horizontal="center" vertical="center" wrapText="1"/>
    </xf>
    <xf numFmtId="0" fontId="12" fillId="20" borderId="112" xfId="0" applyFont="1" applyFill="1" applyBorder="1" applyAlignment="1">
      <alignment horizontal="center" vertical="center" wrapText="1"/>
    </xf>
    <xf numFmtId="0" fontId="48" fillId="0" borderId="112" xfId="0" applyFont="1" applyBorder="1" applyAlignment="1">
      <alignment horizontal="center" vertical="center" wrapText="1"/>
    </xf>
    <xf numFmtId="0" fontId="48" fillId="0" borderId="119" xfId="0" applyFont="1" applyBorder="1" applyAlignment="1">
      <alignment horizontal="center" vertical="center" wrapText="1"/>
    </xf>
    <xf numFmtId="0" fontId="12" fillId="20" borderId="122" xfId="0" applyFont="1" applyFill="1" applyBorder="1" applyAlignment="1">
      <alignment horizontal="center" vertical="center" wrapText="1"/>
    </xf>
    <xf numFmtId="0" fontId="48" fillId="0" borderId="113" xfId="0" applyFont="1" applyBorder="1" applyAlignment="1">
      <alignment horizontal="center" vertical="center" wrapText="1"/>
    </xf>
    <xf numFmtId="0" fontId="10" fillId="19" borderId="114" xfId="0" applyFont="1" applyFill="1" applyBorder="1" applyAlignment="1">
      <alignment horizontal="center" vertical="center" wrapText="1"/>
    </xf>
    <xf numFmtId="0" fontId="10" fillId="19" borderId="115" xfId="0" applyFont="1" applyFill="1" applyBorder="1" applyAlignment="1">
      <alignment horizontal="center" vertical="center" wrapText="1"/>
    </xf>
    <xf numFmtId="0" fontId="10" fillId="19" borderId="120" xfId="0" applyFont="1" applyFill="1" applyBorder="1" applyAlignment="1">
      <alignment horizontal="center" vertical="top" wrapText="1"/>
    </xf>
    <xf numFmtId="0" fontId="10" fillId="19" borderId="115" xfId="0" applyFont="1" applyFill="1" applyBorder="1" applyAlignment="1">
      <alignment horizontal="center" vertical="top" wrapText="1"/>
    </xf>
    <xf numFmtId="0" fontId="10" fillId="19" borderId="116" xfId="0" applyFont="1" applyFill="1" applyBorder="1" applyAlignment="1">
      <alignment horizontal="center" vertical="top" wrapText="1"/>
    </xf>
    <xf numFmtId="0" fontId="5" fillId="19" borderId="117" xfId="0" applyFont="1" applyFill="1" applyBorder="1" applyAlignment="1">
      <alignment horizontal="center" vertical="center" wrapText="1"/>
    </xf>
    <xf numFmtId="0" fontId="5" fillId="19" borderId="29" xfId="0" applyFont="1" applyFill="1" applyBorder="1" applyAlignment="1">
      <alignment horizontal="center" vertical="center" wrapText="1"/>
    </xf>
    <xf numFmtId="0" fontId="5" fillId="19" borderId="121" xfId="0" applyFont="1" applyFill="1" applyBorder="1" applyAlignment="1">
      <alignment horizontal="center" vertical="top" wrapText="1"/>
    </xf>
    <xf numFmtId="0" fontId="5" fillId="19" borderId="29" xfId="0" applyFont="1" applyFill="1" applyBorder="1" applyAlignment="1">
      <alignment horizontal="center" vertical="top" wrapText="1"/>
    </xf>
    <xf numFmtId="0" fontId="0" fillId="15" borderId="26" xfId="0" applyFont="1" applyFill="1" applyBorder="1" applyAlignment="1">
      <alignment horizontal="left" vertical="top" wrapText="1" indent="1"/>
    </xf>
    <xf numFmtId="9" fontId="31" fillId="0" borderId="25"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5" xfId="0" applyFont="1" applyBorder="1" applyAlignment="1">
      <alignment horizontal="center" vertical="center" wrapText="1"/>
    </xf>
    <xf numFmtId="0" fontId="51" fillId="29" borderId="2" xfId="0" applyFont="1" applyFill="1" applyBorder="1" applyAlignment="1">
      <alignment horizontal="center" vertical="center" wrapText="1"/>
    </xf>
    <xf numFmtId="0" fontId="51" fillId="29" borderId="47" xfId="0" applyFont="1" applyFill="1" applyBorder="1" applyAlignment="1">
      <alignment horizontal="center" vertical="center" wrapText="1"/>
    </xf>
    <xf numFmtId="0" fontId="51" fillId="29" borderId="21" xfId="0" applyFont="1" applyFill="1" applyBorder="1" applyAlignment="1">
      <alignment horizontal="center" vertical="center" wrapText="1"/>
    </xf>
    <xf numFmtId="0" fontId="28" fillId="20" borderId="134" xfId="0" applyFont="1" applyFill="1" applyBorder="1" applyAlignment="1">
      <alignment horizontal="center" vertical="top" wrapText="1"/>
    </xf>
    <xf numFmtId="0" fontId="5" fillId="19" borderId="118" xfId="0" applyFont="1" applyFill="1" applyBorder="1" applyAlignment="1">
      <alignment horizontal="center" vertical="top" wrapText="1"/>
    </xf>
    <xf numFmtId="0" fontId="27" fillId="15" borderId="27" xfId="0" applyFont="1" applyFill="1" applyBorder="1" applyAlignment="1">
      <alignment horizontal="left" vertical="center" wrapText="1"/>
    </xf>
    <xf numFmtId="0" fontId="0" fillId="29" borderId="2" xfId="0" applyFont="1" applyFill="1" applyBorder="1" applyAlignment="1" applyProtection="1">
      <alignment horizontal="left" vertical="top" wrapText="1" indent="1"/>
      <protection locked="0"/>
    </xf>
    <xf numFmtId="0" fontId="0" fillId="29" borderId="47" xfId="0" applyFont="1" applyFill="1" applyBorder="1" applyAlignment="1" applyProtection="1">
      <alignment horizontal="left" vertical="top" wrapText="1" indent="1"/>
      <protection locked="0"/>
    </xf>
    <xf numFmtId="0" fontId="0" fillId="29" borderId="21" xfId="0" applyFont="1" applyFill="1" applyBorder="1" applyAlignment="1" applyProtection="1">
      <alignment horizontal="left" vertical="top" wrapText="1" indent="1"/>
      <protection locked="0"/>
    </xf>
    <xf numFmtId="0" fontId="0" fillId="23" borderId="2" xfId="0" applyFont="1" applyFill="1" applyBorder="1" applyAlignment="1">
      <alignment horizontal="center" vertical="top"/>
    </xf>
    <xf numFmtId="0" fontId="0" fillId="23" borderId="47" xfId="0" applyFont="1" applyFill="1" applyBorder="1" applyAlignment="1">
      <alignment horizontal="center" vertical="top"/>
    </xf>
    <xf numFmtId="0" fontId="0" fillId="23" borderId="21" xfId="0" applyFont="1" applyFill="1" applyBorder="1" applyAlignment="1">
      <alignment horizontal="center" vertical="top"/>
    </xf>
    <xf numFmtId="0" fontId="2" fillId="14" borderId="1"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20" borderId="0" xfId="0" applyFont="1" applyFill="1" applyBorder="1" applyAlignment="1">
      <alignment horizontal="left" vertical="center" wrapText="1" indent="3"/>
    </xf>
    <xf numFmtId="0" fontId="45" fillId="26" borderId="27" xfId="0" applyFont="1" applyFill="1" applyBorder="1" applyAlignment="1">
      <alignment horizontal="center" vertical="center" textRotation="90" wrapText="1"/>
    </xf>
    <xf numFmtId="0" fontId="45" fillId="26" borderId="52" xfId="0" applyFont="1" applyFill="1" applyBorder="1" applyAlignment="1">
      <alignment horizontal="center" vertical="center" textRotation="90" wrapText="1"/>
    </xf>
    <xf numFmtId="0" fontId="45" fillId="26" borderId="26" xfId="0" applyFont="1" applyFill="1" applyBorder="1" applyAlignment="1">
      <alignment horizontal="center" vertical="center" textRotation="90" wrapText="1"/>
    </xf>
    <xf numFmtId="0" fontId="0" fillId="23" borderId="2" xfId="0" applyFont="1" applyFill="1" applyBorder="1" applyAlignment="1">
      <alignment horizontal="center" vertical="center" wrapText="1"/>
    </xf>
    <xf numFmtId="0" fontId="0" fillId="23" borderId="21" xfId="0" applyFont="1" applyFill="1" applyBorder="1" applyAlignment="1">
      <alignment horizontal="center" vertical="center" wrapText="1"/>
    </xf>
    <xf numFmtId="0" fontId="0" fillId="20" borderId="47" xfId="0" applyFill="1" applyBorder="1" applyAlignment="1">
      <alignment horizontal="center" vertical="center" textRotation="90" wrapText="1"/>
    </xf>
    <xf numFmtId="0" fontId="0" fillId="0" borderId="1" xfId="0" applyBorder="1" applyAlignment="1">
      <alignment horizontal="left" vertical="top" wrapText="1" indent="1"/>
    </xf>
    <xf numFmtId="0" fontId="9" fillId="0" borderId="1" xfId="0" applyFont="1" applyBorder="1" applyAlignment="1" applyProtection="1">
      <alignment horizontal="center" vertical="center" wrapText="1"/>
      <protection locked="0"/>
    </xf>
    <xf numFmtId="0" fontId="0" fillId="0" borderId="2" xfId="0" applyBorder="1" applyAlignment="1">
      <alignment horizontal="left" vertical="top" wrapText="1" indent="1"/>
    </xf>
    <xf numFmtId="0" fontId="0" fillId="0" borderId="47" xfId="0" applyBorder="1" applyAlignment="1">
      <alignment horizontal="left" vertical="top" wrapText="1" indent="1"/>
    </xf>
    <xf numFmtId="0" fontId="0" fillId="0" borderId="21" xfId="0" applyBorder="1" applyAlignment="1">
      <alignment horizontal="left" vertical="top" wrapText="1" inden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0" fillId="0" borderId="1" xfId="0" applyFill="1" applyBorder="1" applyAlignment="1" applyProtection="1">
      <alignment horizontal="left" vertical="top" wrapText="1" indent="1"/>
      <protection locked="0"/>
    </xf>
    <xf numFmtId="0" fontId="0" fillId="0" borderId="2" xfId="0" applyFont="1" applyBorder="1" applyAlignment="1" applyProtection="1">
      <alignment horizontal="center" vertical="center" wrapText="1"/>
      <protection locked="0"/>
    </xf>
    <xf numFmtId="0" fontId="0" fillId="0" borderId="47" xfId="0" applyFont="1" applyBorder="1" applyAlignment="1" applyProtection="1">
      <alignment horizontal="center" vertical="center" wrapText="1"/>
      <protection locked="0"/>
    </xf>
    <xf numFmtId="0" fontId="0" fillId="0" borderId="21" xfId="0" applyFont="1" applyBorder="1" applyAlignment="1" applyProtection="1">
      <alignment horizontal="center" vertical="center" wrapText="1"/>
      <protection locked="0"/>
    </xf>
    <xf numFmtId="0" fontId="0" fillId="20" borderId="0" xfId="0" applyFont="1" applyFill="1" applyBorder="1" applyAlignment="1">
      <alignment horizontal="center" vertical="center" wrapText="1"/>
    </xf>
    <xf numFmtId="0" fontId="46" fillId="0" borderId="25" xfId="0" applyFont="1" applyBorder="1" applyAlignment="1">
      <alignment horizontal="center" vertical="center" wrapText="1"/>
    </xf>
    <xf numFmtId="0" fontId="46" fillId="0" borderId="22" xfId="0" applyFont="1" applyBorder="1" applyAlignment="1">
      <alignment horizontal="center" vertical="center" wrapText="1"/>
    </xf>
    <xf numFmtId="0" fontId="46" fillId="0" borderId="38" xfId="0" applyFont="1" applyBorder="1" applyAlignment="1">
      <alignment horizontal="center" vertical="center" wrapText="1"/>
    </xf>
    <xf numFmtId="0" fontId="46" fillId="0" borderId="40"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41" xfId="0" applyFont="1" applyBorder="1" applyAlignment="1">
      <alignment horizontal="center" vertical="center" wrapText="1"/>
    </xf>
    <xf numFmtId="0" fontId="46" fillId="0" borderId="39" xfId="0" applyFont="1" applyBorder="1" applyAlignment="1">
      <alignment horizontal="center" vertical="center" wrapText="1"/>
    </xf>
    <xf numFmtId="0" fontId="46" fillId="0" borderId="29" xfId="0" applyFont="1" applyBorder="1" applyAlignment="1">
      <alignment horizontal="center" vertical="center" wrapText="1"/>
    </xf>
    <xf numFmtId="0" fontId="46" fillId="0" borderId="28" xfId="0" applyFont="1" applyBorder="1" applyAlignment="1">
      <alignment horizontal="center" vertical="center" wrapText="1"/>
    </xf>
    <xf numFmtId="0" fontId="13" fillId="21" borderId="25" xfId="0" applyFont="1" applyFill="1" applyBorder="1" applyAlignment="1">
      <alignment horizontal="center" vertical="center" wrapText="1"/>
    </xf>
    <xf numFmtId="0" fontId="13" fillId="21" borderId="22" xfId="0" applyFont="1" applyFill="1" applyBorder="1" applyAlignment="1">
      <alignment horizontal="center" vertical="center" wrapText="1"/>
    </xf>
    <xf numFmtId="0" fontId="13" fillId="21" borderId="38" xfId="0" applyFont="1" applyFill="1" applyBorder="1" applyAlignment="1">
      <alignment horizontal="center" vertical="center" wrapText="1"/>
    </xf>
    <xf numFmtId="0" fontId="34" fillId="30" borderId="2" xfId="0" applyFont="1" applyFill="1" applyBorder="1" applyAlignment="1">
      <alignment horizontal="center" vertical="center" wrapText="1"/>
    </xf>
    <xf numFmtId="0" fontId="34" fillId="30" borderId="47" xfId="0" applyFont="1" applyFill="1" applyBorder="1" applyAlignment="1">
      <alignment horizontal="center" vertical="center" wrapText="1"/>
    </xf>
    <xf numFmtId="0" fontId="34" fillId="30" borderId="21" xfId="0" applyFont="1" applyFill="1" applyBorder="1" applyAlignment="1">
      <alignment horizontal="center" vertical="center" wrapText="1"/>
    </xf>
    <xf numFmtId="0" fontId="0" fillId="31" borderId="1" xfId="0" applyFont="1" applyFill="1" applyBorder="1" applyAlignment="1">
      <alignment horizontal="center" vertical="center" wrapText="1"/>
    </xf>
    <xf numFmtId="0" fontId="0" fillId="31" borderId="1" xfId="0" applyFont="1" applyFill="1" applyBorder="1" applyAlignment="1">
      <alignment horizontal="center" vertical="top" wrapText="1"/>
    </xf>
    <xf numFmtId="0" fontId="0" fillId="0" borderId="1" xfId="0" applyFont="1" applyBorder="1" applyAlignment="1" applyProtection="1">
      <alignment horizontal="left" vertical="top" wrapText="1" indent="1"/>
      <protection locked="0"/>
    </xf>
    <xf numFmtId="0" fontId="0" fillId="0" borderId="27" xfId="0" applyFont="1" applyBorder="1" applyAlignment="1" applyProtection="1">
      <alignment horizontal="left" vertical="top" wrapText="1" indent="1"/>
      <protection locked="0"/>
    </xf>
    <xf numFmtId="0" fontId="0" fillId="0" borderId="2" xfId="0" applyFont="1" applyBorder="1" applyAlignment="1" applyProtection="1">
      <alignment horizontal="left" vertical="top" wrapText="1" indent="1"/>
      <protection locked="0"/>
    </xf>
    <xf numFmtId="0" fontId="0" fillId="0" borderId="47" xfId="0" applyFont="1" applyBorder="1" applyAlignment="1" applyProtection="1">
      <alignment horizontal="left" vertical="top" wrapText="1" indent="1"/>
      <protection locked="0"/>
    </xf>
    <xf numFmtId="0" fontId="0" fillId="0" borderId="21" xfId="0" applyFont="1" applyBorder="1" applyAlignment="1" applyProtection="1">
      <alignment horizontal="left" vertical="top" wrapText="1" indent="1"/>
      <protection locked="0"/>
    </xf>
    <xf numFmtId="0" fontId="0" fillId="0" borderId="1" xfId="0" applyFont="1" applyBorder="1" applyAlignment="1" applyProtection="1">
      <alignment horizontal="center" vertical="center" wrapText="1"/>
      <protection locked="0"/>
    </xf>
    <xf numFmtId="0" fontId="0" fillId="20" borderId="0" xfId="0" applyFont="1" applyFill="1" applyBorder="1" applyAlignment="1">
      <alignment horizontal="center" vertical="top" wrapText="1"/>
    </xf>
    <xf numFmtId="0" fontId="0" fillId="31" borderId="1" xfId="0" applyFont="1" applyFill="1" applyBorder="1" applyAlignment="1" applyProtection="1">
      <alignment horizontal="center" vertical="center" wrapText="1"/>
      <protection locked="0"/>
    </xf>
    <xf numFmtId="0" fontId="0" fillId="31" borderId="1" xfId="0" applyFont="1" applyFill="1" applyBorder="1" applyAlignment="1">
      <alignment horizontal="right" vertical="center" wrapText="1"/>
    </xf>
    <xf numFmtId="0" fontId="0" fillId="30" borderId="1" xfId="0" applyFont="1" applyFill="1" applyBorder="1" applyAlignment="1">
      <alignment horizontal="center" vertical="top" wrapText="1"/>
    </xf>
    <xf numFmtId="0" fontId="47" fillId="0" borderId="56" xfId="0" applyFont="1" applyBorder="1" applyAlignment="1">
      <alignment horizontal="center" vertical="center"/>
    </xf>
    <xf numFmtId="0" fontId="47" fillId="0" borderId="57" xfId="0" applyFont="1" applyBorder="1" applyAlignment="1">
      <alignment horizontal="center" vertical="center"/>
    </xf>
    <xf numFmtId="0" fontId="2" fillId="17" borderId="55" xfId="0" applyFont="1" applyFill="1" applyBorder="1" applyAlignment="1">
      <alignment horizontal="center" vertical="center" wrapText="1"/>
    </xf>
    <xf numFmtId="0" fontId="2" fillId="17" borderId="56" xfId="0" applyFont="1" applyFill="1" applyBorder="1" applyAlignment="1">
      <alignment horizontal="center" vertical="center" wrapText="1"/>
    </xf>
    <xf numFmtId="0" fontId="16" fillId="0" borderId="0" xfId="0" applyFont="1" applyAlignment="1">
      <alignment horizontal="center" vertical="center"/>
    </xf>
    <xf numFmtId="0" fontId="0" fillId="30" borderId="1" xfId="0" applyFont="1" applyFill="1" applyBorder="1" applyAlignment="1">
      <alignment horizontal="center" vertical="center" wrapText="1"/>
    </xf>
    <xf numFmtId="0" fontId="52" fillId="2" borderId="126" xfId="0" applyFont="1" applyFill="1" applyBorder="1" applyAlignment="1">
      <alignment horizontal="center" vertical="center" wrapText="1"/>
    </xf>
    <xf numFmtId="0" fontId="52" fillId="2" borderId="127" xfId="0" applyFont="1" applyFill="1" applyBorder="1" applyAlignment="1">
      <alignment horizontal="center" vertical="center" wrapText="1"/>
    </xf>
    <xf numFmtId="0" fontId="52" fillId="2" borderId="128" xfId="0" applyFont="1" applyFill="1" applyBorder="1" applyAlignment="1">
      <alignment horizontal="center" vertical="center" wrapText="1"/>
    </xf>
    <xf numFmtId="14" fontId="0" fillId="29" borderId="1" xfId="0" applyNumberFormat="1" applyFont="1" applyFill="1" applyBorder="1" applyAlignment="1">
      <alignment horizontal="center"/>
    </xf>
    <xf numFmtId="0" fontId="0" fillId="29" borderId="1" xfId="0" applyFont="1" applyFill="1" applyBorder="1" applyAlignment="1">
      <alignment horizontal="center"/>
    </xf>
    <xf numFmtId="0" fontId="0" fillId="11" borderId="1" xfId="0" applyFont="1" applyFill="1" applyBorder="1" applyAlignment="1">
      <alignment horizontal="center" vertical="top" wrapText="1"/>
    </xf>
    <xf numFmtId="0" fontId="0" fillId="0" borderId="2" xfId="0" applyFill="1" applyBorder="1" applyAlignment="1" applyProtection="1">
      <alignment horizontal="left" vertical="top" wrapText="1" indent="1"/>
      <protection locked="0"/>
    </xf>
    <xf numFmtId="0" fontId="0" fillId="0" borderId="47" xfId="0" applyFill="1" applyBorder="1" applyAlignment="1" applyProtection="1">
      <alignment horizontal="left" vertical="top" wrapText="1" indent="1"/>
      <protection locked="0"/>
    </xf>
    <xf numFmtId="0" fontId="0" fillId="0" borderId="21" xfId="0" applyFill="1" applyBorder="1" applyAlignment="1" applyProtection="1">
      <alignment horizontal="left" vertical="top" wrapText="1" indent="1"/>
      <protection locked="0"/>
    </xf>
    <xf numFmtId="0" fontId="0" fillId="0" borderId="1" xfId="0" applyFill="1" applyBorder="1" applyAlignment="1" applyProtection="1">
      <alignment horizontal="left" vertical="top" wrapText="1" indent="2"/>
      <protection locked="0"/>
    </xf>
    <xf numFmtId="0" fontId="10" fillId="14" borderId="1" xfId="0" applyFont="1" applyFill="1" applyBorder="1" applyAlignment="1">
      <alignment horizontal="right" vertical="center" wrapText="1"/>
    </xf>
    <xf numFmtId="14" fontId="9" fillId="0" borderId="1" xfId="0" applyNumberFormat="1" applyFont="1" applyBorder="1" applyAlignment="1" applyProtection="1">
      <alignment horizontal="center" vertical="center" wrapText="1"/>
      <protection locked="0"/>
    </xf>
    <xf numFmtId="14" fontId="0" fillId="0" borderId="2" xfId="0" applyNumberFormat="1" applyFont="1" applyBorder="1" applyAlignment="1" applyProtection="1">
      <alignment horizontal="center" vertical="top" wrapText="1"/>
      <protection locked="0"/>
    </xf>
    <xf numFmtId="0" fontId="0" fillId="0" borderId="21" xfId="0" applyFont="1" applyBorder="1" applyAlignment="1" applyProtection="1">
      <alignment horizontal="center" vertical="top" wrapText="1"/>
      <protection locked="0"/>
    </xf>
    <xf numFmtId="0" fontId="45" fillId="26" borderId="1" xfId="0" applyFont="1" applyFill="1" applyBorder="1" applyAlignment="1">
      <alignment horizontal="center" vertical="center" textRotation="90" wrapText="1"/>
    </xf>
    <xf numFmtId="0" fontId="0" fillId="20" borderId="0" xfId="0" applyFont="1" applyFill="1" applyBorder="1" applyAlignment="1">
      <alignment horizontal="left" vertical="center" wrapText="1"/>
    </xf>
    <xf numFmtId="0" fontId="53" fillId="20" borderId="29" xfId="0" applyFont="1" applyFill="1" applyBorder="1" applyAlignment="1">
      <alignment horizontal="center" vertical="center" wrapText="1"/>
    </xf>
    <xf numFmtId="0" fontId="0" fillId="0" borderId="2" xfId="0" applyBorder="1" applyAlignment="1">
      <alignment horizontal="center"/>
    </xf>
    <xf numFmtId="0" fontId="0" fillId="0" borderId="21" xfId="0" applyBorder="1" applyAlignment="1">
      <alignment horizontal="center"/>
    </xf>
    <xf numFmtId="0" fontId="5" fillId="23" borderId="1" xfId="0" applyFont="1" applyFill="1" applyBorder="1" applyAlignment="1">
      <alignment horizontal="center" vertical="center" wrapText="1"/>
    </xf>
    <xf numFmtId="9" fontId="0" fillId="0" borderId="1" xfId="0" applyNumberFormat="1" applyBorder="1" applyAlignment="1">
      <alignment horizontal="center"/>
    </xf>
    <xf numFmtId="0" fontId="0" fillId="0" borderId="1" xfId="0" applyBorder="1" applyAlignment="1">
      <alignment horizontal="center"/>
    </xf>
    <xf numFmtId="0" fontId="0" fillId="20" borderId="1" xfId="0" applyFill="1" applyBorder="1" applyAlignment="1">
      <alignment horizontal="left" indent="1"/>
    </xf>
    <xf numFmtId="0" fontId="0" fillId="0" borderId="1" xfId="0" applyBorder="1" applyAlignment="1">
      <alignment horizontal="center" vertical="center"/>
    </xf>
    <xf numFmtId="0" fontId="1" fillId="0" borderId="58" xfId="0" applyFont="1" applyBorder="1" applyAlignment="1">
      <alignment horizontal="center" vertical="center"/>
    </xf>
    <xf numFmtId="0" fontId="1" fillId="0" borderId="58" xfId="0" applyFont="1" applyBorder="1" applyAlignment="1">
      <alignment horizontal="left" vertical="center" wrapText="1"/>
    </xf>
    <xf numFmtId="0" fontId="1" fillId="0" borderId="58" xfId="0" applyFont="1" applyFill="1" applyBorder="1" applyAlignment="1">
      <alignment horizontal="center" vertical="center" wrapText="1"/>
    </xf>
    <xf numFmtId="0" fontId="1" fillId="0" borderId="58" xfId="0" applyFont="1" applyBorder="1" applyAlignment="1">
      <alignment horizontal="center" vertical="center" wrapText="1"/>
    </xf>
    <xf numFmtId="0" fontId="1" fillId="0" borderId="141" xfId="0" applyFont="1" applyBorder="1" applyAlignment="1">
      <alignment horizontal="center" vertical="center" wrapText="1"/>
    </xf>
    <xf numFmtId="0" fontId="1" fillId="0" borderId="143" xfId="0" applyFont="1" applyBorder="1" applyAlignment="1">
      <alignment horizontal="center" vertical="center"/>
    </xf>
    <xf numFmtId="0" fontId="1" fillId="0" borderId="143" xfId="0" applyFont="1" applyBorder="1" applyAlignment="1">
      <alignment horizontal="left" vertical="center" wrapText="1"/>
    </xf>
    <xf numFmtId="0" fontId="1" fillId="0" borderId="143" xfId="0" applyFont="1" applyFill="1" applyBorder="1" applyAlignment="1">
      <alignment horizontal="center" vertical="center" wrapText="1"/>
    </xf>
    <xf numFmtId="0" fontId="1" fillId="0" borderId="143" xfId="0" applyFont="1" applyBorder="1" applyAlignment="1">
      <alignment horizontal="center" vertical="center" wrapText="1"/>
    </xf>
    <xf numFmtId="0" fontId="1" fillId="0" borderId="144" xfId="0" applyFont="1" applyBorder="1" applyAlignment="1">
      <alignment horizontal="center" vertical="center" wrapText="1"/>
    </xf>
    <xf numFmtId="0" fontId="1" fillId="0" borderId="58" xfId="0" applyFont="1" applyBorder="1" applyAlignment="1">
      <alignment horizontal="left" vertical="top" wrapText="1"/>
    </xf>
    <xf numFmtId="0" fontId="1" fillId="0" borderId="58" xfId="0" applyFont="1" applyFill="1" applyBorder="1" applyAlignment="1">
      <alignment horizontal="center" wrapText="1"/>
    </xf>
    <xf numFmtId="0" fontId="1" fillId="0" borderId="58" xfId="0" applyFont="1" applyBorder="1" applyAlignment="1">
      <alignment horizontal="center" wrapText="1"/>
    </xf>
    <xf numFmtId="0" fontId="1" fillId="0" borderId="141" xfId="0" applyFont="1" applyBorder="1" applyAlignment="1">
      <alignment horizontal="center" wrapText="1"/>
    </xf>
    <xf numFmtId="0" fontId="0" fillId="4" borderId="1" xfId="0" applyFill="1" applyBorder="1" applyAlignment="1">
      <alignment horizontal="center"/>
    </xf>
    <xf numFmtId="0" fontId="5" fillId="21" borderId="29" xfId="0" applyFont="1" applyFill="1" applyBorder="1" applyAlignment="1">
      <alignment horizontal="center" vertical="center"/>
    </xf>
    <xf numFmtId="0" fontId="5" fillId="21" borderId="28" xfId="0" applyFont="1" applyFill="1" applyBorder="1" applyAlignment="1">
      <alignment horizontal="center" vertical="center"/>
    </xf>
    <xf numFmtId="0" fontId="1" fillId="0" borderId="143" xfId="0" applyFont="1" applyFill="1" applyBorder="1" applyAlignment="1">
      <alignment horizontal="center" wrapText="1"/>
    </xf>
    <xf numFmtId="0" fontId="1" fillId="0" borderId="143" xfId="0" applyFont="1" applyBorder="1" applyAlignment="1">
      <alignment horizontal="center" wrapText="1"/>
    </xf>
    <xf numFmtId="0" fontId="1" fillId="0" borderId="144" xfId="0" applyFont="1" applyBorder="1" applyAlignment="1">
      <alignment horizontal="center" wrapText="1"/>
    </xf>
    <xf numFmtId="0" fontId="1" fillId="0" borderId="143" xfId="0" applyFont="1" applyBorder="1" applyAlignment="1">
      <alignment horizontal="left" vertical="top" wrapText="1"/>
    </xf>
    <xf numFmtId="0" fontId="9" fillId="20" borderId="0" xfId="0" applyFont="1" applyFill="1" applyBorder="1" applyAlignment="1">
      <alignment horizontal="center"/>
    </xf>
    <xf numFmtId="0" fontId="0" fillId="37" borderId="1" xfId="0" applyFill="1" applyBorder="1" applyAlignment="1">
      <alignment horizontal="center"/>
    </xf>
    <xf numFmtId="0" fontId="0" fillId="4" borderId="1" xfId="0" applyFill="1" applyBorder="1" applyAlignment="1">
      <alignment horizontal="center" vertical="center" wrapText="1"/>
    </xf>
    <xf numFmtId="0" fontId="1" fillId="0" borderId="58" xfId="0" applyFont="1" applyBorder="1" applyAlignment="1">
      <alignment horizontal="center" vertical="top"/>
    </xf>
    <xf numFmtId="0" fontId="1" fillId="0" borderId="143" xfId="0" applyFont="1" applyBorder="1" applyAlignment="1">
      <alignment horizontal="center" vertical="top"/>
    </xf>
    <xf numFmtId="0" fontId="5" fillId="23" borderId="138" xfId="0" applyFont="1" applyFill="1" applyBorder="1" applyAlignment="1">
      <alignment horizontal="center"/>
    </xf>
    <xf numFmtId="0" fontId="5" fillId="23" borderId="139" xfId="0" applyFont="1" applyFill="1" applyBorder="1" applyAlignment="1">
      <alignment horizontal="center"/>
    </xf>
    <xf numFmtId="0" fontId="10" fillId="23" borderId="138" xfId="0" applyFont="1" applyFill="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0" fontId="31" fillId="0" borderId="3"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10" xfId="0" applyFont="1" applyBorder="1" applyAlignment="1">
      <alignment horizontal="center" vertical="center" wrapText="1"/>
    </xf>
    <xf numFmtId="0" fontId="28" fillId="20" borderId="0" xfId="0" applyFont="1" applyFill="1" applyBorder="1" applyAlignment="1">
      <alignment horizontal="center"/>
    </xf>
    <xf numFmtId="0" fontId="28" fillId="20" borderId="4" xfId="0" applyFont="1" applyFill="1" applyBorder="1" applyAlignment="1">
      <alignment horizontal="center"/>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10" xfId="0" applyFont="1" applyBorder="1" applyAlignment="1">
      <alignment horizontal="center" vertical="center"/>
    </xf>
    <xf numFmtId="0" fontId="5" fillId="17" borderId="27"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21" borderId="34" xfId="0" applyFont="1" applyFill="1" applyBorder="1" applyAlignment="1">
      <alignment horizontal="center" vertical="center" wrapText="1"/>
    </xf>
    <xf numFmtId="0" fontId="5" fillId="21" borderId="35" xfId="0" applyFont="1" applyFill="1" applyBorder="1" applyAlignment="1">
      <alignment horizontal="center" vertical="center" wrapText="1"/>
    </xf>
    <xf numFmtId="0" fontId="5" fillId="21" borderId="56" xfId="0" applyFont="1" applyFill="1" applyBorder="1" applyAlignment="1">
      <alignment horizontal="center"/>
    </xf>
    <xf numFmtId="0" fontId="5" fillId="21" borderId="6" xfId="0" applyFont="1" applyFill="1" applyBorder="1" applyAlignment="1">
      <alignment horizontal="center" vertical="center"/>
    </xf>
    <xf numFmtId="0" fontId="5" fillId="21" borderId="0" xfId="0" applyFont="1" applyFill="1" applyBorder="1" applyAlignment="1">
      <alignment horizontal="center" vertical="center"/>
    </xf>
    <xf numFmtId="0" fontId="5" fillId="21" borderId="7" xfId="0" applyFont="1" applyFill="1" applyBorder="1" applyAlignment="1">
      <alignment horizontal="center" vertical="center"/>
    </xf>
    <xf numFmtId="0" fontId="5" fillId="21" borderId="45" xfId="0" applyFont="1" applyFill="1" applyBorder="1" applyAlignment="1">
      <alignment horizontal="center" vertical="center"/>
    </xf>
    <xf numFmtId="0" fontId="5" fillId="21" borderId="43" xfId="0" applyFont="1" applyFill="1" applyBorder="1" applyAlignment="1">
      <alignment horizontal="center" vertical="center"/>
    </xf>
    <xf numFmtId="14" fontId="31" fillId="0" borderId="132" xfId="0" applyNumberFormat="1" applyFont="1" applyBorder="1" applyAlignment="1">
      <alignment horizontal="center" vertical="top"/>
    </xf>
    <xf numFmtId="0" fontId="31" fillId="0" borderId="132" xfId="0" applyFont="1" applyBorder="1" applyAlignment="1">
      <alignment horizontal="center" vertical="top"/>
    </xf>
    <xf numFmtId="0" fontId="10" fillId="24" borderId="27" xfId="0" applyFont="1" applyFill="1" applyBorder="1" applyAlignment="1">
      <alignment horizontal="center" vertical="center" wrapText="1"/>
    </xf>
    <xf numFmtId="0" fontId="10" fillId="24" borderId="26" xfId="0" applyFont="1" applyFill="1" applyBorder="1" applyAlignment="1">
      <alignment horizontal="center" vertical="center" wrapText="1"/>
    </xf>
    <xf numFmtId="0" fontId="10" fillId="24" borderId="53" xfId="0" applyFont="1" applyFill="1" applyBorder="1" applyAlignment="1">
      <alignment horizontal="center" vertical="center" wrapText="1"/>
    </xf>
    <xf numFmtId="0" fontId="10" fillId="24" borderId="46" xfId="0" applyFont="1" applyFill="1" applyBorder="1" applyAlignment="1">
      <alignment horizontal="center" vertical="center" wrapText="1"/>
    </xf>
    <xf numFmtId="0" fontId="10" fillId="24" borderId="3" xfId="0" applyFont="1" applyFill="1" applyBorder="1" applyAlignment="1">
      <alignment horizontal="center"/>
    </xf>
    <xf numFmtId="0" fontId="10" fillId="24" borderId="4" xfId="0" applyFont="1" applyFill="1" applyBorder="1" applyAlignment="1">
      <alignment horizontal="center"/>
    </xf>
    <xf numFmtId="0" fontId="10" fillId="24" borderId="5" xfId="0" applyFont="1" applyFill="1" applyBorder="1" applyAlignment="1">
      <alignment horizontal="center"/>
    </xf>
    <xf numFmtId="0" fontId="30" fillId="21" borderId="3" xfId="0" applyFont="1" applyFill="1" applyBorder="1" applyAlignment="1">
      <alignment horizontal="center" vertical="center" wrapText="1"/>
    </xf>
    <xf numFmtId="0" fontId="30" fillId="21" borderId="5"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10" xfId="0" applyFont="1" applyFill="1" applyBorder="1" applyAlignment="1">
      <alignment horizontal="center" vertical="center" wrapText="1"/>
    </xf>
    <xf numFmtId="0" fontId="24" fillId="21" borderId="3" xfId="0" applyFont="1" applyFill="1" applyBorder="1" applyAlignment="1">
      <alignment horizontal="center" vertical="center" wrapText="1"/>
    </xf>
    <xf numFmtId="0" fontId="24" fillId="21" borderId="5"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23" borderId="3" xfId="0" applyFont="1" applyFill="1" applyBorder="1" applyAlignment="1">
      <alignment horizontal="center" vertical="center" wrapText="1"/>
    </xf>
    <xf numFmtId="0" fontId="24" fillId="23" borderId="5" xfId="0" applyFont="1" applyFill="1" applyBorder="1" applyAlignment="1">
      <alignment horizontal="center" vertical="center" wrapText="1"/>
    </xf>
    <xf numFmtId="0" fontId="24" fillId="23" borderId="8" xfId="0"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12" fillId="8" borderId="17" xfId="0" applyFont="1" applyFill="1" applyBorder="1" applyAlignment="1">
      <alignment horizontal="center"/>
    </xf>
    <xf numFmtId="0" fontId="12" fillId="8" borderId="18" xfId="0" applyFont="1" applyFill="1" applyBorder="1" applyAlignment="1">
      <alignment horizontal="center"/>
    </xf>
    <xf numFmtId="0" fontId="12" fillId="8" borderId="23" xfId="0" applyFont="1" applyFill="1" applyBorder="1" applyAlignment="1">
      <alignment horizontal="center"/>
    </xf>
    <xf numFmtId="0" fontId="10" fillId="24" borderId="34" xfId="0" applyFont="1" applyFill="1" applyBorder="1" applyAlignment="1">
      <alignment horizontal="center" vertical="center" wrapText="1"/>
    </xf>
    <xf numFmtId="0" fontId="10" fillId="24" borderId="35"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3" borderId="27" xfId="0" applyFont="1" applyFill="1" applyBorder="1" applyAlignment="1">
      <alignment horizontal="center" vertical="center" wrapText="1"/>
    </xf>
    <xf numFmtId="0" fontId="5" fillId="23" borderId="26"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0" fillId="21" borderId="3" xfId="0" applyFill="1" applyBorder="1" applyAlignment="1">
      <alignment horizontal="center"/>
    </xf>
    <xf numFmtId="0" fontId="0" fillId="21" borderId="4" xfId="0" applyFill="1" applyBorder="1" applyAlignment="1">
      <alignment horizontal="center"/>
    </xf>
    <xf numFmtId="0" fontId="0" fillId="21" borderId="6" xfId="0" applyFill="1" applyBorder="1" applyAlignment="1">
      <alignment horizontal="center"/>
    </xf>
    <xf numFmtId="0" fontId="0" fillId="21" borderId="0" xfId="0" applyFill="1" applyBorder="1" applyAlignment="1">
      <alignment horizontal="center"/>
    </xf>
    <xf numFmtId="0" fontId="16" fillId="0" borderId="132" xfId="0" applyFont="1" applyBorder="1" applyAlignment="1">
      <alignment horizontal="center" vertical="center"/>
    </xf>
    <xf numFmtId="0" fontId="56" fillId="29" borderId="127" xfId="0" applyFont="1" applyFill="1" applyBorder="1" applyAlignment="1">
      <alignment horizontal="center"/>
    </xf>
    <xf numFmtId="0" fontId="0" fillId="29" borderId="1" xfId="0" applyFill="1" applyBorder="1" applyAlignment="1">
      <alignment horizontal="left" indent="1"/>
    </xf>
    <xf numFmtId="0" fontId="0" fillId="29" borderId="12" xfId="0" applyFill="1" applyBorder="1" applyAlignment="1">
      <alignment horizontal="left" indent="1"/>
    </xf>
    <xf numFmtId="0" fontId="0" fillId="29" borderId="14" xfId="0" applyFill="1" applyBorder="1" applyAlignment="1">
      <alignment horizontal="left" indent="1"/>
    </xf>
    <xf numFmtId="0" fontId="0" fillId="29" borderId="15" xfId="0" applyFill="1" applyBorder="1" applyAlignment="1">
      <alignment horizontal="left" indent="1"/>
    </xf>
    <xf numFmtId="9" fontId="9" fillId="29" borderId="0" xfId="0" applyNumberFormat="1" applyFont="1" applyFill="1" applyBorder="1" applyAlignment="1">
      <alignment horizontal="center" vertical="center"/>
    </xf>
    <xf numFmtId="0" fontId="9" fillId="29" borderId="0" xfId="0" applyFont="1" applyFill="1" applyBorder="1" applyAlignment="1">
      <alignment horizontal="center" vertical="center"/>
    </xf>
    <xf numFmtId="9" fontId="9" fillId="29" borderId="127" xfId="0" applyNumberFormat="1" applyFont="1" applyFill="1" applyBorder="1" applyAlignment="1">
      <alignment horizontal="center" vertical="center"/>
    </xf>
    <xf numFmtId="0" fontId="9" fillId="29" borderId="127" xfId="0" applyFont="1" applyFill="1" applyBorder="1" applyAlignment="1">
      <alignment horizontal="center" vertical="center"/>
    </xf>
    <xf numFmtId="0" fontId="9" fillId="29" borderId="132" xfId="0" applyFont="1" applyFill="1" applyBorder="1" applyAlignment="1">
      <alignment horizontal="center" vertical="center"/>
    </xf>
    <xf numFmtId="0" fontId="57" fillId="21" borderId="126" xfId="0" applyFont="1" applyFill="1" applyBorder="1" applyAlignment="1">
      <alignment horizontal="center" vertical="center" textRotation="90"/>
    </xf>
    <xf numFmtId="0" fontId="57" fillId="21" borderId="129" xfId="0" applyFont="1" applyFill="1" applyBorder="1" applyAlignment="1">
      <alignment horizontal="center" vertical="center" textRotation="90"/>
    </xf>
    <xf numFmtId="0" fontId="57" fillId="21" borderId="131" xfId="0" applyFont="1" applyFill="1" applyBorder="1" applyAlignment="1">
      <alignment horizontal="center" vertical="center" textRotation="90"/>
    </xf>
    <xf numFmtId="0" fontId="10" fillId="43" borderId="147" xfId="0" applyFont="1" applyFill="1" applyBorder="1" applyAlignment="1">
      <alignment horizontal="center"/>
    </xf>
    <xf numFmtId="0" fontId="10" fillId="43" borderId="4" xfId="0" applyFont="1" applyFill="1" applyBorder="1" applyAlignment="1">
      <alignment horizontal="center"/>
    </xf>
    <xf numFmtId="0" fontId="10" fillId="43" borderId="5" xfId="0" applyFont="1" applyFill="1" applyBorder="1" applyAlignment="1">
      <alignment horizontal="center"/>
    </xf>
    <xf numFmtId="0" fontId="59" fillId="5" borderId="148" xfId="0" applyFont="1" applyFill="1" applyBorder="1" applyAlignment="1">
      <alignment horizontal="center" vertical="center" textRotation="90"/>
    </xf>
    <xf numFmtId="0" fontId="10" fillId="21" borderId="138" xfId="0" applyFont="1" applyFill="1" applyBorder="1" applyAlignment="1">
      <alignment horizontal="center"/>
    </xf>
    <xf numFmtId="0" fontId="10" fillId="21" borderId="138" xfId="0" applyFont="1" applyFill="1" applyBorder="1" applyAlignment="1">
      <alignment horizontal="left" vertical="top" wrapText="1"/>
    </xf>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5" fillId="21" borderId="138" xfId="0" applyFont="1" applyFill="1" applyBorder="1" applyAlignment="1">
      <alignment horizontal="center"/>
    </xf>
    <xf numFmtId="0" fontId="5" fillId="21" borderId="139" xfId="0" applyFont="1" applyFill="1" applyBorder="1" applyAlignment="1">
      <alignment horizontal="center"/>
    </xf>
    <xf numFmtId="0" fontId="0" fillId="0" borderId="0" xfId="0" applyAlignment="1">
      <alignment horizontal="left" wrapText="1"/>
    </xf>
    <xf numFmtId="0" fontId="41" fillId="5" borderId="103" xfId="0" applyFont="1" applyFill="1" applyBorder="1" applyAlignment="1">
      <alignment horizontal="left" vertical="top"/>
    </xf>
    <xf numFmtId="0" fontId="41" fillId="5" borderId="105" xfId="0" applyFont="1" applyFill="1" applyBorder="1" applyAlignment="1">
      <alignment horizontal="left" vertical="top"/>
    </xf>
    <xf numFmtId="0" fontId="0" fillId="3" borderId="29" xfId="0" applyFont="1" applyFill="1" applyBorder="1" applyAlignment="1">
      <alignment horizontal="center" vertical="top"/>
    </xf>
    <xf numFmtId="0" fontId="0" fillId="0" borderId="0" xfId="0" applyAlignment="1">
      <alignment horizontal="left" vertical="top" wrapText="1"/>
    </xf>
    <xf numFmtId="0" fontId="55" fillId="0" borderId="68" xfId="0" applyFont="1" applyBorder="1" applyAlignment="1">
      <alignment horizontal="center"/>
    </xf>
    <xf numFmtId="0" fontId="19" fillId="5" borderId="0" xfId="0" applyFont="1" applyFill="1" applyBorder="1" applyAlignment="1">
      <alignment horizontal="center" vertical="center" wrapText="1"/>
    </xf>
    <xf numFmtId="0" fontId="12" fillId="0" borderId="9" xfId="0" applyFont="1" applyBorder="1" applyAlignment="1">
      <alignment horizontal="center"/>
    </xf>
    <xf numFmtId="0" fontId="12" fillId="0" borderId="0" xfId="0" applyFont="1" applyBorder="1" applyAlignment="1">
      <alignment horizontal="center"/>
    </xf>
    <xf numFmtId="0" fontId="18" fillId="0" borderId="4" xfId="0" applyFont="1" applyBorder="1" applyAlignment="1">
      <alignment horizontal="center" vertical="top"/>
    </xf>
    <xf numFmtId="0" fontId="18" fillId="0" borderId="0" xfId="0" applyFont="1" applyBorder="1" applyAlignment="1">
      <alignment horizontal="center" vertical="top"/>
    </xf>
    <xf numFmtId="0" fontId="18" fillId="0" borderId="9" xfId="0" applyFont="1" applyBorder="1" applyAlignment="1">
      <alignment horizontal="center" vertical="top"/>
    </xf>
    <xf numFmtId="0" fontId="11" fillId="0" borderId="30" xfId="0" applyFont="1" applyBorder="1" applyAlignment="1">
      <alignment horizontal="center" vertical="center" textRotation="90"/>
    </xf>
    <xf numFmtId="0" fontId="11" fillId="0" borderId="31" xfId="0" applyFont="1" applyBorder="1" applyAlignment="1">
      <alignment horizontal="center" vertical="center" textRotation="90"/>
    </xf>
    <xf numFmtId="0" fontId="11" fillId="0" borderId="32" xfId="0" applyFont="1" applyBorder="1" applyAlignment="1">
      <alignment horizontal="center" vertical="center" textRotation="90"/>
    </xf>
    <xf numFmtId="0" fontId="10" fillId="21" borderId="6" xfId="0" applyFont="1" applyFill="1" applyBorder="1" applyAlignment="1">
      <alignment horizontal="center" vertical="center" textRotation="90"/>
    </xf>
    <xf numFmtId="0" fontId="10" fillId="21" borderId="8" xfId="0" applyFont="1" applyFill="1" applyBorder="1" applyAlignment="1">
      <alignment horizontal="center" vertical="center" textRotation="90"/>
    </xf>
    <xf numFmtId="0" fontId="10" fillId="21" borderId="4" xfId="0" applyFont="1" applyFill="1" applyBorder="1" applyAlignment="1">
      <alignment horizontal="center"/>
    </xf>
    <xf numFmtId="0" fontId="10" fillId="21" borderId="5" xfId="0" applyFont="1" applyFill="1" applyBorder="1" applyAlignment="1">
      <alignment horizontal="center"/>
    </xf>
    <xf numFmtId="0" fontId="10" fillId="21" borderId="20" xfId="0" applyFont="1" applyFill="1" applyBorder="1" applyAlignment="1">
      <alignment horizontal="center" vertical="center"/>
    </xf>
    <xf numFmtId="0" fontId="10" fillId="21" borderId="18"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35"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10" fillId="21" borderId="13" xfId="0" applyFont="1" applyFill="1" applyBorder="1" applyAlignment="1">
      <alignment horizontal="center" vertical="center" textRotation="90"/>
    </xf>
    <xf numFmtId="0" fontId="0" fillId="21" borderId="17" xfId="0" applyFill="1" applyBorder="1" applyAlignment="1">
      <alignment horizontal="center"/>
    </xf>
    <xf numFmtId="0" fontId="0" fillId="21" borderId="23" xfId="0" applyFill="1" applyBorder="1" applyAlignment="1">
      <alignment horizontal="center"/>
    </xf>
    <xf numFmtId="0" fontId="0" fillId="21" borderId="34" xfId="0" applyFill="1" applyBorder="1" applyAlignment="1">
      <alignment horizontal="center"/>
    </xf>
    <xf numFmtId="0" fontId="0" fillId="21" borderId="1" xfId="0" applyFill="1" applyBorder="1" applyAlignment="1">
      <alignment horizontal="center"/>
    </xf>
    <xf numFmtId="0" fontId="0" fillId="5" borderId="44" xfId="0" applyFill="1" applyBorder="1" applyAlignment="1">
      <alignment horizontal="right" vertical="center"/>
    </xf>
    <xf numFmtId="0" fontId="0" fillId="5" borderId="45" xfId="0" applyFill="1" applyBorder="1" applyAlignment="1">
      <alignment horizontal="right" vertical="center"/>
    </xf>
    <xf numFmtId="0" fontId="10" fillId="21" borderId="3" xfId="0" applyFont="1" applyFill="1" applyBorder="1" applyAlignment="1">
      <alignment horizontal="center"/>
    </xf>
    <xf numFmtId="0" fontId="12" fillId="0" borderId="79" xfId="0" applyFont="1" applyBorder="1" applyAlignment="1">
      <alignment horizontal="center"/>
    </xf>
    <xf numFmtId="0" fontId="12" fillId="0" borderId="80" xfId="0" applyFont="1" applyBorder="1" applyAlignment="1">
      <alignment horizontal="center"/>
    </xf>
    <xf numFmtId="0" fontId="0" fillId="0" borderId="0" xfId="0" applyBorder="1" applyAlignment="1">
      <alignment horizontal="center"/>
    </xf>
    <xf numFmtId="0" fontId="5" fillId="2" borderId="1" xfId="0" applyFont="1" applyFill="1" applyBorder="1" applyAlignment="1">
      <alignment horizontal="center"/>
    </xf>
    <xf numFmtId="0" fontId="17" fillId="0" borderId="1" xfId="0" applyFont="1" applyBorder="1" applyAlignment="1">
      <alignment horizontal="center" vertical="center"/>
    </xf>
    <xf numFmtId="0" fontId="17" fillId="0" borderId="88" xfId="0" applyFont="1" applyBorder="1" applyAlignment="1">
      <alignment horizontal="center" vertical="center"/>
    </xf>
    <xf numFmtId="0" fontId="16" fillId="0" borderId="1" xfId="0" applyFont="1" applyBorder="1" applyAlignment="1">
      <alignment horizontal="center" vertical="center" wrapText="1"/>
    </xf>
    <xf numFmtId="0" fontId="16" fillId="0" borderId="81"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9" xfId="0" applyFont="1" applyBorder="1" applyAlignment="1">
      <alignment horizontal="center" vertical="center" wrapText="1"/>
    </xf>
    <xf numFmtId="0" fontId="5" fillId="2" borderId="81" xfId="0" applyFont="1" applyFill="1" applyBorder="1" applyAlignment="1">
      <alignment horizontal="center"/>
    </xf>
    <xf numFmtId="0" fontId="5" fillId="2" borderId="79" xfId="0" applyFont="1" applyFill="1" applyBorder="1" applyAlignment="1">
      <alignment horizontal="center"/>
    </xf>
    <xf numFmtId="0" fontId="5" fillId="2" borderId="41" xfId="0" applyFont="1" applyFill="1" applyBorder="1" applyAlignment="1">
      <alignment horizontal="center"/>
    </xf>
    <xf numFmtId="0" fontId="0" fillId="0" borderId="82" xfId="0" applyBorder="1" applyAlignment="1">
      <alignment horizontal="center"/>
    </xf>
    <xf numFmtId="0" fontId="0" fillId="0" borderId="58" xfId="0" applyBorder="1" applyAlignment="1">
      <alignment horizontal="center"/>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22" fillId="0" borderId="22" xfId="0" applyFont="1" applyBorder="1" applyAlignment="1" applyProtection="1">
      <alignment horizontal="center" vertical="center"/>
      <protection locked="0"/>
    </xf>
    <xf numFmtId="0" fontId="22" fillId="0" borderId="42"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43" xfId="0" applyFont="1" applyBorder="1" applyAlignment="1" applyProtection="1">
      <alignment horizontal="center" vertical="center"/>
      <protection locked="0"/>
    </xf>
    <xf numFmtId="0" fontId="2" fillId="21" borderId="36" xfId="0" applyFont="1" applyFill="1" applyBorder="1" applyAlignment="1">
      <alignment horizontal="center" vertical="center" textRotation="90"/>
    </xf>
    <xf numFmtId="0" fontId="2" fillId="21" borderId="37" xfId="0" applyFont="1" applyFill="1" applyBorder="1" applyAlignment="1">
      <alignment horizontal="center" vertical="center" textRotation="90"/>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45" xfId="0" applyFill="1" applyBorder="1" applyAlignment="1">
      <alignment horizontal="center" vertical="center"/>
    </xf>
    <xf numFmtId="0" fontId="0" fillId="5" borderId="29" xfId="0" applyFill="1" applyBorder="1" applyAlignment="1">
      <alignment horizontal="center" vertical="center"/>
    </xf>
    <xf numFmtId="0" fontId="0" fillId="8" borderId="8" xfId="0" applyFill="1" applyBorder="1" applyAlignment="1">
      <alignment horizontal="center"/>
    </xf>
    <xf numFmtId="0" fontId="0" fillId="8" borderId="9" xfId="0" applyFill="1" applyBorder="1" applyAlignment="1">
      <alignment horizontal="center"/>
    </xf>
    <xf numFmtId="0" fontId="15" fillId="20" borderId="22" xfId="0" applyFont="1" applyFill="1" applyBorder="1" applyAlignment="1">
      <alignment horizontal="center" vertical="center"/>
    </xf>
    <xf numFmtId="0" fontId="15" fillId="20" borderId="0" xfId="0" applyFont="1" applyFill="1" applyBorder="1" applyAlignment="1">
      <alignment horizontal="center" vertical="center"/>
    </xf>
    <xf numFmtId="0" fontId="15" fillId="20" borderId="29" xfId="0" applyFont="1" applyFill="1" applyBorder="1" applyAlignment="1">
      <alignment horizontal="center" vertical="center"/>
    </xf>
    <xf numFmtId="0" fontId="22" fillId="0" borderId="0"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9" fillId="5" borderId="4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45" xfId="0" applyFont="1" applyFill="1" applyBorder="1" applyAlignment="1">
      <alignment horizontal="center" vertical="center"/>
    </xf>
    <xf numFmtId="0" fontId="9" fillId="8" borderId="44" xfId="0" applyFont="1" applyFill="1" applyBorder="1" applyAlignment="1">
      <alignment horizontal="center" vertical="center"/>
    </xf>
    <xf numFmtId="0" fontId="9" fillId="8" borderId="8" xfId="0" applyFont="1" applyFill="1" applyBorder="1" applyAlignment="1">
      <alignment horizontal="center" vertical="center"/>
    </xf>
    <xf numFmtId="0" fontId="15" fillId="20" borderId="9" xfId="0" applyFont="1" applyFill="1" applyBorder="1" applyAlignment="1">
      <alignment horizontal="center" vertical="center"/>
    </xf>
    <xf numFmtId="0" fontId="22"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center"/>
    </xf>
    <xf numFmtId="0" fontId="0" fillId="0" borderId="98" xfId="0" applyBorder="1" applyAlignment="1">
      <alignment horizontal="center" vertical="center"/>
    </xf>
    <xf numFmtId="0" fontId="0" fillId="0" borderId="98" xfId="0" applyBorder="1" applyAlignment="1">
      <alignment horizontal="center"/>
    </xf>
    <xf numFmtId="0" fontId="0" fillId="0" borderId="99" xfId="0" applyBorder="1" applyAlignment="1">
      <alignment horizontal="center"/>
    </xf>
    <xf numFmtId="0" fontId="5" fillId="2" borderId="0" xfId="0" applyFont="1" applyFill="1" applyBorder="1" applyAlignment="1">
      <alignment horizontal="center"/>
    </xf>
    <xf numFmtId="0" fontId="5" fillId="2" borderId="80" xfId="0" applyFont="1" applyFill="1" applyBorder="1" applyAlignment="1">
      <alignment horizontal="center"/>
    </xf>
    <xf numFmtId="0" fontId="0" fillId="20" borderId="91" xfId="0" applyFill="1" applyBorder="1" applyAlignment="1">
      <alignment horizontal="center"/>
    </xf>
    <xf numFmtId="0" fontId="0" fillId="20" borderId="38" xfId="0" applyFill="1" applyBorder="1" applyAlignment="1">
      <alignment horizontal="center"/>
    </xf>
    <xf numFmtId="0" fontId="0" fillId="20" borderId="79" xfId="0" applyFill="1" applyBorder="1" applyAlignment="1">
      <alignment horizontal="center"/>
    </xf>
    <xf numFmtId="0" fontId="0" fillId="20" borderId="41" xfId="0" applyFill="1" applyBorder="1" applyAlignment="1">
      <alignment horizontal="center"/>
    </xf>
    <xf numFmtId="0" fontId="0" fillId="20" borderId="92" xfId="0" applyFill="1" applyBorder="1" applyAlignment="1">
      <alignment horizontal="center"/>
    </xf>
    <xf numFmtId="0" fontId="0" fillId="20" borderId="86" xfId="0" applyFill="1" applyBorder="1" applyAlignment="1">
      <alignment horizontal="center"/>
    </xf>
    <xf numFmtId="0" fontId="17" fillId="0" borderId="25" xfId="0" applyFont="1" applyBorder="1" applyAlignment="1">
      <alignment horizontal="center" vertical="center"/>
    </xf>
    <xf numFmtId="0" fontId="17" fillId="0" borderId="38" xfId="0" applyFont="1" applyBorder="1" applyAlignment="1">
      <alignment horizontal="center" vertical="center"/>
    </xf>
    <xf numFmtId="0" fontId="17" fillId="0" borderId="40" xfId="0" applyFont="1" applyBorder="1" applyAlignment="1">
      <alignment horizontal="center" vertical="center"/>
    </xf>
    <xf numFmtId="0" fontId="17" fillId="0" borderId="41" xfId="0" applyFont="1" applyBorder="1" applyAlignment="1">
      <alignment horizontal="center" vertical="center"/>
    </xf>
    <xf numFmtId="0" fontId="17" fillId="0" borderId="85" xfId="0" applyFont="1" applyBorder="1" applyAlignment="1">
      <alignment horizontal="center" vertical="center"/>
    </xf>
    <xf numFmtId="0" fontId="17" fillId="0" borderId="86" xfId="0" applyFont="1" applyBorder="1" applyAlignment="1">
      <alignment horizontal="center" vertical="center"/>
    </xf>
    <xf numFmtId="0" fontId="31" fillId="0" borderId="83" xfId="0" applyFont="1" applyBorder="1" applyAlignment="1">
      <alignment horizontal="center" vertical="center" wrapText="1"/>
    </xf>
    <xf numFmtId="0" fontId="31" fillId="0" borderId="40" xfId="0" applyFont="1" applyBorder="1" applyAlignment="1">
      <alignment horizontal="center" vertical="center" wrapText="1"/>
    </xf>
    <xf numFmtId="0" fontId="31" fillId="0" borderId="80" xfId="0" applyFont="1" applyBorder="1" applyAlignment="1">
      <alignment horizontal="center" vertical="center" wrapText="1"/>
    </xf>
    <xf numFmtId="0" fontId="31" fillId="0" borderId="85" xfId="0" applyFont="1" applyBorder="1" applyAlignment="1">
      <alignment horizontal="center" vertical="center" wrapText="1"/>
    </xf>
    <xf numFmtId="0" fontId="31" fillId="0" borderId="87"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83"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80" xfId="0" applyFont="1" applyBorder="1" applyAlignment="1">
      <alignment horizontal="center" vertical="center" wrapText="1"/>
    </xf>
    <xf numFmtId="0" fontId="16" fillId="0" borderId="85" xfId="0" applyFont="1" applyBorder="1" applyAlignment="1">
      <alignment horizontal="center" vertical="center" wrapText="1"/>
    </xf>
    <xf numFmtId="0" fontId="16" fillId="0" borderId="87" xfId="0" applyFont="1" applyBorder="1" applyAlignment="1">
      <alignment horizontal="center" vertical="center" wrapText="1"/>
    </xf>
    <xf numFmtId="0" fontId="38" fillId="23" borderId="76" xfId="0" applyFont="1" applyFill="1" applyBorder="1" applyAlignment="1">
      <alignment horizontal="center" vertical="center" wrapText="1"/>
    </xf>
    <xf numFmtId="0" fontId="38" fillId="23" borderId="77" xfId="0" applyFont="1" applyFill="1" applyBorder="1" applyAlignment="1">
      <alignment horizontal="center" vertical="center" wrapText="1"/>
    </xf>
    <xf numFmtId="0" fontId="38" fillId="23" borderId="78" xfId="0" applyFont="1" applyFill="1" applyBorder="1" applyAlignment="1">
      <alignment horizontal="center" vertical="center" wrapText="1"/>
    </xf>
    <xf numFmtId="0" fontId="38" fillId="23" borderId="79" xfId="0" applyFont="1" applyFill="1" applyBorder="1" applyAlignment="1">
      <alignment horizontal="center" vertical="center" wrapText="1"/>
    </xf>
    <xf numFmtId="0" fontId="38" fillId="23" borderId="0" xfId="0" applyFont="1" applyFill="1" applyBorder="1" applyAlignment="1">
      <alignment horizontal="center" vertical="center" wrapText="1"/>
    </xf>
    <xf numFmtId="0" fontId="38" fillId="23" borderId="80" xfId="0" applyFont="1" applyFill="1" applyBorder="1" applyAlignment="1">
      <alignment horizontal="center" vertical="center" wrapText="1"/>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135" xfId="0" applyBorder="1" applyAlignment="1">
      <alignment horizontal="center" vertical="center"/>
    </xf>
    <xf numFmtId="0" fontId="0" fillId="0" borderId="136" xfId="0" applyBorder="1" applyAlignment="1">
      <alignment horizontal="center" vertical="center"/>
    </xf>
    <xf numFmtId="0" fontId="10" fillId="21" borderId="63" xfId="0" applyFont="1" applyFill="1" applyBorder="1" applyAlignment="1">
      <alignment horizontal="center"/>
    </xf>
    <xf numFmtId="0" fontId="10" fillId="21" borderId="64" xfId="0" applyFont="1" applyFill="1" applyBorder="1" applyAlignment="1">
      <alignment horizontal="center"/>
    </xf>
    <xf numFmtId="0" fontId="0" fillId="5" borderId="58" xfId="0" applyFill="1" applyBorder="1" applyAlignment="1">
      <alignment horizontal="center" vertical="center"/>
    </xf>
    <xf numFmtId="0" fontId="0" fillId="10" borderId="58" xfId="0" applyFill="1" applyBorder="1" applyAlignment="1">
      <alignment horizontal="center"/>
    </xf>
    <xf numFmtId="0" fontId="0" fillId="8" borderId="58" xfId="0" applyFill="1" applyBorder="1" applyAlignment="1">
      <alignment horizontal="center"/>
    </xf>
    <xf numFmtId="0" fontId="5" fillId="13" borderId="58" xfId="0" applyFont="1" applyFill="1" applyBorder="1" applyAlignment="1">
      <alignment horizontal="center" vertical="center" wrapText="1"/>
    </xf>
    <xf numFmtId="0" fontId="5" fillId="17" borderId="58" xfId="0" applyFont="1" applyFill="1" applyBorder="1" applyAlignment="1">
      <alignment horizontal="center" vertical="center" wrapText="1"/>
    </xf>
    <xf numFmtId="0" fontId="38" fillId="23" borderId="76" xfId="0" applyFont="1" applyFill="1" applyBorder="1" applyAlignment="1">
      <alignment horizontal="center" vertical="center"/>
    </xf>
    <xf numFmtId="0" fontId="38" fillId="23" borderId="77" xfId="0" applyFont="1" applyFill="1" applyBorder="1" applyAlignment="1">
      <alignment horizontal="center" vertical="center"/>
    </xf>
    <xf numFmtId="0" fontId="38" fillId="23" borderId="78" xfId="0" applyFont="1" applyFill="1" applyBorder="1" applyAlignment="1">
      <alignment horizontal="center" vertical="center"/>
    </xf>
    <xf numFmtId="0" fontId="38" fillId="23" borderId="79" xfId="0" applyFont="1" applyFill="1" applyBorder="1" applyAlignment="1">
      <alignment horizontal="center" vertical="center"/>
    </xf>
    <xf numFmtId="0" fontId="38" fillId="23" borderId="0" xfId="0" applyFont="1" applyFill="1" applyBorder="1" applyAlignment="1">
      <alignment horizontal="center" vertical="center"/>
    </xf>
    <xf numFmtId="0" fontId="38" fillId="23" borderId="80" xfId="0" applyFont="1" applyFill="1" applyBorder="1" applyAlignment="1">
      <alignment horizontal="center" vertical="center"/>
    </xf>
    <xf numFmtId="0" fontId="5" fillId="28" borderId="58" xfId="0" applyFont="1" applyFill="1" applyBorder="1" applyAlignment="1">
      <alignment horizontal="center" vertical="center" wrapText="1"/>
    </xf>
    <xf numFmtId="0" fontId="5" fillId="2" borderId="58" xfId="0" applyFont="1" applyFill="1" applyBorder="1" applyAlignment="1">
      <alignment horizontal="center" wrapText="1"/>
    </xf>
    <xf numFmtId="0" fontId="5" fillId="21" borderId="0" xfId="0" applyFont="1" applyFill="1" applyBorder="1" applyAlignment="1">
      <alignment horizontal="center"/>
    </xf>
    <xf numFmtId="0" fontId="12" fillId="24" borderId="0" xfId="0" applyFont="1" applyFill="1" applyBorder="1" applyAlignment="1">
      <alignment horizontal="center"/>
    </xf>
    <xf numFmtId="0" fontId="10" fillId="21" borderId="0" xfId="0" applyFont="1" applyFill="1" applyBorder="1" applyAlignment="1">
      <alignment horizontal="center"/>
    </xf>
    <xf numFmtId="0" fontId="12" fillId="25" borderId="58" xfId="0" applyFont="1" applyFill="1" applyBorder="1" applyAlignment="1">
      <alignment horizontal="center" vertical="center" wrapText="1"/>
    </xf>
    <xf numFmtId="0" fontId="5" fillId="21" borderId="58" xfId="0" applyFont="1" applyFill="1" applyBorder="1" applyAlignment="1">
      <alignment horizontal="center" vertical="center" wrapText="1"/>
    </xf>
    <xf numFmtId="0" fontId="10" fillId="2" borderId="95" xfId="0" applyFont="1" applyFill="1" applyBorder="1" applyAlignment="1">
      <alignment horizontal="center"/>
    </xf>
    <xf numFmtId="0" fontId="10" fillId="2" borderId="96" xfId="0" applyFont="1" applyFill="1" applyBorder="1" applyAlignment="1">
      <alignment horizontal="center"/>
    </xf>
    <xf numFmtId="0" fontId="0" fillId="0" borderId="6" xfId="0" applyBorder="1" applyAlignment="1">
      <alignment horizontal="left" vertical="center" wrapText="1" indent="1"/>
    </xf>
    <xf numFmtId="0" fontId="0" fillId="0" borderId="0" xfId="0" applyBorder="1" applyAlignment="1">
      <alignment horizontal="left" vertical="center" wrapText="1" indent="1"/>
    </xf>
    <xf numFmtId="0" fontId="35" fillId="13" borderId="62" xfId="0" applyFont="1" applyFill="1" applyBorder="1" applyAlignment="1">
      <alignment horizontal="center" vertical="center" textRotation="90"/>
    </xf>
    <xf numFmtId="0" fontId="35" fillId="13" borderId="65" xfId="0" applyFont="1" applyFill="1" applyBorder="1" applyAlignment="1">
      <alignment horizontal="center" vertical="center" textRotation="90"/>
    </xf>
    <xf numFmtId="0" fontId="35" fillId="13" borderId="67" xfId="0" applyFont="1" applyFill="1" applyBorder="1" applyAlignment="1">
      <alignment horizontal="center" vertical="center" textRotation="90"/>
    </xf>
    <xf numFmtId="0" fontId="36" fillId="0" borderId="33" xfId="0" applyFont="1" applyFill="1" applyBorder="1" applyAlignment="1">
      <alignment horizontal="right" vertical="center" textRotation="90"/>
    </xf>
    <xf numFmtId="0" fontId="10" fillId="21" borderId="58" xfId="0" applyFont="1" applyFill="1" applyBorder="1" applyAlignment="1">
      <alignment horizontal="center"/>
    </xf>
    <xf numFmtId="0" fontId="0" fillId="20" borderId="58" xfId="0" applyFill="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2" borderId="58" xfId="0" applyFont="1" applyFill="1" applyBorder="1" applyAlignment="1">
      <alignment horizontal="center" vertical="center" wrapText="1"/>
    </xf>
    <xf numFmtId="0" fontId="5" fillId="22" borderId="58" xfId="0" applyFont="1" applyFill="1" applyBorder="1" applyAlignment="1">
      <alignment horizontal="center"/>
    </xf>
    <xf numFmtId="0" fontId="10" fillId="21" borderId="62" xfId="0" applyFont="1" applyFill="1" applyBorder="1" applyAlignment="1">
      <alignment horizontal="center" vertical="center" textRotation="90"/>
    </xf>
    <xf numFmtId="0" fontId="10" fillId="21" borderId="65" xfId="0" applyFont="1" applyFill="1" applyBorder="1" applyAlignment="1">
      <alignment horizontal="center" vertical="center" textRotation="90"/>
    </xf>
    <xf numFmtId="0" fontId="10" fillId="21" borderId="67" xfId="0" applyFont="1" applyFill="1" applyBorder="1" applyAlignment="1">
      <alignment horizontal="center" vertical="center" textRotation="90"/>
    </xf>
    <xf numFmtId="0" fontId="10" fillId="21" borderId="73" xfId="0" applyFont="1" applyFill="1" applyBorder="1" applyAlignment="1">
      <alignment horizontal="center"/>
    </xf>
    <xf numFmtId="0" fontId="12" fillId="0" borderId="68" xfId="0" applyFont="1" applyBorder="1" applyAlignment="1">
      <alignment horizontal="center"/>
    </xf>
    <xf numFmtId="0" fontId="0" fillId="0" borderId="75" xfId="0" applyBorder="1" applyAlignment="1">
      <alignment horizontal="center" wrapText="1"/>
    </xf>
    <xf numFmtId="0" fontId="0" fillId="0" borderId="0" xfId="0" applyBorder="1" applyAlignment="1">
      <alignment horizontal="center" wrapText="1"/>
    </xf>
    <xf numFmtId="0" fontId="36" fillId="0" borderId="33" xfId="0" applyFont="1" applyBorder="1" applyAlignment="1">
      <alignment horizontal="right" vertical="center" textRotation="90"/>
    </xf>
    <xf numFmtId="0" fontId="2" fillId="21" borderId="24" xfId="0" applyFont="1" applyFill="1" applyBorder="1" applyAlignment="1">
      <alignment horizontal="center"/>
    </xf>
    <xf numFmtId="0" fontId="10" fillId="21" borderId="74" xfId="0" applyFont="1" applyFill="1" applyBorder="1" applyAlignment="1">
      <alignment horizontal="center" vertical="center" textRotation="90" wrapText="1"/>
    </xf>
    <xf numFmtId="0" fontId="0" fillId="10" borderId="45" xfId="0" applyFill="1" applyBorder="1" applyAlignment="1">
      <alignment horizontal="center"/>
    </xf>
    <xf numFmtId="0" fontId="0" fillId="10" borderId="29" xfId="0" applyFill="1" applyBorder="1" applyAlignment="1">
      <alignment horizontal="center"/>
    </xf>
    <xf numFmtId="0" fontId="23" fillId="21" borderId="3"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0" xfId="0" applyFont="1" applyFill="1" applyBorder="1" applyAlignment="1">
      <alignment horizontal="center" vertical="center"/>
    </xf>
    <xf numFmtId="0" fontId="23" fillId="21" borderId="7" xfId="0" applyFont="1" applyFill="1" applyBorder="1" applyAlignment="1">
      <alignment horizontal="center" vertical="center"/>
    </xf>
    <xf numFmtId="0" fontId="0" fillId="24" borderId="1" xfId="0" applyFill="1" applyBorder="1" applyAlignment="1">
      <alignment horizontal="center"/>
    </xf>
    <xf numFmtId="0" fontId="0" fillId="9" borderId="1" xfId="0" applyFill="1" applyBorder="1" applyAlignment="1">
      <alignment horizontal="center"/>
    </xf>
  </cellXfs>
  <cellStyles count="2">
    <cellStyle name="Normal" xfId="0" builtinId="0"/>
    <cellStyle name="Percent" xfId="1" builtinId="5"/>
  </cellStyles>
  <dxfs count="1134">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fgColor indexed="64"/>
          <bgColor theme="4"/>
        </patternFill>
      </fill>
      <alignment horizontal="center" vertical="center" textRotation="0" wrapText="1" indent="0" justifyLastLine="0" shrinkToFit="0" readingOrder="0"/>
    </dxf>
    <dxf>
      <font>
        <color rgb="FF9C0006"/>
      </font>
      <fill>
        <patternFill>
          <bgColor rgb="FFFFC7CE"/>
        </patternFill>
      </fill>
    </dxf>
    <dxf>
      <font>
        <color rgb="FF9C5700"/>
      </font>
      <fill>
        <patternFill>
          <bgColor rgb="FFFFEB9C"/>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alignment horizontal="left" vertical="bottom" textRotation="0" wrapText="0" relativeIndent="1"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alignment horizontal="left" vertical="top" textRotation="0" wrapText="1" relativeIndent="1" justifyLastLine="0" shrinkToFit="0" readingOrder="0"/>
    </dxf>
    <dxf>
      <alignment horizontal="left" vertical="top" textRotation="0" wrapText="1" indent="1" justifyLastLine="0" shrinkToFit="0" readingOrder="0"/>
    </dxf>
    <dxf>
      <alignment horizontal="center" vertical="top" textRotation="0" wrapText="1" indent="0" justifyLastLine="0" shrinkToFit="0" readingOrder="0"/>
    </dxf>
    <dxf>
      <alignment horizontal="left" vertical="top" textRotation="0" wrapText="1" relativeIndent="1" justifyLastLine="0" shrinkToFit="0" readingOrder="0"/>
    </dxf>
    <dxf>
      <alignment horizontal="left" vertical="top" textRotation="0" wrapText="1" indent="0" justifyLastLine="0" shrinkToFit="0" readingOrder="0"/>
    </dxf>
    <dxf>
      <font>
        <strike val="0"/>
        <outline val="0"/>
        <shadow val="0"/>
        <u val="none"/>
        <vertAlign val="baseline"/>
        <sz val="16"/>
        <color theme="1"/>
        <name val="Calibri"/>
        <family val="2"/>
        <scheme val="minor"/>
      </font>
      <alignment horizontal="center" vertical="bottom" textRotation="0" wrapText="1" indent="0" justifyLastLine="0" shrinkToFit="0" readingOrder="0"/>
    </dxf>
    <dxf>
      <font>
        <color theme="0"/>
      </font>
    </dxf>
    <dxf>
      <font>
        <color theme="0"/>
      </font>
    </dxf>
    <dxf>
      <fill>
        <patternFill>
          <bgColor theme="9" tint="0.79998168889431442"/>
        </patternFill>
      </fill>
    </dxf>
    <dxf>
      <fill>
        <patternFill>
          <fgColor rgb="FFFFDCDA"/>
          <bgColor rgb="FFFFCCCC"/>
        </patternFill>
      </fill>
    </dxf>
    <dxf>
      <fill>
        <patternFill>
          <bgColor theme="7" tint="0.79998168889431442"/>
        </patternFill>
      </fill>
    </dxf>
    <dxf>
      <fill>
        <patternFill>
          <bgColor theme="9" tint="0.79998168889431442"/>
        </patternFill>
      </fill>
    </dxf>
    <dxf>
      <font>
        <color theme="1"/>
      </font>
      <fill>
        <patternFill>
          <bgColor rgb="FFFFEB9C"/>
        </patternFill>
      </fill>
    </dxf>
    <dxf>
      <fill>
        <patternFill>
          <fgColor rgb="FFFFDCDA"/>
          <bgColor rgb="FFFFCCC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C6EFCE"/>
        </patternFill>
      </fill>
    </dxf>
    <dxf>
      <font>
        <color auto="1"/>
      </font>
      <fill>
        <patternFill>
          <bgColor rgb="FFFFEB9C"/>
        </patternFill>
      </fill>
    </dxf>
    <dxf>
      <font>
        <color theme="1"/>
      </font>
      <fill>
        <patternFill>
          <bgColor rgb="FFFFC7CE"/>
        </patternFill>
      </fill>
    </dxf>
    <dxf>
      <font>
        <b/>
        <i val="0"/>
        <color theme="0"/>
      </font>
      <fill>
        <patternFill>
          <bgColor rgb="FF0070C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numFmt numFmtId="1" formatCode="0"/>
      <alignment horizontal="center" vertical="top" textRotation="0" wrapText="0" indent="0" justifyLastLine="0" shrinkToFit="0" readingOrder="0"/>
    </dxf>
    <dxf>
      <numFmt numFmtId="166" formatCode="m/d/yyyy"/>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13" formatCode="0%"/>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numFmt numFmtId="165" formatCode="yyyy\-mm\-dd;@"/>
      <alignment horizontal="center" vertical="top" textRotation="0" wrapText="0" indent="0" justifyLastLine="0" shrinkToFit="0" readingOrder="0"/>
    </dxf>
    <dxf>
      <numFmt numFmtId="165" formatCode="yyyy\-mm\-dd;@"/>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bottom" textRotation="0" wrapText="0" indent="0" justifyLastLine="0" shrinkToFit="0" readingOrder="0"/>
    </dxf>
    <dxf>
      <fill>
        <patternFill>
          <bgColor rgb="FFFFCCCC"/>
        </patternFill>
      </fill>
    </dxf>
    <dxf>
      <fill>
        <patternFill>
          <bgColor theme="7" tint="0.79998168889431442"/>
        </patternFill>
      </fill>
    </dxf>
    <dxf>
      <fill>
        <patternFill>
          <bgColor theme="9" tint="0.59996337778862885"/>
        </patternFill>
      </fill>
    </dxf>
    <dxf>
      <font>
        <color theme="0"/>
      </font>
    </dxf>
    <dxf>
      <font>
        <color theme="0"/>
      </font>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color theme="8" tint="0.79998168889431442"/>
      </font>
      <fill>
        <patternFill>
          <bgColor theme="8" tint="0.79998168889431442"/>
        </patternFill>
      </fill>
    </dxf>
    <dxf>
      <font>
        <color theme="0"/>
      </font>
    </dxf>
    <dxf>
      <font>
        <color theme="0"/>
      </font>
    </dxf>
    <dxf>
      <font>
        <color theme="0"/>
      </font>
    </dxf>
    <dxf>
      <font>
        <color theme="0"/>
      </font>
    </dxf>
    <dxf>
      <font>
        <color theme="0"/>
      </font>
    </dxf>
    <dxf>
      <font>
        <color theme="0" tint="-0.24994659260841701"/>
      </font>
      <fill>
        <patternFill>
          <bgColor theme="0" tint="-0.24994659260841701"/>
        </patternFill>
      </fill>
    </dxf>
    <dxf>
      <font>
        <strike val="0"/>
        <color theme="0"/>
      </font>
      <fill>
        <patternFill>
          <fgColor theme="0"/>
        </patternFill>
      </fill>
    </dxf>
    <dxf>
      <font>
        <strike val="0"/>
        <color theme="0"/>
      </font>
      <fill>
        <patternFill>
          <bgColor theme="0"/>
        </patternFill>
      </fill>
    </dxf>
    <dxf>
      <font>
        <color theme="0" tint="-4.9989318521683403E-2"/>
      </font>
      <fill>
        <patternFill>
          <bgColor theme="0" tint="-4.9989318521683403E-2"/>
        </patternFill>
      </fill>
      <border>
        <left/>
        <vertical/>
        <horizontal/>
      </border>
    </dxf>
    <dxf>
      <font>
        <color theme="0" tint="-4.9989318521683403E-2"/>
      </font>
      <fill>
        <patternFill>
          <bgColor theme="0" tint="-4.9989318521683403E-2"/>
        </patternFill>
      </fill>
      <border>
        <left/>
        <vertical/>
        <horizontal/>
      </border>
    </dxf>
    <dxf>
      <font>
        <color theme="0" tint="-4.9989318521683403E-2"/>
      </font>
      <fill>
        <patternFill>
          <bgColor theme="0" tint="-4.9989318521683403E-2"/>
        </patternFill>
      </fill>
      <border>
        <left/>
        <bottom/>
        <vertical/>
        <horizontal/>
      </border>
    </dxf>
    <dxf>
      <font>
        <color theme="0" tint="-4.9989318521683403E-2"/>
      </font>
      <fill>
        <patternFill>
          <bgColor theme="0" tint="-4.9989318521683403E-2"/>
        </patternFill>
      </fill>
      <border>
        <left/>
        <bottom/>
        <vertical/>
        <horizontal/>
      </border>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ont>
        <color theme="0"/>
      </font>
      <fill>
        <patternFill>
          <bgColor theme="9" tint="-0.24994659260841701"/>
        </patternFill>
      </fill>
    </dxf>
    <dxf>
      <font>
        <color theme="0"/>
      </font>
      <fill>
        <patternFill>
          <bgColor rgb="FFC0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A7A7"/>
      <color rgb="FFFFCCCC"/>
      <color rgb="FFFF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1.jp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105837</xdr:colOff>
      <xdr:row>0</xdr:row>
      <xdr:rowOff>127001</xdr:rowOff>
    </xdr:from>
    <xdr:to>
      <xdr:col>4</xdr:col>
      <xdr:colOff>122009</xdr:colOff>
      <xdr:row>0</xdr:row>
      <xdr:rowOff>767081</xdr:rowOff>
    </xdr:to>
    <xdr:pic>
      <xdr:nvPicPr>
        <xdr:cNvPr id="8" name="Picture 7">
          <a:extLst>
            <a:ext uri="{FF2B5EF4-FFF2-40B4-BE49-F238E27FC236}">
              <a16:creationId xmlns:a16="http://schemas.microsoft.com/office/drawing/2014/main" id="{616FCB23-0257-DD42-8666-1FC09E75421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895" t="33666" r="7310" b="40980"/>
        <a:stretch/>
      </xdr:blipFill>
      <xdr:spPr>
        <a:xfrm>
          <a:off x="105837" y="127001"/>
          <a:ext cx="3043005" cy="640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27222</xdr:colOff>
      <xdr:row>101</xdr:row>
      <xdr:rowOff>27213</xdr:rowOff>
    </xdr:from>
    <xdr:to>
      <xdr:col>7</xdr:col>
      <xdr:colOff>835834</xdr:colOff>
      <xdr:row>118</xdr:row>
      <xdr:rowOff>177397</xdr:rowOff>
    </xdr:to>
    <xdr:pic>
      <xdr:nvPicPr>
        <xdr:cNvPr id="4" name="Picture 3">
          <a:extLst>
            <a:ext uri="{FF2B5EF4-FFF2-40B4-BE49-F238E27FC236}">
              <a16:creationId xmlns:a16="http://schemas.microsoft.com/office/drawing/2014/main" id="{B54EF555-71CB-4C30-90DA-B921AB0BBA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50829" y="22601463"/>
          <a:ext cx="2495898" cy="3620005"/>
        </a:xfrm>
        <a:prstGeom prst="rect">
          <a:avLst/>
        </a:prstGeom>
      </xdr:spPr>
    </xdr:pic>
    <xdr:clientData/>
  </xdr:twoCellAnchor>
  <xdr:twoCellAnchor editAs="oneCell">
    <xdr:from>
      <xdr:col>11</xdr:col>
      <xdr:colOff>327223</xdr:colOff>
      <xdr:row>99</xdr:row>
      <xdr:rowOff>191142</xdr:rowOff>
    </xdr:from>
    <xdr:to>
      <xdr:col>12</xdr:col>
      <xdr:colOff>617226</xdr:colOff>
      <xdr:row>122</xdr:row>
      <xdr:rowOff>40737</xdr:rowOff>
    </xdr:to>
    <xdr:pic>
      <xdr:nvPicPr>
        <xdr:cNvPr id="8" name="Picture 7">
          <a:extLst>
            <a:ext uri="{FF2B5EF4-FFF2-40B4-BE49-F238E27FC236}">
              <a16:creationId xmlns:a16="http://schemas.microsoft.com/office/drawing/2014/main" id="{02EA9690-4C46-4248-B2B3-27EA787B92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03187" y="22357178"/>
          <a:ext cx="1228896" cy="4544059"/>
        </a:xfrm>
        <a:prstGeom prst="rect">
          <a:avLst/>
        </a:prstGeom>
      </xdr:spPr>
    </xdr:pic>
    <xdr:clientData/>
  </xdr:twoCellAnchor>
  <xdr:twoCellAnchor editAs="oneCell">
    <xdr:from>
      <xdr:col>13</xdr:col>
      <xdr:colOff>41794</xdr:colOff>
      <xdr:row>102</xdr:row>
      <xdr:rowOff>41784</xdr:rowOff>
    </xdr:from>
    <xdr:to>
      <xdr:col>14</xdr:col>
      <xdr:colOff>912904</xdr:colOff>
      <xdr:row>119</xdr:row>
      <xdr:rowOff>49072</xdr:rowOff>
    </xdr:to>
    <xdr:pic>
      <xdr:nvPicPr>
        <xdr:cNvPr id="10" name="Picture 9">
          <a:extLst>
            <a:ext uri="{FF2B5EF4-FFF2-40B4-BE49-F238E27FC236}">
              <a16:creationId xmlns:a16="http://schemas.microsoft.com/office/drawing/2014/main" id="{05484041-3DD3-40B6-90A3-1219CEEC2EB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995544" y="22820141"/>
          <a:ext cx="1810003" cy="3477110"/>
        </a:xfrm>
        <a:prstGeom prst="rect">
          <a:avLst/>
        </a:prstGeom>
      </xdr:spPr>
    </xdr:pic>
    <xdr:clientData/>
  </xdr:twoCellAnchor>
  <xdr:twoCellAnchor editAs="oneCell">
    <xdr:from>
      <xdr:col>8</xdr:col>
      <xdr:colOff>-1</xdr:colOff>
      <xdr:row>108</xdr:row>
      <xdr:rowOff>95250</xdr:rowOff>
    </xdr:from>
    <xdr:to>
      <xdr:col>11</xdr:col>
      <xdr:colOff>212680</xdr:colOff>
      <xdr:row>113</xdr:row>
      <xdr:rowOff>179768</xdr:rowOff>
    </xdr:to>
    <xdr:pic>
      <xdr:nvPicPr>
        <xdr:cNvPr id="12" name="Picture 11">
          <a:extLst>
            <a:ext uri="{FF2B5EF4-FFF2-40B4-BE49-F238E27FC236}">
              <a16:creationId xmlns:a16="http://schemas.microsoft.com/office/drawing/2014/main" id="{4CBBBBB3-9EA1-41C4-968A-CA2B411D810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54535" y="24098250"/>
          <a:ext cx="2934109" cy="1105054"/>
        </a:xfrm>
        <a:prstGeom prst="rect">
          <a:avLst/>
        </a:prstGeom>
      </xdr:spPr>
    </xdr:pic>
    <xdr:clientData/>
  </xdr:twoCellAnchor>
  <xdr:twoCellAnchor editAs="oneCell">
    <xdr:from>
      <xdr:col>0</xdr:col>
      <xdr:colOff>0</xdr:colOff>
      <xdr:row>0</xdr:row>
      <xdr:rowOff>0</xdr:rowOff>
    </xdr:from>
    <xdr:to>
      <xdr:col>4</xdr:col>
      <xdr:colOff>31291</xdr:colOff>
      <xdr:row>0</xdr:row>
      <xdr:rowOff>640080</xdr:rowOff>
    </xdr:to>
    <xdr:pic>
      <xdr:nvPicPr>
        <xdr:cNvPr id="9" name="Picture 8">
          <a:extLst>
            <a:ext uri="{FF2B5EF4-FFF2-40B4-BE49-F238E27FC236}">
              <a16:creationId xmlns:a16="http://schemas.microsoft.com/office/drawing/2014/main" id="{34842B3D-CBA9-9B42-BCEA-479BB5F7623B}"/>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7895" t="33666" r="7310" b="40980"/>
        <a:stretch/>
      </xdr:blipFill>
      <xdr:spPr>
        <a:xfrm>
          <a:off x="0" y="0"/>
          <a:ext cx="3043005" cy="6400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503461</xdr:colOff>
      <xdr:row>1</xdr:row>
      <xdr:rowOff>503463</xdr:rowOff>
    </xdr:from>
    <xdr:to>
      <xdr:col>15</xdr:col>
      <xdr:colOff>8658</xdr:colOff>
      <xdr:row>2</xdr:row>
      <xdr:rowOff>2422070</xdr:rowOff>
    </xdr:to>
    <xdr:pic>
      <xdr:nvPicPr>
        <xdr:cNvPr id="2" name="Picture 1">
          <a:extLst>
            <a:ext uri="{FF2B5EF4-FFF2-40B4-BE49-F238E27FC236}">
              <a16:creationId xmlns:a16="http://schemas.microsoft.com/office/drawing/2014/main" id="{5EC4E3AE-BE77-4C9E-9FCB-699BF4998E81}"/>
            </a:ext>
          </a:extLst>
        </xdr:cNvPr>
        <xdr:cNvPicPr>
          <a:picLocks noChangeAspect="1"/>
        </xdr:cNvPicPr>
      </xdr:nvPicPr>
      <xdr:blipFill>
        <a:blip xmlns:r="http://schemas.openxmlformats.org/officeDocument/2006/relationships" r:embed="rId1"/>
        <a:stretch>
          <a:fillRect/>
        </a:stretch>
      </xdr:blipFill>
      <xdr:spPr>
        <a:xfrm>
          <a:off x="8028211" y="707570"/>
          <a:ext cx="8349840" cy="457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564446</xdr:colOff>
      <xdr:row>13</xdr:row>
      <xdr:rowOff>0</xdr:rowOff>
    </xdr:from>
    <xdr:to>
      <xdr:col>5</xdr:col>
      <xdr:colOff>508001</xdr:colOff>
      <xdr:row>15</xdr:row>
      <xdr:rowOff>155225</xdr:rowOff>
    </xdr:to>
    <xdr:sp macro="" textlink="">
      <xdr:nvSpPr>
        <xdr:cNvPr id="2" name="Right Arrow 1">
          <a:extLst>
            <a:ext uri="{FF2B5EF4-FFF2-40B4-BE49-F238E27FC236}">
              <a16:creationId xmlns:a16="http://schemas.microsoft.com/office/drawing/2014/main" id="{35B46FF5-5FA1-A048-88A1-C7F21EA5DA89}"/>
            </a:ext>
          </a:extLst>
        </xdr:cNvPr>
        <xdr:cNvSpPr/>
      </xdr:nvSpPr>
      <xdr:spPr>
        <a:xfrm>
          <a:off x="4303890" y="2017889"/>
          <a:ext cx="846667" cy="550336"/>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414515</xdr:colOff>
      <xdr:row>87</xdr:row>
      <xdr:rowOff>176389</xdr:rowOff>
    </xdr:from>
    <xdr:to>
      <xdr:col>7</xdr:col>
      <xdr:colOff>1262945</xdr:colOff>
      <xdr:row>90</xdr:row>
      <xdr:rowOff>125239</xdr:rowOff>
    </xdr:to>
    <xdr:sp macro="" textlink="">
      <xdr:nvSpPr>
        <xdr:cNvPr id="13" name="Right Arrow 12">
          <a:extLst>
            <a:ext uri="{FF2B5EF4-FFF2-40B4-BE49-F238E27FC236}">
              <a16:creationId xmlns:a16="http://schemas.microsoft.com/office/drawing/2014/main" id="{A5478F34-136F-474B-B6BE-6A7221CA01F6}"/>
            </a:ext>
          </a:extLst>
        </xdr:cNvPr>
        <xdr:cNvSpPr/>
      </xdr:nvSpPr>
      <xdr:spPr>
        <a:xfrm>
          <a:off x="5669140" y="8431389"/>
          <a:ext cx="848430" cy="56797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570090</xdr:colOff>
      <xdr:row>38</xdr:row>
      <xdr:rowOff>131939</xdr:rowOff>
    </xdr:from>
    <xdr:to>
      <xdr:col>5</xdr:col>
      <xdr:colOff>513645</xdr:colOff>
      <xdr:row>41</xdr:row>
      <xdr:rowOff>77614</xdr:rowOff>
    </xdr:to>
    <xdr:sp macro="" textlink="">
      <xdr:nvSpPr>
        <xdr:cNvPr id="5" name="Right Arrow 1">
          <a:extLst>
            <a:ext uri="{FF2B5EF4-FFF2-40B4-BE49-F238E27FC236}">
              <a16:creationId xmlns:a16="http://schemas.microsoft.com/office/drawing/2014/main" id="{DE3F4FDC-3200-4056-A5B9-E252EB4D293D}"/>
            </a:ext>
          </a:extLst>
        </xdr:cNvPr>
        <xdr:cNvSpPr/>
      </xdr:nvSpPr>
      <xdr:spPr>
        <a:xfrm>
          <a:off x="3675240" y="81329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417690</xdr:colOff>
      <xdr:row>12</xdr:row>
      <xdr:rowOff>74789</xdr:rowOff>
    </xdr:from>
    <xdr:to>
      <xdr:col>14</xdr:col>
      <xdr:colOff>246945</xdr:colOff>
      <xdr:row>15</xdr:row>
      <xdr:rowOff>20464</xdr:rowOff>
    </xdr:to>
    <xdr:sp macro="" textlink="">
      <xdr:nvSpPr>
        <xdr:cNvPr id="6" name="Right Arrow 1">
          <a:extLst>
            <a:ext uri="{FF2B5EF4-FFF2-40B4-BE49-F238E27FC236}">
              <a16:creationId xmlns:a16="http://schemas.microsoft.com/office/drawing/2014/main" id="{FE2F3C46-7C05-4DFB-82A2-91BB15886863}"/>
            </a:ext>
          </a:extLst>
        </xdr:cNvPr>
        <xdr:cNvSpPr/>
      </xdr:nvSpPr>
      <xdr:spPr>
        <a:xfrm>
          <a:off x="13371690" y="25703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671690</xdr:colOff>
      <xdr:row>39</xdr:row>
      <xdr:rowOff>62089</xdr:rowOff>
    </xdr:from>
    <xdr:to>
      <xdr:col>13</xdr:col>
      <xdr:colOff>469195</xdr:colOff>
      <xdr:row>42</xdr:row>
      <xdr:rowOff>7764</xdr:rowOff>
    </xdr:to>
    <xdr:sp macro="" textlink="">
      <xdr:nvSpPr>
        <xdr:cNvPr id="7" name="Right Arrow 1">
          <a:extLst>
            <a:ext uri="{FF2B5EF4-FFF2-40B4-BE49-F238E27FC236}">
              <a16:creationId xmlns:a16="http://schemas.microsoft.com/office/drawing/2014/main" id="{BA392AC6-5CAF-446F-82B1-427F6AE0E428}"/>
            </a:ext>
          </a:extLst>
        </xdr:cNvPr>
        <xdr:cNvSpPr/>
      </xdr:nvSpPr>
      <xdr:spPr>
        <a:xfrm>
          <a:off x="12450940" y="8094839"/>
          <a:ext cx="845255" cy="5489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972255</xdr:colOff>
      <xdr:row>45</xdr:row>
      <xdr:rowOff>18699</xdr:rowOff>
    </xdr:from>
    <xdr:to>
      <xdr:col>15</xdr:col>
      <xdr:colOff>505180</xdr:colOff>
      <xdr:row>49</xdr:row>
      <xdr:rowOff>117829</xdr:rowOff>
    </xdr:to>
    <xdr:sp macro="" textlink="">
      <xdr:nvSpPr>
        <xdr:cNvPr id="8" name="Right Arrow 1">
          <a:extLst>
            <a:ext uri="{FF2B5EF4-FFF2-40B4-BE49-F238E27FC236}">
              <a16:creationId xmlns:a16="http://schemas.microsoft.com/office/drawing/2014/main" id="{544356D4-2B8D-4F68-B269-E8796EFB5EE8}"/>
            </a:ext>
          </a:extLst>
        </xdr:cNvPr>
        <xdr:cNvSpPr/>
      </xdr:nvSpPr>
      <xdr:spPr>
        <a:xfrm rot="5400000">
          <a:off x="14714715" y="9755364"/>
          <a:ext cx="924630" cy="564800"/>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403402</xdr:colOff>
      <xdr:row>56</xdr:row>
      <xdr:rowOff>111301</xdr:rowOff>
    </xdr:from>
    <xdr:to>
      <xdr:col>23</xdr:col>
      <xdr:colOff>1248657</xdr:colOff>
      <xdr:row>59</xdr:row>
      <xdr:rowOff>49038</xdr:rowOff>
    </xdr:to>
    <xdr:sp macro="" textlink="">
      <xdr:nvSpPr>
        <xdr:cNvPr id="9" name="Right Arrow 1">
          <a:extLst>
            <a:ext uri="{FF2B5EF4-FFF2-40B4-BE49-F238E27FC236}">
              <a16:creationId xmlns:a16="http://schemas.microsoft.com/office/drawing/2014/main" id="{7E9156F8-1750-4917-9FAE-EBA2E51A8F41}"/>
            </a:ext>
          </a:extLst>
        </xdr:cNvPr>
        <xdr:cNvSpPr/>
      </xdr:nvSpPr>
      <xdr:spPr>
        <a:xfrm>
          <a:off x="23612652" y="11938176"/>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984427</xdr:colOff>
      <xdr:row>58</xdr:row>
      <xdr:rowOff>49389</xdr:rowOff>
    </xdr:from>
    <xdr:to>
      <xdr:col>16</xdr:col>
      <xdr:colOff>805744</xdr:colOff>
      <xdr:row>61</xdr:row>
      <xdr:rowOff>3001</xdr:rowOff>
    </xdr:to>
    <xdr:sp macro="" textlink="">
      <xdr:nvSpPr>
        <xdr:cNvPr id="11" name="Right Arrow 1">
          <a:extLst>
            <a:ext uri="{FF2B5EF4-FFF2-40B4-BE49-F238E27FC236}">
              <a16:creationId xmlns:a16="http://schemas.microsoft.com/office/drawing/2014/main" id="{4F8AFBD3-7602-423C-9877-6C8E3C575EFA}"/>
            </a:ext>
          </a:extLst>
        </xdr:cNvPr>
        <xdr:cNvSpPr/>
      </xdr:nvSpPr>
      <xdr:spPr>
        <a:xfrm>
          <a:off x="15938677" y="12289014"/>
          <a:ext cx="853192" cy="572737"/>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990777</xdr:colOff>
      <xdr:row>78</xdr:row>
      <xdr:rowOff>333551</xdr:rowOff>
    </xdr:from>
    <xdr:to>
      <xdr:col>21</xdr:col>
      <xdr:colOff>804157</xdr:colOff>
      <xdr:row>81</xdr:row>
      <xdr:rowOff>80788</xdr:rowOff>
    </xdr:to>
    <xdr:sp macro="" textlink="">
      <xdr:nvSpPr>
        <xdr:cNvPr id="12" name="Right Arrow 1">
          <a:extLst>
            <a:ext uri="{FF2B5EF4-FFF2-40B4-BE49-F238E27FC236}">
              <a16:creationId xmlns:a16="http://schemas.microsoft.com/office/drawing/2014/main" id="{A6769E31-6647-4951-B4F5-AB8B3C153B01}"/>
            </a:ext>
          </a:extLst>
        </xdr:cNvPr>
        <xdr:cNvSpPr/>
      </xdr:nvSpPr>
      <xdr:spPr>
        <a:xfrm>
          <a:off x="21104402" y="16875301"/>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Nicholas Fanelli" id="{EBCA0E1A-3166-4176-B074-7082745F7146}" userId="S::d2534@lvh.com::43bc8dc1-df73-43be-a99a-f2ad3c914aa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1EF3A3D-C60C-4F60-8797-853C3A9D39AE}" name="AGGREGATE" displayName="AGGREGATE" ref="A1:FP2" totalsRowShown="0" headerRowDxfId="996" dataDxfId="995">
  <autoFilter ref="A1:FP2" xr:uid="{FA8C7FA0-ACF3-4F00-8A7E-D52E5B5CF967}"/>
  <tableColumns count="172">
    <tableColumn id="1" xr3:uid="{1617E4AA-3F95-4C5B-9011-7E43CD40547D}" name="Vendor Name" dataDxfId="994">
      <calculatedColumnFormula>'VENDOR QUESTIONNAIRE'!E6</calculatedColumnFormula>
    </tableColumn>
    <tableColumn id="2" xr3:uid="{1C7F5FF4-C60F-4684-A3EE-9EFA0ED10193}" name="Request Date" dataDxfId="993">
      <calculatedColumnFormula>'VENDOR QUESTIONNAIRE'!P6</calculatedColumnFormula>
    </tableColumn>
    <tableColumn id="170" xr3:uid="{56BFABFD-7B70-44B7-91A5-C256A3BEF163}" name="Completion Date" dataDxfId="992">
      <calculatedColumnFormula>'VENDOR QUESTIONNAIRE'!P7</calculatedColumnFormula>
    </tableColumn>
    <tableColumn id="3" xr3:uid="{A3A164A7-A6EE-4C16-9327-752210DAA145}" name="Application Anaylst" dataDxfId="991">
      <calculatedColumnFormula>'VENDOR QUESTIONNAIRE'!N13</calculatedColumnFormula>
    </tableColumn>
    <tableColumn id="4" xr3:uid="{34C31C9B-1D8F-4BB5-A768-3E5EDE1A0BD7}" name="Security Analyst" dataDxfId="990">
      <calculatedColumnFormula>'VENDOR QUESTIONNAIRE'!N16</calculatedColumnFormula>
    </tableColumn>
    <tableColumn id="5" xr3:uid="{5919F7F9-302A-4BEB-B983-4CF321D21745}" name="Solution State" dataDxfId="989">
      <calculatedColumnFormula>'VENDOR QUESTIONNAIRE'!E21</calculatedColumnFormula>
    </tableColumn>
    <tableColumn id="6" xr3:uid="{39991C85-BA92-40F3-AF01-7721424821CC}" name="Target Audience" dataDxfId="988">
      <calculatedColumnFormula>'VENDOR QUESTIONNAIRE'!E22</calculatedColumnFormula>
    </tableColumn>
    <tableColumn id="7" xr3:uid="{7192E9AB-5E16-4130-9542-17617FC56680}" name="System Management" dataDxfId="987">
      <calculatedColumnFormula>'VENDOR QUESTIONNAIRE'!E23</calculatedColumnFormula>
    </tableColumn>
    <tableColumn id="8" xr3:uid="{3690F582-1363-4303-947A-5D50B688A1D5}" name="All Information Types" dataDxfId="986">
      <calculatedColumnFormula>_xlfn.TEXTJOIN(CHAR(10),TRUE,'VENDOR QUESTIONNAIRE'!B28:E32)</calculatedColumnFormula>
    </tableColumn>
    <tableColumn id="9" xr3:uid="{2C4EC38C-4978-4A9D-927B-98357CD2C724}" name="Data Value" dataDxfId="985">
      <calculatedColumnFormula>'Assessment Results'!C6</calculatedColumnFormula>
    </tableColumn>
    <tableColumn id="10" xr3:uid="{ABE477BA-64E6-4398-B71E-0DE97E6CBF09}" name="Risk Exposure" dataDxfId="984">
      <calculatedColumnFormula>'Assessment Results'!E6</calculatedColumnFormula>
    </tableColumn>
    <tableColumn id="11" xr3:uid="{1CC3D355-6135-4A81-A634-B5C549D6ACEE}" name="Appetite Level" dataDxfId="983">
      <calculatedColumnFormula>'Assessment Results'!G6</calculatedColumnFormula>
    </tableColumn>
    <tableColumn id="12" xr3:uid="{18BAFAC6-78CE-4017-99C4-257E6E1C6E22}" name="Require Controls" dataDxfId="982">
      <calculatedColumnFormula>'Assessment Results'!K6</calculatedColumnFormula>
    </tableColumn>
    <tableColumn id="13" xr3:uid="{1333DB0B-A712-423A-B434-0E73DF18BC28}" name="Non-Compliant" dataDxfId="981">
      <calculatedColumnFormula>'Assessment Results'!M6</calculatedColumnFormula>
    </tableColumn>
    <tableColumn id="14" xr3:uid="{37520965-F520-405B-BA0E-79AC0118F9AB}" name="Customer Responsible" dataDxfId="980">
      <calculatedColumnFormula>'Assessment Results'!O6</calculatedColumnFormula>
    </tableColumn>
    <tableColumn id="15" xr3:uid="{53050AAF-E89B-40DB-8ECC-EC99601B10C0}" name="Compensating Controls" dataDxfId="979">
      <calculatedColumnFormula>'Assessment Results'!Q6</calculatedColumnFormula>
    </tableColumn>
    <tableColumn id="16" xr3:uid="{FB7098DC-CCEF-410B-BF5A-B6D1CC75B412}" name="Inventory of Authorized and Unauthorized Devices" dataDxfId="978">
      <calculatedColumnFormula>'Assessment Results'!$N18</calculatedColumnFormula>
    </tableColumn>
    <tableColumn id="17" xr3:uid="{064EE565-950B-4F30-BA7F-06238EC0E370}" name="Inventory of Authorized and Unauthorized Software" dataDxfId="977">
      <calculatedColumnFormula>'Assessment Results'!$N19</calculatedColumnFormula>
    </tableColumn>
    <tableColumn id="18" xr3:uid="{BF67E133-756B-4EA2-9E23-569EF9968D67}" name="Continuous Vulnerability Assessment and Remediation" dataDxfId="976">
      <calculatedColumnFormula>'Assessment Results'!$N20</calculatedColumnFormula>
    </tableColumn>
    <tableColumn id="19" xr3:uid="{B468DC0D-014A-42F4-8B0F-84A7D90456E7}" name="Controlled Use of Administrative Privileges" dataDxfId="975">
      <calculatedColumnFormula>'Assessment Results'!$N21</calculatedColumnFormula>
    </tableColumn>
    <tableColumn id="20" xr3:uid="{839048C4-F0A8-4769-AC86-EDD92AE99674}" name="Secure Configurations for Hardware and Software on Mobile Devices, Laptops, Workstations, and Servers" dataDxfId="974">
      <calculatedColumnFormula>'Assessment Results'!$N22</calculatedColumnFormula>
    </tableColumn>
    <tableColumn id="21" xr3:uid="{CC16B166-005E-4CBD-895E-3EE9134D9A6A}" name="Maintenance, Monitoring, and Analysis of Audit Logs" dataDxfId="973">
      <calculatedColumnFormula>'Assessment Results'!$N23</calculatedColumnFormula>
    </tableColumn>
    <tableColumn id="22" xr3:uid="{7D469A62-B7A9-46B7-89AD-A46AC22D4226}" name="Email and Web Browser Protections" dataDxfId="972">
      <calculatedColumnFormula>'Assessment Results'!$N24</calculatedColumnFormula>
    </tableColumn>
    <tableColumn id="23" xr3:uid="{0903DAAC-6AFB-4B20-BE8F-02FF7E235DBF}" name="Malware Defenses" dataDxfId="971">
      <calculatedColumnFormula>'Assessment Results'!$N25</calculatedColumnFormula>
    </tableColumn>
    <tableColumn id="24" xr3:uid="{156FABD9-816E-436F-AE70-44658BB07DEF}" name="Limitation and Control of Network Ports, Protocols, and Services" dataDxfId="970">
      <calculatedColumnFormula>'Assessment Results'!$N26</calculatedColumnFormula>
    </tableColumn>
    <tableColumn id="25" xr3:uid="{07BB5207-5A8C-405B-98F4-4DD316346624}" name="Data Recovery Capabilities" dataDxfId="969">
      <calculatedColumnFormula>'Assessment Results'!$N27</calculatedColumnFormula>
    </tableColumn>
    <tableColumn id="26" xr3:uid="{78043C67-ACCB-4705-9367-C36B7E78E5DA}" name="Secure Configurations for Network Devices such as Firewalls, Routers, and Switches" dataDxfId="968">
      <calculatedColumnFormula>'Assessment Results'!$N28</calculatedColumnFormula>
    </tableColumn>
    <tableColumn id="27" xr3:uid="{0DBC7C55-6D79-4B8C-AEF5-426B7E0A1CA8}" name="Boundary Defense" dataDxfId="967">
      <calculatedColumnFormula>'Assessment Results'!$N29</calculatedColumnFormula>
    </tableColumn>
    <tableColumn id="28" xr3:uid="{44DE2F1E-2BBF-41BF-82A4-158132B02C8D}" name="Data Protection" dataDxfId="966">
      <calculatedColumnFormula>'Assessment Results'!$N30</calculatedColumnFormula>
    </tableColumn>
    <tableColumn id="29" xr3:uid="{F9491A0E-2984-4459-8CE6-5A298AE46352}" name="Controlled Access Based on the Need to Know" dataDxfId="965">
      <calculatedColumnFormula>'Assessment Results'!$N31</calculatedColumnFormula>
    </tableColumn>
    <tableColumn id="30" xr3:uid="{50C417BD-15AF-49EA-AE9D-E0A2D432D555}" name="Wireless Access Control" dataDxfId="964">
      <calculatedColumnFormula>'Assessment Results'!$N32</calculatedColumnFormula>
    </tableColumn>
    <tableColumn id="31" xr3:uid="{42460E28-2FFB-4FAB-858D-7660EF0B6357}" name="Account Monitoring and Control" dataDxfId="963">
      <calculatedColumnFormula>'Assessment Results'!$N33</calculatedColumnFormula>
    </tableColumn>
    <tableColumn id="32" xr3:uid="{E6372B2B-55EC-461B-BAF0-6660AB4ACC93}" name="Implement a Security Awareness and Training Program" dataDxfId="962">
      <calculatedColumnFormula>'Assessment Results'!$N34</calculatedColumnFormula>
    </tableColumn>
    <tableColumn id="33" xr3:uid="{A7F79EDA-8BA9-4110-BACB-647F9055ACD5}" name="Application Software Security" dataDxfId="961">
      <calculatedColumnFormula>'Assessment Results'!$N35</calculatedColumnFormula>
    </tableColumn>
    <tableColumn id="34" xr3:uid="{7895B596-DC3F-498D-A482-B194F74C11F2}" name="Incident Response and Management" dataDxfId="960">
      <calculatedColumnFormula>'Assessment Results'!$N36</calculatedColumnFormula>
    </tableColumn>
    <tableColumn id="35" xr3:uid="{C88E87BB-C053-4600-A061-6DAE677A74AA}" name="Penetration Tests and Red Team Exercises" dataDxfId="959">
      <calculatedColumnFormula>'Assessment Results'!$N37</calculatedColumnFormula>
    </tableColumn>
    <tableColumn id="36" xr3:uid="{896DCFB5-743F-459B-A44D-098D937E9612}" name="G1" dataDxfId="958">
      <calculatedColumnFormula>'VENDOR QUESTIONNAIRE'!$L45</calculatedColumnFormula>
    </tableColumn>
    <tableColumn id="37" xr3:uid="{36465DA7-246D-4A4C-922E-12E3C5530883}" name="G2" dataDxfId="957">
      <calculatedColumnFormula>'VENDOR QUESTIONNAIRE'!$L46</calculatedColumnFormula>
    </tableColumn>
    <tableColumn id="38" xr3:uid="{F79CD251-F863-4089-81B3-3206206C1058}" name="G3" dataDxfId="956">
      <calculatedColumnFormula>'VENDOR QUESTIONNAIRE'!$L47</calculatedColumnFormula>
    </tableColumn>
    <tableColumn id="39" xr3:uid="{327B909E-B73E-4C25-824B-8C2BB4A7194B}" name="G4" dataDxfId="955">
      <calculatedColumnFormula>'VENDOR QUESTIONNAIRE'!$L48</calculatedColumnFormula>
    </tableColumn>
    <tableColumn id="40" xr3:uid="{4DAC6200-075C-4D46-8B3B-6EAA64EFB5EF}" name="G5" dataDxfId="954">
      <calculatedColumnFormula>'VENDOR QUESTIONNAIRE'!$L49</calculatedColumnFormula>
    </tableColumn>
    <tableColumn id="41" xr3:uid="{558A0F3E-F998-4BCF-AD84-5082E30F06BB}" name="G6" dataDxfId="953">
      <calculatedColumnFormula>'VENDOR QUESTIONNAIRE'!$L50</calculatedColumnFormula>
    </tableColumn>
    <tableColumn id="42" xr3:uid="{7905F411-3235-4921-82CA-8BBC045BA8BB}" name="G7" dataDxfId="952">
      <calculatedColumnFormula>'VENDOR QUESTIONNAIRE'!$L51</calculatedColumnFormula>
    </tableColumn>
    <tableColumn id="43" xr3:uid="{F5FBC7C0-BB78-41F3-A14B-9AC844E7D18D}" name="G8" dataDxfId="951">
      <calculatedColumnFormula>'VENDOR QUESTIONNAIRE'!$L52</calculatedColumnFormula>
    </tableColumn>
    <tableColumn id="44" xr3:uid="{8F7D272F-411C-40B4-8D30-3AD164469519}" name="G9" dataDxfId="950">
      <calculatedColumnFormula>'VENDOR QUESTIONNAIRE'!$L53</calculatedColumnFormula>
    </tableColumn>
    <tableColumn id="45" xr3:uid="{54B3EA68-A810-447D-8726-0BCEF13A88C8}" name="1.1" dataDxfId="949">
      <calculatedColumnFormula>'VENDOR QUESTIONNAIRE'!$L58</calculatedColumnFormula>
    </tableColumn>
    <tableColumn id="46" xr3:uid="{E6C96E82-97B0-40AA-B223-A9190D66963D}" name="1.2" dataDxfId="948">
      <calculatedColumnFormula>'VENDOR QUESTIONNAIRE'!$L59</calculatedColumnFormula>
    </tableColumn>
    <tableColumn id="47" xr3:uid="{3C5FC341-872E-4B13-9B23-87468C5D4A3F}" name="1.3" dataDxfId="947">
      <calculatedColumnFormula>'VENDOR QUESTIONNAIRE'!$L60</calculatedColumnFormula>
    </tableColumn>
    <tableColumn id="48" xr3:uid="{805BC38A-CDBB-4B66-8A39-4934C48B6D84}" name="1.4" dataDxfId="946">
      <calculatedColumnFormula>'VENDOR QUESTIONNAIRE'!$L61</calculatedColumnFormula>
    </tableColumn>
    <tableColumn id="49" xr3:uid="{1366A44B-A9EA-42CE-B5B8-55C4F4A9F941}" name="1.5" dataDxfId="945">
      <calculatedColumnFormula>'VENDOR QUESTIONNAIRE'!$L62</calculatedColumnFormula>
    </tableColumn>
    <tableColumn id="50" xr3:uid="{5E256959-E82C-44EA-BF8C-C8937FBF205C}" name="2.1" dataDxfId="944">
      <calculatedColumnFormula>'VENDOR QUESTIONNAIRE'!$L64</calculatedColumnFormula>
    </tableColumn>
    <tableColumn id="51" xr3:uid="{E8881367-E6AE-49F0-A041-D7BF16F24E6B}" name="2.2" dataDxfId="943">
      <calculatedColumnFormula>'VENDOR QUESTIONNAIRE'!$L65</calculatedColumnFormula>
    </tableColumn>
    <tableColumn id="52" xr3:uid="{3CD41029-7B02-41D3-8375-9D59C7174CD2}" name="2.3" dataDxfId="942">
      <calculatedColumnFormula>'VENDOR QUESTIONNAIRE'!$L66</calculatedColumnFormula>
    </tableColumn>
    <tableColumn id="53" xr3:uid="{57D9424B-F7AD-4630-A80B-3155DBA55421}" name="2.4" dataDxfId="941">
      <calculatedColumnFormula>'VENDOR QUESTIONNAIRE'!$L67</calculatedColumnFormula>
    </tableColumn>
    <tableColumn id="54" xr3:uid="{6D77C4E2-BEA0-41CE-9DFA-436BDFE4DC4C}" name="3.1" dataDxfId="940">
      <calculatedColumnFormula>'VENDOR QUESTIONNAIRE'!$L69</calculatedColumnFormula>
    </tableColumn>
    <tableColumn id="55" xr3:uid="{2F3D05F2-4235-4D39-8E2A-8E8F6CC95E5B}" name="3.2" dataDxfId="939">
      <calculatedColumnFormula>'VENDOR QUESTIONNAIRE'!$L70</calculatedColumnFormula>
    </tableColumn>
    <tableColumn id="56" xr3:uid="{3E1E13C2-6ED7-46F6-844A-2A1075B64B50}" name="3.3" dataDxfId="938">
      <calculatedColumnFormula>'VENDOR QUESTIONNAIRE'!$L71</calculatedColumnFormula>
    </tableColumn>
    <tableColumn id="57" xr3:uid="{81107C6A-9426-404E-A9DC-CED19029AE7F}" name="3.4" dataDxfId="937">
      <calculatedColumnFormula>'VENDOR QUESTIONNAIRE'!$L72</calculatedColumnFormula>
    </tableColumn>
    <tableColumn id="58" xr3:uid="{A437FF89-CC9F-460A-B8C9-14823F6AF8EA}" name="3.5" dataDxfId="936">
      <calculatedColumnFormula>'VENDOR QUESTIONNAIRE'!$L73</calculatedColumnFormula>
    </tableColumn>
    <tableColumn id="59" xr3:uid="{DC33A35F-06D7-4C3B-B039-C41C5F0D26C4}" name="3.6" dataDxfId="935">
      <calculatedColumnFormula>'VENDOR QUESTIONNAIRE'!$L74</calculatedColumnFormula>
    </tableColumn>
    <tableColumn id="60" xr3:uid="{4A7BF806-4291-496B-B62D-5FB0515139E9}" name="4.1" dataDxfId="934">
      <calculatedColumnFormula>'VENDOR QUESTIONNAIRE'!$L76</calculatedColumnFormula>
    </tableColumn>
    <tableColumn id="61" xr3:uid="{CC3E14A8-F587-449F-87AE-A4692FEF1030}" name="4.2" dataDxfId="933">
      <calculatedColumnFormula>'VENDOR QUESTIONNAIRE'!$L77</calculatedColumnFormula>
    </tableColumn>
    <tableColumn id="62" xr3:uid="{0F8E600D-CCA5-4F18-9A1B-9059460F7DE4}" name="4.3" dataDxfId="932">
      <calculatedColumnFormula>'VENDOR QUESTIONNAIRE'!$L78</calculatedColumnFormula>
    </tableColumn>
    <tableColumn id="63" xr3:uid="{93215461-2317-4CE6-BC33-EE2725189DA9}" name="4.4" dataDxfId="931">
      <calculatedColumnFormula>'VENDOR QUESTIONNAIRE'!$L79</calculatedColumnFormula>
    </tableColumn>
    <tableColumn id="64" xr3:uid="{2811AF4E-9829-4D25-A62B-BA89C5621E9B}" name="4.5" dataDxfId="930">
      <calculatedColumnFormula>'VENDOR QUESTIONNAIRE'!$L80</calculatedColumnFormula>
    </tableColumn>
    <tableColumn id="65" xr3:uid="{105FF2DC-2781-45C9-B939-0CADBA8E84FA}" name="4.6" dataDxfId="929">
      <calculatedColumnFormula>'VENDOR QUESTIONNAIRE'!$L81</calculatedColumnFormula>
    </tableColumn>
    <tableColumn id="66" xr3:uid="{97711A52-E97B-4F0A-836F-798AFCFAB096}" name="4.7" dataDxfId="928">
      <calculatedColumnFormula>'VENDOR QUESTIONNAIRE'!$L82</calculatedColumnFormula>
    </tableColumn>
    <tableColumn id="67" xr3:uid="{656E3031-6DB7-4812-BCD8-CB9E351E7C93}" name="4.8" dataDxfId="927">
      <calculatedColumnFormula>'VENDOR QUESTIONNAIRE'!$L83</calculatedColumnFormula>
    </tableColumn>
    <tableColumn id="68" xr3:uid="{6C6A7C73-4979-47EE-ABB9-5C03D4788F22}" name="5.1" dataDxfId="926">
      <calculatedColumnFormula>'VENDOR QUESTIONNAIRE'!$L85</calculatedColumnFormula>
    </tableColumn>
    <tableColumn id="69" xr3:uid="{AEF10317-8142-48A8-ACED-089C04B1E889}" name="5.2" dataDxfId="925">
      <calculatedColumnFormula>'VENDOR QUESTIONNAIRE'!$L86</calculatedColumnFormula>
    </tableColumn>
    <tableColumn id="70" xr3:uid="{99FF9C6A-CA68-455A-B64B-4AAF62A4F1C6}" name="5.3" dataDxfId="924">
      <calculatedColumnFormula>'VENDOR QUESTIONNAIRE'!$L87</calculatedColumnFormula>
    </tableColumn>
    <tableColumn id="71" xr3:uid="{FDEC1D4E-30C4-4D7E-96A9-A6272E77F2C5}" name="5.4" dataDxfId="923">
      <calculatedColumnFormula>'VENDOR QUESTIONNAIRE'!$L88</calculatedColumnFormula>
    </tableColumn>
    <tableColumn id="72" xr3:uid="{11653A3D-538D-4276-8712-D25C3A4651C6}" name="6.1" dataDxfId="922">
      <calculatedColumnFormula>'VENDOR QUESTIONNAIRE'!$L90</calculatedColumnFormula>
    </tableColumn>
    <tableColumn id="73" xr3:uid="{3D11C705-2A27-423D-A094-A8948D62362A}" name="6.2" dataDxfId="921">
      <calculatedColumnFormula>'VENDOR QUESTIONNAIRE'!$L91</calculatedColumnFormula>
    </tableColumn>
    <tableColumn id="74" xr3:uid="{0C0F5038-E355-4721-8D15-84BD2C1770CA}" name="6.3" dataDxfId="920">
      <calculatedColumnFormula>'VENDOR QUESTIONNAIRE'!$L92</calculatedColumnFormula>
    </tableColumn>
    <tableColumn id="75" xr3:uid="{AA0A1422-F3F9-4EC9-A9F0-1708F720A670}" name="6.4" dataDxfId="919">
      <calculatedColumnFormula>'VENDOR QUESTIONNAIRE'!$L93</calculatedColumnFormula>
    </tableColumn>
    <tableColumn id="76" xr3:uid="{AE9B0F86-2708-412E-9B6C-DE4760BCC776}" name="6.5" dataDxfId="918">
      <calculatedColumnFormula>'VENDOR QUESTIONNAIRE'!$L94</calculatedColumnFormula>
    </tableColumn>
    <tableColumn id="77" xr3:uid="{11AE796F-4D5D-4811-B48C-7B45684DEF45}" name="7.1" dataDxfId="917">
      <calculatedColumnFormula>'VENDOR QUESTIONNAIRE'!$L96</calculatedColumnFormula>
    </tableColumn>
    <tableColumn id="78" xr3:uid="{73D6C3B0-8802-4913-BE77-B07807326904}" name="7.2" dataDxfId="916">
      <calculatedColumnFormula>'VENDOR QUESTIONNAIRE'!$L97</calculatedColumnFormula>
    </tableColumn>
    <tableColumn id="79" xr3:uid="{FFDD5B41-EB30-4AE1-9C17-6F02804DC2BC}" name="7.3" dataDxfId="915">
      <calculatedColumnFormula>'VENDOR QUESTIONNAIRE'!$L98</calculatedColumnFormula>
    </tableColumn>
    <tableColumn id="80" xr3:uid="{ECA07A34-4136-4C34-BC39-4F35742DE296}" name="7.4" dataDxfId="914">
      <calculatedColumnFormula>'VENDOR QUESTIONNAIRE'!$L99</calculatedColumnFormula>
    </tableColumn>
    <tableColumn id="81" xr3:uid="{EA753DC9-7DEA-4D26-8D40-1368BF51C724}" name="7.5" dataDxfId="913">
      <calculatedColumnFormula>'VENDOR QUESTIONNAIRE'!$L100</calculatedColumnFormula>
    </tableColumn>
    <tableColumn id="82" xr3:uid="{54ECF034-9EB3-407F-A45A-B9CA037F8D94}" name="7.6" dataDxfId="912">
      <calculatedColumnFormula>'VENDOR QUESTIONNAIRE'!$L101</calculatedColumnFormula>
    </tableColumn>
    <tableColumn id="83" xr3:uid="{D7EC920B-6369-4122-8D87-9E9A66CB6543}" name="8.1" dataDxfId="911">
      <calculatedColumnFormula>'VENDOR QUESTIONNAIRE'!$L103</calculatedColumnFormula>
    </tableColumn>
    <tableColumn id="84" xr3:uid="{A9B899DC-9ED6-4103-9F1D-BE0AF1F78956}" name="8.2" dataDxfId="910">
      <calculatedColumnFormula>'VENDOR QUESTIONNAIRE'!$L104</calculatedColumnFormula>
    </tableColumn>
    <tableColumn id="85" xr3:uid="{CC5F941E-78E7-4B65-942A-61DE9CF6DB05}" name="8.3" dataDxfId="909">
      <calculatedColumnFormula>'VENDOR QUESTIONNAIRE'!$L105</calculatedColumnFormula>
    </tableColumn>
    <tableColumn id="86" xr3:uid="{AE75927B-67DA-4F3E-8825-85124F4ED30C}" name="8.4" dataDxfId="908">
      <calculatedColumnFormula>'VENDOR QUESTIONNAIRE'!$L106</calculatedColumnFormula>
    </tableColumn>
    <tableColumn id="87" xr3:uid="{D3F9DB53-6148-4CC6-A1FF-C1E19969109B}" name="9.1" dataDxfId="907">
      <calculatedColumnFormula>'VENDOR QUESTIONNAIRE'!$L108</calculatedColumnFormula>
    </tableColumn>
    <tableColumn id="88" xr3:uid="{3B844049-D01F-4963-A02A-3C343B90C862}" name="9.2" dataDxfId="906">
      <calculatedColumnFormula>'VENDOR QUESTIONNAIRE'!$L109</calculatedColumnFormula>
    </tableColumn>
    <tableColumn id="89" xr3:uid="{FA82A3F9-B0CE-4417-A0D3-F99CFC08A308}" name="9.3" dataDxfId="905">
      <calculatedColumnFormula>'VENDOR QUESTIONNAIRE'!$L110</calculatedColumnFormula>
    </tableColumn>
    <tableColumn id="90" xr3:uid="{72470909-AB7F-4198-8533-1C1F054376BB}" name="9.4" dataDxfId="904">
      <calculatedColumnFormula>'VENDOR QUESTIONNAIRE'!$L111</calculatedColumnFormula>
    </tableColumn>
    <tableColumn id="91" xr3:uid="{6AB337C0-CCF0-404E-B51E-397081D41165}" name="10.1" dataDxfId="903">
      <calculatedColumnFormula>'VENDOR QUESTIONNAIRE'!$L113</calculatedColumnFormula>
    </tableColumn>
    <tableColumn id="92" xr3:uid="{A88E66BE-F750-4AA4-A73D-03BBD9D8DDBB}" name="10.2" dataDxfId="902">
      <calculatedColumnFormula>'VENDOR QUESTIONNAIRE'!$L114</calculatedColumnFormula>
    </tableColumn>
    <tableColumn id="93" xr3:uid="{F6B57C2F-106B-4374-9161-F51D1DEBA522}" name="10.3" dataDxfId="901">
      <calculatedColumnFormula>'VENDOR QUESTIONNAIRE'!$L115</calculatedColumnFormula>
    </tableColumn>
    <tableColumn id="94" xr3:uid="{D8D39B91-EB1E-4614-8C3F-0A983AE7E3E4}" name="10.4" dataDxfId="900">
      <calculatedColumnFormula>'VENDOR QUESTIONNAIRE'!$L116</calculatedColumnFormula>
    </tableColumn>
    <tableColumn id="95" xr3:uid="{F6A3D2A2-06D5-4714-BADF-D994A24395D6}" name="10.5" dataDxfId="899">
      <calculatedColumnFormula>'VENDOR QUESTIONNAIRE'!$L117</calculatedColumnFormula>
    </tableColumn>
    <tableColumn id="96" xr3:uid="{BBEAF819-CBE6-4689-9B68-1304EA5EE0D7}" name="11.1" dataDxfId="898">
      <calculatedColumnFormula>'VENDOR QUESTIONNAIRE'!$L119</calculatedColumnFormula>
    </tableColumn>
    <tableColumn id="97" xr3:uid="{8A4C4748-BFE6-4746-A931-E2D08D8850B7}" name="11.2" dataDxfId="897">
      <calculatedColumnFormula>'VENDOR QUESTIONNAIRE'!$L120</calculatedColumnFormula>
    </tableColumn>
    <tableColumn id="98" xr3:uid="{9C525DF6-DBAB-4A7B-AA1C-D2A17F168E97}" name="11.3" dataDxfId="896">
      <calculatedColumnFormula>'VENDOR QUESTIONNAIRE'!$L121</calculatedColumnFormula>
    </tableColumn>
    <tableColumn id="99" xr3:uid="{315CFBDD-903E-458C-B1CA-8CB0F2E72DF0}" name="11.4" dataDxfId="895">
      <calculatedColumnFormula>'VENDOR QUESTIONNAIRE'!$L122</calculatedColumnFormula>
    </tableColumn>
    <tableColumn id="100" xr3:uid="{E85CAE98-4F5B-4E1A-8642-A2115543DF72}" name="11.5" dataDxfId="894">
      <calculatedColumnFormula>'VENDOR QUESTIONNAIRE'!$L123</calculatedColumnFormula>
    </tableColumn>
    <tableColumn id="101" xr3:uid="{0BEC2D21-46E8-437A-9C02-8DB448F97BE0}" name="12.1" dataDxfId="893">
      <calculatedColumnFormula>'VENDOR QUESTIONNAIRE'!$L125</calculatedColumnFormula>
    </tableColumn>
    <tableColumn id="102" xr3:uid="{4CBAEB44-3807-497C-B35B-15D21D50E6BA}" name="12.2" dataDxfId="892">
      <calculatedColumnFormula>'VENDOR QUESTIONNAIRE'!$L126</calculatedColumnFormula>
    </tableColumn>
    <tableColumn id="103" xr3:uid="{E37A461E-8BC9-4BDC-8472-42B684CADE32}" name="12.3" dataDxfId="891">
      <calculatedColumnFormula>'VENDOR QUESTIONNAIRE'!$L127</calculatedColumnFormula>
    </tableColumn>
    <tableColumn id="104" xr3:uid="{16470400-3B94-47D7-B042-128FA20308B8}" name="12.4" dataDxfId="890">
      <calculatedColumnFormula>'VENDOR QUESTIONNAIRE'!$L128</calculatedColumnFormula>
    </tableColumn>
    <tableColumn id="105" xr3:uid="{E00482B3-A9AF-4951-8E7F-B2B839CABCE3}" name="12.5" dataDxfId="889">
      <calculatedColumnFormula>'VENDOR QUESTIONNAIRE'!$L129</calculatedColumnFormula>
    </tableColumn>
    <tableColumn id="106" xr3:uid="{C9557D84-F90F-400B-9FB3-58DF62E9D1A6}" name="12.6" dataDxfId="888">
      <calculatedColumnFormula>'VENDOR QUESTIONNAIRE'!$L130</calculatedColumnFormula>
    </tableColumn>
    <tableColumn id="107" xr3:uid="{811EA278-2FA3-4EF7-A121-D9D20B5AC9CF}" name="13.1" dataDxfId="887">
      <calculatedColumnFormula>'VENDOR QUESTIONNAIRE'!$L132</calculatedColumnFormula>
    </tableColumn>
    <tableColumn id="108" xr3:uid="{E4FA4599-CCE7-49A8-A742-6C1D761F3664}" name="13.2" dataDxfId="886">
      <calculatedColumnFormula>'VENDOR QUESTIONNAIRE'!$L133</calculatedColumnFormula>
    </tableColumn>
    <tableColumn id="109" xr3:uid="{5A3A4C44-90A6-4AA5-A0AF-99C4BAEA33FC}" name="13.3" dataDxfId="885">
      <calculatedColumnFormula>'VENDOR QUESTIONNAIRE'!$L134</calculatedColumnFormula>
    </tableColumn>
    <tableColumn id="110" xr3:uid="{0A07B22F-1ADA-424B-9DEE-E50E2A4F1F25}" name="13.4" dataDxfId="884">
      <calculatedColumnFormula>'VENDOR QUESTIONNAIRE'!$L135</calculatedColumnFormula>
    </tableColumn>
    <tableColumn id="111" xr3:uid="{E1038053-F8AF-46A8-A028-0476D0C20776}" name="13.5" dataDxfId="883">
      <calculatedColumnFormula>'VENDOR QUESTIONNAIRE'!$L136</calculatedColumnFormula>
    </tableColumn>
    <tableColumn id="112" xr3:uid="{F2031552-E345-40D5-9374-36B74D681116}" name="14.1" dataDxfId="882">
      <calculatedColumnFormula>'VENDOR QUESTIONNAIRE'!$L138</calculatedColumnFormula>
    </tableColumn>
    <tableColumn id="113" xr3:uid="{36F51D53-C283-4FA2-B581-5ACA36C3DB8C}" name="14.2" dataDxfId="881">
      <calculatedColumnFormula>'VENDOR QUESTIONNAIRE'!$L139</calculatedColumnFormula>
    </tableColumn>
    <tableColumn id="114" xr3:uid="{0C7BEF7A-A92C-487E-9020-09DD6FC37DF4}" name="14.3" dataDxfId="880">
      <calculatedColumnFormula>'VENDOR QUESTIONNAIRE'!$L140</calculatedColumnFormula>
    </tableColumn>
    <tableColumn id="115" xr3:uid="{709ED883-3813-45E7-82C5-5BF77F6B9D60}" name="14.4" dataDxfId="879">
      <calculatedColumnFormula>'VENDOR QUESTIONNAIRE'!$L141</calculatedColumnFormula>
    </tableColumn>
    <tableColumn id="116" xr3:uid="{DB5E513B-67B1-45B0-B993-84651778A650}" name="15.1" dataDxfId="878">
      <calculatedColumnFormula>'VENDOR QUESTIONNAIRE'!$L143</calculatedColumnFormula>
    </tableColumn>
    <tableColumn id="117" xr3:uid="{3C9DF3E8-B6F0-48CA-A23C-6E6DBDEB2379}" name="15.2" dataDxfId="877">
      <calculatedColumnFormula>'VENDOR QUESTIONNAIRE'!$L144</calculatedColumnFormula>
    </tableColumn>
    <tableColumn id="118" xr3:uid="{837A4789-ACFB-42F6-BC6F-4991B8777971}" name="15.3" dataDxfId="876">
      <calculatedColumnFormula>'VENDOR QUESTIONNAIRE'!$L145</calculatedColumnFormula>
    </tableColumn>
    <tableColumn id="119" xr3:uid="{0B4E6488-77A3-4177-8EB0-DA2995D774B7}" name="15.4" dataDxfId="875">
      <calculatedColumnFormula>'VENDOR QUESTIONNAIRE'!$L146</calculatedColumnFormula>
    </tableColumn>
    <tableColumn id="120" xr3:uid="{B4B68C7F-57C0-479E-98CC-C5A3A7F157E4}" name="15.5" dataDxfId="874">
      <calculatedColumnFormula>'VENDOR QUESTIONNAIRE'!$L147</calculatedColumnFormula>
    </tableColumn>
    <tableColumn id="121" xr3:uid="{342FCD8B-F59C-40A8-AE37-4849B66F7D68}" name="16.1" dataDxfId="873">
      <calculatedColumnFormula>'VENDOR QUESTIONNAIRE'!$L149</calculatedColumnFormula>
    </tableColumn>
    <tableColumn id="122" xr3:uid="{887267E3-413E-473B-99A2-88369B95C09F}" name="16.2" dataDxfId="872">
      <calculatedColumnFormula>'VENDOR QUESTIONNAIRE'!$L150</calculatedColumnFormula>
    </tableColumn>
    <tableColumn id="123" xr3:uid="{C6EE2F20-1A4B-46A1-99C3-48A7F4706064}" name="16.3" dataDxfId="871">
      <calculatedColumnFormula>'VENDOR QUESTIONNAIRE'!$L151</calculatedColumnFormula>
    </tableColumn>
    <tableColumn id="124" xr3:uid="{2ABD1419-48F8-4012-B577-52A16BEC9E66}" name="16.4" dataDxfId="870">
      <calculatedColumnFormula>'VENDOR QUESTIONNAIRE'!$L152</calculatedColumnFormula>
    </tableColumn>
    <tableColumn id="125" xr3:uid="{F354B60A-20BC-4F83-97EA-9D77168F745A}" name="16.5" dataDxfId="869">
      <calculatedColumnFormula>'VENDOR QUESTIONNAIRE'!$L153</calculatedColumnFormula>
    </tableColumn>
    <tableColumn id="126" xr3:uid="{F21DAFBC-A216-444D-B007-F978E97EB69D}" name="16.6" dataDxfId="868">
      <calculatedColumnFormula>'VENDOR QUESTIONNAIRE'!$L154</calculatedColumnFormula>
    </tableColumn>
    <tableColumn id="127" xr3:uid="{11437F08-A685-4EE4-8821-694AEF8C3AEC}" name="16.7" dataDxfId="867">
      <calculatedColumnFormula>'VENDOR QUESTIONNAIRE'!$L155</calculatedColumnFormula>
    </tableColumn>
    <tableColumn id="128" xr3:uid="{D8642F24-7B6A-4443-9C4D-CAFC4EC0DA4B}" name="16.8" dataDxfId="866">
      <calculatedColumnFormula>'VENDOR QUESTIONNAIRE'!$L156</calculatedColumnFormula>
    </tableColumn>
    <tableColumn id="129" xr3:uid="{348B8977-F2E3-4FFF-9020-D73C920042E3}" name="16.9" dataDxfId="865">
      <calculatedColumnFormula>'VENDOR QUESTIONNAIRE'!$L157</calculatedColumnFormula>
    </tableColumn>
    <tableColumn id="130" xr3:uid="{386469E4-3A97-4FF0-A7A1-87DE27D4B4A8}" name="16.10" dataDxfId="864">
      <calculatedColumnFormula>'VENDOR QUESTIONNAIRE'!$L158</calculatedColumnFormula>
    </tableColumn>
    <tableColumn id="131" xr3:uid="{E89303E8-E6CF-4A9C-8639-9BB5DE150ED2}" name="17.1" dataDxfId="863">
      <calculatedColumnFormula>'VENDOR QUESTIONNAIRE'!$L160</calculatedColumnFormula>
    </tableColumn>
    <tableColumn id="132" xr3:uid="{23F7A4F2-3152-472B-9B3D-4967AF8C8E65}" name="17.2" dataDxfId="862">
      <calculatedColumnFormula>'VENDOR QUESTIONNAIRE'!$L161</calculatedColumnFormula>
    </tableColumn>
    <tableColumn id="133" xr3:uid="{086889BC-3BAF-4F7B-905C-AC312FA1C452}" name="17.3" dataDxfId="861">
      <calculatedColumnFormula>'VENDOR QUESTIONNAIRE'!$L162</calculatedColumnFormula>
    </tableColumn>
    <tableColumn id="134" xr3:uid="{A9ACBAC5-88F8-44C4-97F2-F61607C6262F}" name="17.4" dataDxfId="860">
      <calculatedColumnFormula>'VENDOR QUESTIONNAIRE'!$L163</calculatedColumnFormula>
    </tableColumn>
    <tableColumn id="135" xr3:uid="{80C8DBC5-C4B5-4272-8086-A876BB758CBA}" name="17.5" dataDxfId="859">
      <calculatedColumnFormula>'VENDOR QUESTIONNAIRE'!$L164</calculatedColumnFormula>
    </tableColumn>
    <tableColumn id="136" xr3:uid="{EE890137-FDF2-4BD3-A54D-E7BF7F12A513}" name="17.6" dataDxfId="858">
      <calculatedColumnFormula>'VENDOR QUESTIONNAIRE'!$L165</calculatedColumnFormula>
    </tableColumn>
    <tableColumn id="137" xr3:uid="{3E12B3D8-7FDE-4037-93E4-A86D9F6726E0}" name="18.1" dataDxfId="857">
      <calculatedColumnFormula>'VENDOR QUESTIONNAIRE'!$L167</calculatedColumnFormula>
    </tableColumn>
    <tableColumn id="138" xr3:uid="{78B3F3CD-B471-4C28-8D27-26F3AF3ADC99}" name="18.2" dataDxfId="856">
      <calculatedColumnFormula>'VENDOR QUESTIONNAIRE'!$L168</calculatedColumnFormula>
    </tableColumn>
    <tableColumn id="139" xr3:uid="{8E3A5416-4405-4864-B28C-5F3B422DA916}" name="18.3" dataDxfId="855">
      <calculatedColumnFormula>'VENDOR QUESTIONNAIRE'!$L169</calculatedColumnFormula>
    </tableColumn>
    <tableColumn id="140" xr3:uid="{A2B19113-A06A-43F0-9016-BF578AA8FCD1}" name="18.4" dataDxfId="854">
      <calculatedColumnFormula>'VENDOR QUESTIONNAIRE'!$L170</calculatedColumnFormula>
    </tableColumn>
    <tableColumn id="141" xr3:uid="{AD5140FA-7CBA-4A8E-AB82-264BBA3D626C}" name="18.5" dataDxfId="853">
      <calculatedColumnFormula>'VENDOR QUESTIONNAIRE'!$L171</calculatedColumnFormula>
    </tableColumn>
    <tableColumn id="142" xr3:uid="{137AA07C-07A8-4D50-8490-6E7C7965EA2A}" name="18.6" dataDxfId="852">
      <calculatedColumnFormula>'VENDOR QUESTIONNAIRE'!$L172</calculatedColumnFormula>
    </tableColumn>
    <tableColumn id="143" xr3:uid="{6E9D8670-ED6D-4E58-8B79-5D0972DAF526}" name="19.1" dataDxfId="851">
      <calculatedColumnFormula>'VENDOR QUESTIONNAIRE'!$L174</calculatedColumnFormula>
    </tableColumn>
    <tableColumn id="144" xr3:uid="{29C0D595-C8AF-47A4-B99D-CC1C6E9B0277}" name="19.2" dataDxfId="850">
      <calculatedColumnFormula>'VENDOR QUESTIONNAIRE'!$L175</calculatedColumnFormula>
    </tableColumn>
    <tableColumn id="145" xr3:uid="{D4A672F8-4BFF-42A8-84F7-DD4E761C834F}" name="19.3" dataDxfId="849">
      <calculatedColumnFormula>'VENDOR QUESTIONNAIRE'!$L176</calculatedColumnFormula>
    </tableColumn>
    <tableColumn id="146" xr3:uid="{C0D27A41-993B-4EAE-BC99-6054E7083BB4}" name="19.4" dataDxfId="848">
      <calculatedColumnFormula>'VENDOR QUESTIONNAIRE'!$L177</calculatedColumnFormula>
    </tableColumn>
    <tableColumn id="147" xr3:uid="{E67F7135-F3AB-4AA9-9599-76D346558D05}" name="19.5" dataDxfId="847">
      <calculatedColumnFormula>'VENDOR QUESTIONNAIRE'!$L178</calculatedColumnFormula>
    </tableColumn>
    <tableColumn id="148" xr3:uid="{25B54B61-2DCE-4855-8103-E3B9784063B9}" name="20.1" dataDxfId="846">
      <calculatedColumnFormula>'VENDOR QUESTIONNAIRE'!$L180</calculatedColumnFormula>
    </tableColumn>
    <tableColumn id="149" xr3:uid="{F1C00AE8-D4DE-4030-A5BF-9D2FC8E009F6}" name="20.2" dataDxfId="845">
      <calculatedColumnFormula>'VENDOR QUESTIONNAIRE'!$L181</calculatedColumnFormula>
    </tableColumn>
    <tableColumn id="169" xr3:uid="{CAB344FF-7D21-4EFF-8DA4-F06445A82C4D}" name="Turnaround Time" dataDxfId="844">
      <calculatedColumnFormula>DATEDIF('VENDOR QUESTIONNAIRE'!P6,'VENDOR QUESTIONNAIRE'!P7,"D")</calculatedColumnFormula>
    </tableColumn>
    <tableColumn id="167" xr3:uid="{02DE8325-A340-47E8-AF25-3410D4A3D91E}" name="# Controls Override" dataDxfId="843">
      <calculatedColumnFormula>COUNTIF('Override Calc'!V2:V26,"?*")</calculatedColumnFormula>
    </tableColumn>
    <tableColumn id="168" xr3:uid="{BF634A5A-9E5B-485D-9182-B83A6ECB6A78}" name="List Controls Override" dataDxfId="842">
      <calculatedColumnFormula>'Override Calc'!X8</calculatedColumnFormula>
    </tableColumn>
    <tableColumn id="150" xr3:uid="{5C0C2C05-644F-44E4-AB56-0883F8260B6E}" name="Impact" dataDxfId="841">
      <calculatedColumnFormula>'Risk Calc'!I57</calculatedColumnFormula>
    </tableColumn>
    <tableColumn id="161" xr3:uid="{9AA5018E-F2F9-405C-BFFD-9E74C25844BF}" name="AVG-Likelihood-AllCats_%" dataDxfId="840">
      <calculatedColumnFormula>AVERAGE('Risk Calc'!W40:W44)</calculatedColumnFormula>
    </tableColumn>
    <tableColumn id="158" xr3:uid="{6D75496A-92FB-4780-A431-86560C5A1150}" name="CA-Likelihood_%" dataDxfId="839">
      <calculatedColumnFormula>'Risk Calc'!W40</calculatedColumnFormula>
    </tableColumn>
    <tableColumn id="162" xr3:uid="{4629BC20-2E3F-4A11-B5A8-95B9ED7B3516}" name="CA-Likelihood_%_CC" dataDxfId="838">
      <calculatedColumnFormula>'Risk Calc'!AD40</calculatedColumnFormula>
    </tableColumn>
    <tableColumn id="151" xr3:uid="{35BB62B0-5443-48EE-AB1F-77ACA3618458}" name="CA-Likelihood" dataDxfId="837">
      <calculatedColumnFormula>'VENDOR QUESTIONNAIRE'!N189</calculatedColumnFormula>
    </tableColumn>
    <tableColumn id="156" xr3:uid="{7CFFC135-1B98-4823-82E3-8868C082F7AA}" name="UA-Likelihood_%" dataDxfId="836">
      <calculatedColumnFormula>'Risk Calc'!W41</calculatedColumnFormula>
    </tableColumn>
    <tableColumn id="163" xr3:uid="{4BED8F00-B29D-453A-BBC1-37D55CD7695C}" name="UA-Likelihood_%_CC" dataDxfId="835">
      <calculatedColumnFormula>'Risk Calc'!AD41</calculatedColumnFormula>
    </tableColumn>
    <tableColumn id="152" xr3:uid="{08BF3501-94BB-47FF-96DF-D38314DA82F3}" name="UA-Likelihood" dataDxfId="834">
      <calculatedColumnFormula>'VENDOR QUESTIONNAIRE'!N191</calculatedColumnFormula>
    </tableColumn>
    <tableColumn id="157" xr3:uid="{22635F12-437D-45E1-A9DE-B6E7C872B74B}" name="HE-Likelihood_%" dataDxfId="833">
      <calculatedColumnFormula>'Risk Calc'!W42</calculatedColumnFormula>
    </tableColumn>
    <tableColumn id="164" xr3:uid="{8E545681-F5BD-49E5-B3A4-8178F24765A1}" name="HE-Likelihood_%_CC" dataDxfId="832">
      <calculatedColumnFormula>'Risk Calc'!AD42</calculatedColumnFormula>
    </tableColumn>
    <tableColumn id="153" xr3:uid="{299BEF7D-1C8B-46A9-9ADF-8CDA82654487}" name="HE-Likelihood" dataDxfId="831">
      <calculatedColumnFormula>'VENDOR QUESTIONNAIRE'!N193</calculatedColumnFormula>
    </tableColumn>
    <tableColumn id="159" xr3:uid="{174A2C12-E7CD-4551-A4A9-07931B88226F}" name="SF-Likelihood_%" dataDxfId="830">
      <calculatedColumnFormula>'Risk Calc'!W43</calculatedColumnFormula>
    </tableColumn>
    <tableColumn id="165" xr3:uid="{CD43E050-31A1-4A58-8168-3C1FAAA396F5}" name="SF-Likelihood_%_CC" dataDxfId="829">
      <calculatedColumnFormula>'Risk Calc'!AD43</calculatedColumnFormula>
    </tableColumn>
    <tableColumn id="154" xr3:uid="{2FE4FDB6-8C1C-4F21-8C76-D77AF26A795D}" name="SF-Likelihood" dataDxfId="828">
      <calculatedColumnFormula>'VENDOR QUESTIONNAIRE'!N195</calculatedColumnFormula>
    </tableColumn>
    <tableColumn id="160" xr3:uid="{749C555F-7EC8-4BEC-9953-840936AC3700}" name="ED-Likelihood_%" dataDxfId="827">
      <calculatedColumnFormula>'Risk Calc'!W44</calculatedColumnFormula>
    </tableColumn>
    <tableColumn id="166" xr3:uid="{33A09537-6AD8-4CB3-9798-F15EDDAAF955}" name="ED-Likelihood_%_CC" dataDxfId="826">
      <calculatedColumnFormula>'Risk Calc'!AD44</calculatedColumnFormula>
    </tableColumn>
    <tableColumn id="155" xr3:uid="{FFB9AB01-4236-492A-A2F3-B8D857C1F2A6}" name="ED-Likelihood" dataDxfId="825">
      <calculatedColumnFormula>'VENDOR QUESTIONNAIRE'!N197</calculatedColumnFormula>
    </tableColumn>
    <tableColumn id="171" xr3:uid="{38828D1A-8B6C-4C29-9D87-EE86A64A6971}" name="Date Security Received" dataDxfId="824">
      <calculatedColumnFormula>'VENDOR QUESTIONNAIRE'!P8</calculatedColumnFormula>
    </tableColumn>
    <tableColumn id="172" xr3:uid="{03293343-6C7C-4098-8B85-11A7E47A717B}" name="Turnaround" dataDxfId="823">
      <calculatedColumnFormula>'VENDOR QUESTIONNAIRE'!P9</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0FBE7A-4C30-4FFA-B2C3-771A1B84E3B4}" name="Table3" displayName="Table3" ref="A1:D21" totalsRowShown="0" headerRowDxfId="381" dataDxfId="380">
  <autoFilter ref="A1:D21" xr:uid="{2F23FDDE-C8E3-4F8E-81F2-F83767650AD3}"/>
  <tableColumns count="4">
    <tableColumn id="1" xr3:uid="{1EE4A7E0-4B5C-4FE6-9B3B-A49ED13E352F}" name="Control Focus" dataDxfId="379"/>
    <tableColumn id="3" xr3:uid="{51A81C9E-9B02-442D-A4A8-27185B87FEEF}" name="Category" dataDxfId="378"/>
    <tableColumn id="4" xr3:uid="{8296E944-90B3-40F9-BF44-4481DCAC285B}" name="Description" dataDxfId="377"/>
    <tableColumn id="2" xr3:uid="{FF7DD3D1-BD49-4918-84FE-53D92E618999}" name="Why is this important?" dataDxfId="376"/>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F9D753-37DA-1542-B704-501513DE1031}" name="Table4" displayName="Table4" ref="A2:W258" totalsRowShown="0">
  <autoFilter ref="A2:W258" xr:uid="{FC5153AF-27C9-8149-9978-5FAE5EFC2533}"/>
  <tableColumns count="23">
    <tableColumn id="1" xr3:uid="{3FA03120-6952-2542-9DD7-A857353CD037}" name="ID #" dataDxfId="375"/>
    <tableColumn id="2" xr3:uid="{1A4E7FCC-4757-4647-8D29-EFF4CDD69834}" name="NIST Control Name" dataDxfId="374"/>
    <tableColumn id="3" xr3:uid="{96F74BA0-022B-AB46-82CC-5F19F17FDF03}" name="Priority" dataDxfId="373"/>
    <tableColumn id="4" xr3:uid="{8347725A-5183-254C-8A57-0BAF75FF3393}" name="CSC #1" dataDxfId="372"/>
    <tableColumn id="5" xr3:uid="{463C06BA-8654-624F-9F76-5A7394FBED29}" name="CSC #2" dataDxfId="371"/>
    <tableColumn id="6" xr3:uid="{87A5E5E5-87A3-BF4D-913A-D72E767FCF4B}" name="CSC #3" dataDxfId="370"/>
    <tableColumn id="7" xr3:uid="{00C89A9D-E840-4142-98A2-71075EFC9A00}" name="CSC #4" dataDxfId="369"/>
    <tableColumn id="8" xr3:uid="{6BD1B85E-DCEC-7A4F-92B6-52A191EC1300}" name="CSC #5" dataDxfId="368"/>
    <tableColumn id="9" xr3:uid="{543D89C5-F918-A24F-9CEC-9FC654FCA46A}" name="CSC #6" dataDxfId="367"/>
    <tableColumn id="10" xr3:uid="{6BE089C1-E3F4-BB4D-859F-0D85CD022244}" name="CSC #7" dataDxfId="366"/>
    <tableColumn id="11" xr3:uid="{DA7A63E7-A36E-504E-B479-1A391184ABE1}" name="CSC #8" dataDxfId="365"/>
    <tableColumn id="12" xr3:uid="{DD12FECB-2D76-5447-ADEE-C3AAA024555E}" name="CSC #9" dataDxfId="364"/>
    <tableColumn id="13" xr3:uid="{10DDEF99-C092-044E-AED2-831B5403506F}" name="CSC #10" dataDxfId="363"/>
    <tableColumn id="14" xr3:uid="{4CCAE864-1248-FB4D-A63E-44D7F30FC08B}" name="CSC #11" dataDxfId="362"/>
    <tableColumn id="15" xr3:uid="{A9FCBFC8-5FFB-3A40-A8BF-1FA8BA94432B}" name="CSC #12" dataDxfId="361"/>
    <tableColumn id="16" xr3:uid="{A245D5D8-C652-B340-86C1-973C62E57187}" name="CSC #13" dataDxfId="360"/>
    <tableColumn id="17" xr3:uid="{B1E05021-273E-454A-84ED-77DAAA969035}" name="CSC #14" dataDxfId="359"/>
    <tableColumn id="18" xr3:uid="{C4625EB5-E37C-764F-8D3D-7F0AD8393A78}" name="CSC #15" dataDxfId="358"/>
    <tableColumn id="19" xr3:uid="{56BD6E65-0132-334C-B901-88DB9C292B5C}" name="CSC #16" dataDxfId="357"/>
    <tableColumn id="20" xr3:uid="{FA4074DD-78B7-464A-8CD9-D6E09187FF05}" name="CSC #17" dataDxfId="356"/>
    <tableColumn id="21" xr3:uid="{FA2AD999-398B-ED4B-9E16-763F793E2798}" name="CSC #18" dataDxfId="355"/>
    <tableColumn id="22" xr3:uid="{A596A9EE-9757-8448-9852-64F56DC1EAA5}" name="CSC #19" dataDxfId="354"/>
    <tableColumn id="23" xr3:uid="{B43C159D-89F4-454D-9E67-8EEAA0B6753D}" name="CSC #20" dataDxfId="353"/>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1D55B-A3B6-0C4D-AD2D-6C0E5DECD819}" name="Table1" displayName="Table1" ref="A3:FR45" totalsRowShown="0" headerRowDxfId="350" dataDxfId="349">
  <autoFilter ref="A3:FR45" xr:uid="{2A0A23BA-6889-4946-9D32-BF9CDFB618FB}"/>
  <tableColumns count="174">
    <tableColumn id="1" xr3:uid="{B2B2B209-AC76-6342-83FB-71DC408DA210}" name="HIPAA Control Area" dataDxfId="348"/>
    <tableColumn id="2" xr3:uid="{716B27B5-5A73-9A49-80ED-8AF53FAB1DCA}" name="CFR" dataDxfId="347"/>
    <tableColumn id="174" xr3:uid="{BB25C32A-9F7F-7545-BA9A-198BFD0C91A2}" name="Enforcement" dataDxfId="346"/>
    <tableColumn id="3" xr3:uid="{9D30DE28-89AE-514E-A0BE-C376201E7AB9}" name="Utilize an active discovery tool to identify devices connected to the organization's network and update the hardware asset inventory." dataDxfId="345"/>
    <tableColumn id="4" xr3:uid="{F3A5F3E4-D656-C745-B5B0-7310E76A91DC}" name="Utilize a passive discovery tool to identify devices connected to the organization's network and automatically update the organization's hardware asset inventory." dataDxfId="344"/>
    <tableColumn id="5" xr3:uid="{23CA6520-8617-0546-9617-5AB815CB3D59}" name="Use Dynamic Host Configuration Protocol (DHCP) logging on all DHCP servers or IP address management tools to update the organization's hardware asset inventory." dataDxfId="343"/>
    <tableColumn id="6" xr3:uid="{9F358508-43A6-294E-8C6D-ADE3CBBF77B9}" name="Maintain an accurate and up-to-date inventory of all technology assets with the potential to store or process information. This inventory shall include all assets, whether connected to the organization's network or not." dataDxfId="342"/>
    <tableColumn id="7" xr3:uid="{D92BF1C1-3F51-DD47-95BF-260510BB32A5}" name="Ensure that the hardware asset inventory records the network address, hardware address, machine name, data asset owner, and department for each asset and whether the hardware asset has been approved to connect to the network." dataDxfId="341"/>
    <tableColumn id="8" xr3:uid="{40070879-BAF1-F14E-9DDE-6DEC0A14924E}" name="Ensure that unauthorized assets are either removed from the network, quarantined or the inventory is updated in a timely manner." dataDxfId="340"/>
    <tableColumn id="9" xr3:uid="{2335FEEF-D07B-CC45-AF0A-0AAB70EC8809}" name="Utilize port level access control, following 802.1x standards, to control which devices can authenticate to the network. The authentication system shall be tied into the hardware asset inventory data to ensure only authorized devices can connect to the ne" dataDxfId="339"/>
    <tableColumn id="10" xr3:uid="{686355F6-5723-EB49-A1BD-6E82DEBF4476}" name="Use client certificates to authenticate hardware assets connecting to the organization's trusted network." dataDxfId="338"/>
    <tableColumn id="11" xr3:uid="{9D06AC35-BC7B-974D-91BB-5EDAEDCE2E8B}" name="Maintain an up-to-date list of all authorized software that is required in the enterprise for any business purpose on any business system." dataDxfId="337"/>
    <tableColumn id="12" xr3:uid="{8D483FFC-AE0B-5E40-8253-821779C9C57B}" name="Ensure that only software applications or operating systems currently supported and receiving vendor updates are added to the organization's authorized software inventory. Unsupported software should be tagged as unsupported in the inventory system." dataDxfId="336"/>
    <tableColumn id="13" xr3:uid="{CD7EBEF7-45D0-1340-A57C-82FC7796DE79}" name="Utilize software inventory tools throughout the organization to automate the documentation of all software on business systems." dataDxfId="335"/>
    <tableColumn id="14" xr3:uid="{6C6C359D-13A0-EE42-975F-C1EC002EFC29}" name="The software inventory system should track the name, version, publisher, and install date for all software, including operating systems authorized by the organization." dataDxfId="334"/>
    <tableColumn id="15" xr3:uid="{E8494057-6D69-0C4A-842B-460787C65968}" name="The software inventory system should be tied into the hardware asset inventory so all devices and associated software are tracked from a single location." dataDxfId="333"/>
    <tableColumn id="16" xr3:uid="{C083F14E-2A88-934B-80E9-782A6E78CAF8}" name="Ensure that unauthorized software is either removed or the inventory is updated in a timely manner." dataDxfId="332"/>
    <tableColumn id="17" xr3:uid="{577F5523-946A-6048-8A6A-EDC9539DB655}" name="Utilize application whitelisting technology on all assets to ensure that only authorized software executes and all unauthorized software is blocked from executing on assets." dataDxfId="331"/>
    <tableColumn id="18" xr3:uid="{21CE8478-CA1C-8149-897D-2014270FB4AA}" name="The organization's application whitelisting software must ensure that only authorized software libraries (such as *.dll, *.ocx, *.so, etc.) are allowed to load into a system process." dataDxfId="330"/>
    <tableColumn id="19" xr3:uid="{947141AC-59D2-1941-BB1C-588EF36B76DD}" name="The organization's application whitelisting software must ensure that only authorized, digitally signed scripts (such as *.ps1,*.py, macros, etc.) are allowed to run on a system." dataDxfId="329"/>
    <tableColumn id="20" xr3:uid="{82BC6E65-A352-E44D-9A8D-AC98CB41B18B}" name="Physically or logically segregated systems should be used to isolate and run software that is required for business operations but incurs higher risk for the organization." dataDxfId="328"/>
    <tableColumn id="21" xr3:uid="{8059CEF4-874F-1C49-B0C3-B458E0805E73}" name="Utilize an up-to-date Security Content Automation Protocol (SCAP) compliant vulnerability scanning tool to automatically scan all systems on the network on a weekly or more frequent basis to identify all potential vulnerabilities on the organization's sys" dataDxfId="327"/>
    <tableColumn id="22" xr3:uid="{3727E704-B1E6-C04F-8FFC-F448F2D52C42}" name="Perform authenticated vulnerability scanning with agents running locally on each system or with remote scanners that are configured with elevated rights on the system being tested." dataDxfId="326"/>
    <tableColumn id="23" xr3:uid="{74B8EDF7-A44D-4F42-B214-3A005AB626F2}" name="Use a dedicated account for authenticated vulnerability scans, which should not be used for any other administrative activities and should be tied to specific machines at specific IP addresses." dataDxfId="325"/>
    <tableColumn id="24" xr3:uid="{2DDF82B0-9906-7B45-90FE-2E7796BE317F}" name="Deploy automated software update tools in order to ensure that the operating systems are running the most recent security updates provided by the software vendor." dataDxfId="324"/>
    <tableColumn id="25" xr3:uid="{DC9774F1-292E-464E-A9C4-2260E52C7307}" name="Deploy automated software update tools in order to ensure that third-party software on all systems is running the most recent security updates provided by the software vendor." dataDxfId="323"/>
    <tableColumn id="26" xr3:uid="{BFE60F97-F7AE-404E-8B72-123EFCA3B12C}" name="Regularly compare the results from consecutive vulnerability scans to verify that vulnerabilities have been remediated in a timely manner." dataDxfId="322"/>
    <tableColumn id="27" xr3:uid="{93413460-8CBC-344C-AEFE-49502C74DA33}" name="Utilize a risk-rating process to prioritize the remediation of discovered vulnerabilities." dataDxfId="321"/>
    <tableColumn id="28" xr3:uid="{16E14C5F-476C-B744-8A55-E06DA27D5491}" name="Use automated tools to inventory all administrative accounts, including domain and local accounts, to ensure that only authorized individuals have elevated privileges." dataDxfId="320"/>
    <tableColumn id="29" xr3:uid="{A4367EC8-B913-1846-8298-6FCE9AB5E471}" name="Before deploying any new asset, change all default passwords to have values consistent with administrative level accounts." dataDxfId="319"/>
    <tableColumn id="30" xr3:uid="{2D725830-D227-A84D-8FD7-CB9A8DAB599E}" name="Ensure that all users with administrative account access use a dedicated or secondary account for elevated activities. This account should only be used for administrative activities and not Internet browsing, email, or similar activities." dataDxfId="318"/>
    <tableColumn id="31" xr3:uid="{49B2BEFE-D8F7-CD4A-BFE1-22181E89EBB5}" name="Where multi-factor authentication is not supported (such as local administrator, root, or service accounts), accounts will use passwords that are unique to that system." dataDxfId="317"/>
    <tableColumn id="32" xr3:uid="{CD5F8FFC-B94A-7C40-AE9D-CB27CFF16932}" name="Use multi-factor authentication and encrypted channels for all administrative account access." dataDxfId="316"/>
    <tableColumn id="33" xr3:uid="{27D9EB4F-0809-B44B-A56B-9ED88216DDBD}" name="Ensure administrators use a dedicated machine for all administrative tasks or tasks requiring administrative access. This machine will be segmented from the organization's primary network and not be allowed Internet access. This machine will not be used f" dataDxfId="315"/>
    <tableColumn id="34" xr3:uid="{A95284B1-CE9F-6F47-9D16-620A33C9C40D}" name="Limit access to scripting tools (such as Microsoft® PowerShell and Python) to only administrative or development users with the need to access those capabilities." dataDxfId="314"/>
    <tableColumn id="35" xr3:uid="{0C741668-8CF5-8F4D-9470-52C16646A10D}" name="Configure systems to issue a log entry and alert when an account is added to or removed from any group assigned administrative privileges." dataDxfId="313"/>
    <tableColumn id="36" xr3:uid="{58ADE753-D1A1-9443-99CC-7999C5B0FF54}" name="Configure systems to issue a log entry and alert on unsuccessful logins to an administrative account." dataDxfId="312"/>
    <tableColumn id="37" xr3:uid="{75B5C75D-1623-6944-B7D6-B172E4F6954A}" name="Maintain documented security configuration standards for all authorized operating systems and software." dataDxfId="311"/>
    <tableColumn id="38" xr3:uid="{897F6A13-6816-3849-8120-735706FDF8DB}" name="Maintain secure images or templates for all systems in the enterprise based on the organization's approved configuration standards. Any new system deployment or existing system that becomes compromised should be imaged using one of those images or templat" dataDxfId="310"/>
    <tableColumn id="39" xr3:uid="{A25C7099-9089-914C-8F14-CE4DBDDD3C17}" name="Store the master images and templates on securely configured servers, validated with integrity monitoring tools, to ensure that only authorized changes to the images are possible." dataDxfId="309"/>
    <tableColumn id="40" xr3:uid="{D3CB84DE-40A2-4148-BEB4-44BF68E2C0D6}" name="Deploy system configuration management tools that will automatically enforce and redeploy configuration settings to systems at regularly scheduled intervals." dataDxfId="308"/>
    <tableColumn id="41" xr3:uid="{C40EA958-29CF-FB46-A6FA-C53B2D92FEAB}" name="Utilize a Security Content Automation Protocol (SCAP) compliant configuration monitoring system to verify all security configuration elements, catalog approved exceptions, and alert when unauthorized changes occur." dataDxfId="307"/>
    <tableColumn id="42" xr3:uid="{B09EFA75-D722-6D48-80A4-687334002145}" name="Use at least three synchronized time sources from which all servers and network devices retrieve time information on a regular basis so that timestamps in logs are consistent." dataDxfId="306"/>
    <tableColumn id="43" xr3:uid="{400C6A34-08FC-0F43-B6D6-0772AB7742A6}" name="Ensure that local logging has been enabled on all systems and networking devices." dataDxfId="305"/>
    <tableColumn id="44" xr3:uid="{BEB95C86-D6D2-2946-B67D-EA2F69BEB78E}" name="Enable system logging to include detailed information such as an event source, date, user, timestamp, source addresses, destination addresses, and other useful elements." dataDxfId="304"/>
    <tableColumn id="45" xr3:uid="{7C38DDB9-8D50-0747-A1A4-E639A607C2B4}" name="Ensure that all systems that store logs have adequate storage space for the logs generated." dataDxfId="303"/>
    <tableColumn id="46" xr3:uid="{1F0CA551-1C4F-3B4A-9095-481AF0718478}" name="Ensure that appropriate logs are being aggregated to a central log management system for analysis and review." dataDxfId="302"/>
    <tableColumn id="47" xr3:uid="{2603EF74-6062-834D-97CA-735F15BD5E74}" name="Deploy Security Information and Event Management (SIEM) or log analytic tools for log correlation and analysis" dataDxfId="301"/>
    <tableColumn id="48" xr3:uid="{9CC09B28-4AD4-E54F-B0B9-97F2C04E55F1}" name="On a regular basis, review logs to identify anomalies or abnormal events." dataDxfId="300"/>
    <tableColumn id="49" xr3:uid="{8DFD0968-4801-BF43-9C23-1878493EAECE}" name="On a regular basis, tune your SIEM system to better identify actionable events and decrease event noise." dataDxfId="299"/>
    <tableColumn id="50" xr3:uid="{BF316DC6-1FB5-7648-9BD9-30D52E85ADE8}" name="Ensure that only fully supported web browsers and email clients are allowed to execute in the organization, ideally only using the latest version of the browsers and email clients provided by the vendor." dataDxfId="298"/>
    <tableColumn id="51" xr3:uid="{9AE50414-C6D1-BC47-BC49-502C06C7CA1B}" name="Uninstall or disable any unauthorized browser or email client plugins or add-on applications." dataDxfId="297"/>
    <tableColumn id="52" xr3:uid="{086C2D5C-FEE5-0145-91C3-EC170A4C0FEE}" name="Ensure that only authorized scripting languages are able to run in all web browsers and email clients." dataDxfId="296"/>
    <tableColumn id="53" xr3:uid="{FAB86E48-0D8D-2843-AD93-1E0E7D947CB6}" name="Enforce network-based URL filters that limit a system's ability to connect to websites not approved by the organization. This filtering shall be enforced for each of the organization's systems, whether they are physically at an organization's facilities o" dataDxfId="295"/>
    <tableColumn id="54" xr3:uid="{D544A087-3691-BF4C-9D0B-F637E4193C2A}" name="Subscribe to URL-categorization services to ensure that they are up-to-date with the most recent website category definitions available. Uncategorized sites shall be blocked by default." dataDxfId="294"/>
    <tableColumn id="55" xr3:uid="{4780B723-6DDA-5F4E-A1B7-E6EA5F982C87}" name="Log all URL requests from each of the organization's systems, whether on-site or a mobile device, in order to identify potentially malicious activity and assist incident handlers with identifying potentially compromised systems." dataDxfId="293"/>
    <tableColumn id="56" xr3:uid="{A901FA38-48E6-B840-B94C-A470375A7437}" name="Use Domain Name System (DNS) filtering services to help block access to known malicious domains." dataDxfId="292"/>
    <tableColumn id="57" xr3:uid="{448F06B6-B8E2-C545-8DCC-7E2C32912EF1}" name="To lower the chance of spoofed or modified emails from valid domains, implement Domain-based Message Authentication, Reporting and Conformance (DMARC) policy and verification, starting by implementing the Sender Policy Framework (SPF) and the DomainKeys I" dataDxfId="291"/>
    <tableColumn id="58" xr3:uid="{0B37013A-4B4C-CF40-9DC5-96485AA36CD2}" name="Block all email attachments entering the organization's email gateway if the file types are unnecessary for the organization's business." dataDxfId="290"/>
    <tableColumn id="59" xr3:uid="{EC73303E-F054-FD45-9D2B-46359BFFB485}" name="Use sandboxing to analyze and block inbound email attachments with malicious behavior." dataDxfId="289"/>
    <tableColumn id="60" xr3:uid="{76D037ED-07FE-A444-A5A4-A2C2128965D0}" name="Utilize centrally managed anti-malware software to continuously monitor and defend each of the organization's workstations and servers." dataDxfId="288"/>
    <tableColumn id="61" xr3:uid="{5D1307D7-227D-694A-AA31-859DDAD6148D}" name="Ensure that the organization's anti-malware software updates its scanning engine and signature database on a regular basis." dataDxfId="287"/>
    <tableColumn id="62" xr3:uid="{A7E60E9B-4B27-D249-90B6-FEC685E3453E}" name="Enable anti-exploitation features such as Data Execution Prevention (DEP) and Address Space Layout Randomization (ASLR) that are available in an operating system or deploy appropriate toolkits that can be configured to apply protection to a broader set of" dataDxfId="286"/>
    <tableColumn id="63" xr3:uid="{E8817927-6C23-4E42-91FF-66874271F788}" name="Configure devices so that they automatically conduct an anti-malware scan of removable media when inserted or connected." dataDxfId="285"/>
    <tableColumn id="64" xr3:uid="{61DDEB3B-CD3A-D946-9152-3267CFD04662}" name="Configure devices to not auto-run content from removable media." dataDxfId="284"/>
    <tableColumn id="65" xr3:uid="{E6F40358-AF0B-F945-9EA1-957CDCA7A68C}" name="Send all malware detection events to enterprise anti-malware administration tools and event log servers for analysis and alerting." dataDxfId="283"/>
    <tableColumn id="66" xr3:uid="{4D59398B-8F62-674B-A62E-41352B48A10E}" name="Enable Domain Name System (DNS) query logging to detect hostname lookups for known malicious domains." dataDxfId="282"/>
    <tableColumn id="67" xr3:uid="{3371615C-93B2-3B4C-BBFA-02065EC481F0}" name="Enable command-line audit logging for command shells, such as Microsoft PowerShell and Bash." dataDxfId="281"/>
    <tableColumn id="68" xr3:uid="{5AA9D3F9-6BCF-AD41-A37A-33B365CB1935}" name="Associate active ports, services, and protocols to the hardware assets in the asset inventory." dataDxfId="280"/>
    <tableColumn id="69" xr3:uid="{9B8FB814-BCD5-D84B-8F49-0C30B83D9A58}" name="Ensure that only network ports, protocols, and services listening on a system with validated business needs are running on each system." dataDxfId="279"/>
    <tableColumn id="70" xr3:uid="{1B9D82A8-5E6A-A74D-B51D-9FB5A2C62518}" name="Perform automated port scans on a regular basis against all systems and alert if unauthorized ports are detected on a system." dataDxfId="278"/>
    <tableColumn id="71" xr3:uid="{CCA360D3-C518-7841-B35F-ED6429C8EA4F}" name="Apply host-based firewalls or port-filtering tools on end systems, with a default-deny rule that drops all traffic except those services and ports that are explicitly allowed." dataDxfId="277"/>
    <tableColumn id="72" xr3:uid="{F975A88A-37FB-654E-BEC8-3156CA2BBBCC}" name="Place application firewalls in front of any critical servers to verify and validate the traffic going to the server. Any unauthorized traffic should be blocked and logged." dataDxfId="276"/>
    <tableColumn id="73" xr3:uid="{ED2A7538-B1E1-DA4D-BFF8-B4FB363ACB49}" name="Ensure that all system data is automatically backed up on a regular basis." dataDxfId="275"/>
    <tableColumn id="74" xr3:uid="{46B117DF-EBC2-5241-881B-F5B09D7310B0}" name="Ensure that all of the organization's key systems are backed up as a complete system, through processes such as imaging, to enable the quick recovery of an entire system." dataDxfId="274"/>
    <tableColumn id="75" xr3:uid="{5F53FF60-7679-A24C-A25F-27410BFD2F71}" name="Test data integrity on backup media on a regular basis by performing a data restoration process to ensure that the backup is properly working." dataDxfId="273"/>
    <tableColumn id="76" xr3:uid="{FD85A2C5-012B-1E42-8610-7B215DBD0614}" name="Ensure that backups are properly protected via physical security or encryption when they are stored, as well as when they are moved across the network. This includes remote backups and cloud services." dataDxfId="272"/>
    <tableColumn id="77" xr3:uid="{071FFAB7-9DED-2845-A135-5279D31891D3}" name="Ensure that all backups have at least one offline (i.e., not accessible via a network connection) backup destination." dataDxfId="271"/>
    <tableColumn id="78" xr3:uid="{37389DF7-6754-934D-9363-487AA4874417}" name="Maintain documented security configuration standards for all authorized network devices." dataDxfId="270"/>
    <tableColumn id="79" xr3:uid="{CAB7468B-D981-744B-AF6F-05E85ADC37D5}" name="All configuration rules that allow traffic to flow through network devices should be documented in a configuration management system with a specific business reason for each rule, a specific individual’s name responsible for that business need, and an exp" dataDxfId="269"/>
    <tableColumn id="80" xr3:uid="{F930AC53-FF34-884F-A93E-B744355B8D81}" name="Compare all network device configurations against approved security configurations defined for each network device in use, and alert when any deviations are discovered." dataDxfId="268"/>
    <tableColumn id="81" xr3:uid="{D7B4980F-06E3-3B43-86A8-E8FF02E79826}" name="Install the latest stable version of any security-related updates on all network devices." dataDxfId="267"/>
    <tableColumn id="82" xr3:uid="{09B4A818-C8F9-5A4A-B1E8-C2A7CB4599B6}" name="Manage all network devices using multi-factor authentication and encrypted sessions." dataDxfId="266"/>
    <tableColumn id="83" xr3:uid="{FC869E4E-04D6-D24D-AB7F-F659DEDD19C0}" name="Ensure network engineers use a dedicated machine for all administrative tasks or tasks requiring elevated access. This machine shall be segmented from the organization's primary network and not be allowed Internet access. This machine shall not be used fo" dataDxfId="265"/>
    <tableColumn id="84" xr3:uid="{5A1A6C63-0BBB-4644-AB33-DA021B87BD19}" name="Manage the network infrastructure across network connections that are separated from the business use of that network, relying on separate VLANs or, preferably, on entirely different physical connectivity for management sessions for network devices." dataDxfId="264"/>
    <tableColumn id="85" xr3:uid="{CB3AE501-0843-F34F-A42E-54A13FD5D110}" name="Maintain an up-to-date inventory of all of the organization's network boundaries." dataDxfId="263"/>
    <tableColumn id="86" xr3:uid="{A5586A56-A5A6-2548-BB11-B043D25CC99A}" name="Perform regular scans from outside each trusted network boundary to detect any unauthorized connections which are accessible across the boundary." dataDxfId="262"/>
    <tableColumn id="87" xr3:uid="{6FDF262F-FFBE-9F49-8E8C-6366A6CDFB84}" name="Deny communications with known malicious or unused Internet IP addresses and limit access only to trusted and necessary IP address ranges at each of the organization's network boundaries." dataDxfId="261"/>
    <tableColumn id="88" xr3:uid="{910578B1-A17C-1F41-918D-0865B7EEAD4E}" name="Deny communication over unauthorized TCP or UDP ports or application traffic to ensure that only authorized protocols are allowed to cross the network boundary in or out of the network at each of the organization's network boundaries." dataDxfId="260"/>
    <tableColumn id="89" xr3:uid="{2D921449-B33D-594A-89A5-A49A68539CC1}" name="Configure monitoring systems to record network packets passing through the boundary at each of the organization's network boundaries." dataDxfId="259"/>
    <tableColumn id="90" xr3:uid="{CC2C1BC0-B78A-464B-9AA7-AC364D7167F2}" name="Deploy network-based Intrusion Detection Systems (IDS) sensors to look for unusual attack mechanisms and detect compromise of these systems at each of the organization's network boundaries." dataDxfId="258"/>
    <tableColumn id="91" xr3:uid="{D48ACA26-3C75-7C4A-A028-C403129D4072}" name="Deploy network-based Intrusion Prevention Systems (IPS) to block malicious network traffic at each of the organization's network boundaries." dataDxfId="257"/>
    <tableColumn id="92" xr3:uid="{67E8EBB1-EC4F-C74A-80FB-B3FE79F37541}" name="Enable the collection of NetFlow and logging data on all network boundary devices." dataDxfId="256"/>
    <tableColumn id="93" xr3:uid="{B8E87F46-CCE1-BA44-86CD-49E5DF42C1C4}" name="Ensure that all network traffic to or from the Internet passes through an authenticated application layer proxy that is configured to filter unauthorized connections." dataDxfId="255"/>
    <tableColumn id="94" xr3:uid="{1AFB1176-2B09-9945-86AC-C7CB94BFFBF1}" name="Decrypt all encrypted network traffic at the boundary proxy prior to analyzing the content. However, the organization may use whitelists of allowed sites that can be accessed through the proxy without decrypting the traffic." dataDxfId="254"/>
    <tableColumn id="95" xr3:uid="{893C965C-DA1E-B847-BE42-5549A02344F2}" name="Require all remote login access to the organization's network to encrypt data in transit and use multi-factor authentication." dataDxfId="253"/>
    <tableColumn id="96" xr3:uid="{3955EFC9-B85C-F741-85E2-2932D6E1E486}" name="Scan all enterprise devices remotely logging into the organization's network prior to accessing the network to ensure that each of the organization's security policies has been enforced in the same manner as local network devices." dataDxfId="252"/>
    <tableColumn id="97" xr3:uid="{002FE4BF-E9EF-4E42-A65D-2B6411F21386}" name="Maintain an inventory of all sensitive information stored, processed, or transmitted by the organization's technology systems, including those located on-site or at a remote service provider." dataDxfId="251"/>
    <tableColumn id="98" xr3:uid="{D605C43C-E3A8-D943-ACC0-F1FDC4F4BCD2}" name="Remove sensitive data or systems not regularly accessed by the organization from the network. These systems shall only be used as stand-alone systems (disconnected from the network) by the business unit needing to occasionally use the system or completely" dataDxfId="250"/>
    <tableColumn id="99" xr3:uid="{637E2A47-3250-0343-8F50-A8DECF36E0E0}" name="Deploy an automated tool on network perimeters that monitors for unauthorized transfer of sensitive information and blocks such transfers while alerting information security professionals." dataDxfId="249"/>
    <tableColumn id="100" xr3:uid="{E9E3734B-33E2-EA43-A8BF-CFE1DDA92CA7}" name="Only allow access to authorized cloud storage or email providers." dataDxfId="248"/>
    <tableColumn id="101" xr3:uid="{61D118D9-49FF-6547-96D8-8E3CD5048783}" name="Monitor all traffic leaving the organization and detect any unauthorized use of encryption." dataDxfId="247"/>
    <tableColumn id="102" xr3:uid="{CA923AE6-0157-BE40-B16D-F02E100681F0}" name="Utilize approved cryptographic mechanisms to protect enterprise data stored on all mobile devices." dataDxfId="246"/>
    <tableColumn id="103" xr3:uid="{4E5D9326-456F-0B40-849A-087D9639E786}" name="If USB storage devices are required, enterprise software should be used that can configure systems to allow the use of specific devices. An inventory of such devices should be maintained." dataDxfId="245"/>
    <tableColumn id="104" xr3:uid="{3C91BCE8-FD5A-3341-87FC-BD1E8027E4BA}" name="Configure systems not to write data to external removable media, if there is no business need for supporting such devices." dataDxfId="244"/>
    <tableColumn id="105" xr3:uid="{F407A6EF-69DA-5244-B61A-0E5E1E902CD0}" name="If USB storage devices are required, all data stored on such devices must be encrypted while at rest." dataDxfId="243"/>
    <tableColumn id="106" xr3:uid="{8BDC8A2C-9A7E-7B4A-9F98-4A7BA587DD00}" name="Segment the network based on the label or classification level of the information stored on the servers, locate all sensitive information on separated Virtual Local Area Networks (VLANs)." dataDxfId="242"/>
    <tableColumn id="107" xr3:uid="{FEA237DD-27F2-6D43-8EB8-4D0784B2254F}" name="Enable firewall filtering between VLANs to ensure that only authorized systems are able to communicate with other systems necessary to fulfill their specific responsibilities." dataDxfId="241"/>
    <tableColumn id="108" xr3:uid="{BB1746C1-7632-6944-AC93-FB1B6FFC4613}" name="Disable all workstation-to-workstation communication to limit an attacker's ability to move laterally and compromise neighboring systems, through technologies such as private VLANs or micro segmentation." dataDxfId="240"/>
    <tableColumn id="109" xr3:uid="{AC654A61-B07B-6D4D-B7FA-9935D6E99213}" name="Encrypt all sensitive information in transit." dataDxfId="239"/>
    <tableColumn id="110" xr3:uid="{684283E5-6FD2-634C-A184-A7DCF7C0C756}" name="Utilize an active discovery tool to identify all sensitive information stored, processed, or transmitted by the organization's technology systems, including those located on-site or at a remote service provider, and update the organization's sensitive inf" dataDxfId="238"/>
    <tableColumn id="111" xr3:uid="{CF0E6D8C-4DD5-9A4F-A1CD-8758DF7911CB}" name="Protect all information stored on systems with file system, network share, claims, application, or database specific access control lists. These controls will enforce the principle that only authorized individuals should have access to the information bas" dataDxfId="237"/>
    <tableColumn id="112" xr3:uid="{1650611C-105E-074B-92A7-9C289825733A}" name="Use an automated tool, such as host-based Data Loss Prevention, to enforce access controls to data even when the data is copied off a system." dataDxfId="236"/>
    <tableColumn id="113" xr3:uid="{C4AC0793-8304-1A47-AB8E-35753596DC9E}" name="Encrypt all sensitive information at rest using a tool that requires a secondary authentication mechanism not integrated into the operating system, in order to access the information." dataDxfId="235"/>
    <tableColumn id="114" xr3:uid="{777FD23C-D475-DB44-BACF-1C0466554AC4}" name="Enforce detailed audit logging for access to sensitive data or changes to sensitive data (utilizing tools such as File Integrity Monitoring or Security Information and Event Monitoring)." dataDxfId="234"/>
    <tableColumn id="115" xr3:uid="{90B2815D-CC39-BF49-8D8E-AE53DB08720C}" name="Maintain an inventory of authorized wireless access points connected to the wired network." dataDxfId="233"/>
    <tableColumn id="116" xr3:uid="{07B5698E-07F9-C54C-9374-31FE2394D6F3}" name="Configure network vulnerability scanning tools to detect and alert on unauthorized wireless access points connected to the wired network." dataDxfId="232"/>
    <tableColumn id="117" xr3:uid="{7BEF7C5C-04A2-BF41-96FB-076053410B80}" name="Use a wireless intrusion detection system (WIDS) to detect and alert on unauthorized wireless access points connected to the network." dataDxfId="231"/>
    <tableColumn id="118" xr3:uid="{538BECD9-4E3A-BC49-9535-A7BDAE294410}" name="Disable wireless access on devices that do not have a business purpose for wireless access." dataDxfId="230"/>
    <tableColumn id="119" xr3:uid="{D69311D3-E2C9-F04F-8645-8D3111DD787C}" name="Configure wireless access on client machines that do have an essential wireless business purpose, to allow access only to authorized wireless networks and to restrict access to other wireless networks." dataDxfId="229"/>
    <tableColumn id="120" xr3:uid="{B153232F-8867-184D-A76E-7D99E72F0C80}" name="Disable peer-to-peer (ad hoc) wireless network capabilities on wireless clients." dataDxfId="228"/>
    <tableColumn id="121" xr3:uid="{F6F329A2-E043-1D4B-A32B-E3FFF66372D9}" name="Leverage the Advanced Encryption Standard (AES) to encrypt wireless data in transit." dataDxfId="227"/>
    <tableColumn id="122" xr3:uid="{F733FD3C-8BB0-F143-9DAD-BB98352A5DE5}" name="Ensure that wireless networks use authentication protocols such as Extensible Authentication Protocol-Transport Layer Security (EAP/TLS), that requires mutual, multi-factor authentication." dataDxfId="226"/>
    <tableColumn id="123" xr3:uid="{8635FB04-157A-0643-B30C-14C4A1707EBD}" name="Disable wireless peripheral access of devices [such as Bluetooth and Near Field Communication (NFC)], unless such access is required for a business purpose." dataDxfId="225"/>
    <tableColumn id="124" xr3:uid="{6D635E68-D236-FC41-A064-EDE73A055E1B}" name="Create a separate wireless network for personal or untrusted devices. Enterprise access from this network should be treated as untrusted and filtered and audited accordingly." dataDxfId="224"/>
    <tableColumn id="125" xr3:uid="{B1F75558-167D-394F-B0D2-97CB71ABCF38}" name="Maintain an inventory of each of the organization's authentication systems, including those located on-site or at a remote service provider." dataDxfId="223"/>
    <tableColumn id="126" xr3:uid="{114DFE9B-0ACE-7F47-B555-66AA7FA328A6}" name="Configure access for all accounts through as few centralized points of authentication as possible, including network, security, and cloud systems." dataDxfId="222"/>
    <tableColumn id="127" xr3:uid="{5353EC48-8BC5-684A-BF5A-A9086349E1A7}" name="Require multi-factor authentication for all user accounts, on all systems, whether managed on-site or by a third-party provider." dataDxfId="221"/>
    <tableColumn id="128" xr3:uid="{97E0ABBD-8113-464F-A1E0-38F6701854D4}" name="Encrypt or hash with a salt all authentication credentials when stored." dataDxfId="220"/>
    <tableColumn id="129" xr3:uid="{C55D3D7E-E0D3-B94F-92A0-ED6E3C34371F}" name="Ensure that all account usernames and authentication credentials are transmitted across networks using encrypted channels." dataDxfId="219"/>
    <tableColumn id="130" xr3:uid="{A0025035-E189-874D-86B4-895766B8BC27}" name="Maintain an inventory of all accounts organized by authentication system." dataDxfId="218"/>
    <tableColumn id="131" xr3:uid="{88A84FF7-112B-2644-AE61-7B4184F03427}" name="Establish and follow an automated process for revoking system access by disabling accounts immediately upon termination or change of responsibilities of an employee or contractor. Disabling these accounts, instead of deleting accounts, allows preservation" dataDxfId="217"/>
    <tableColumn id="132" xr3:uid="{34B64755-0237-E842-A5D1-1E8D66D81BE8}" name="Disable any account that cannot be associated with a business process or business owner." dataDxfId="216"/>
    <tableColumn id="133" xr3:uid="{9CF7B214-6D1D-194D-8209-7E48C4CF8713}" name="Automatically disable dormant accounts after a set period of inactivity." dataDxfId="215"/>
    <tableColumn id="134" xr3:uid="{EC4917CE-57DF-D64D-A1ED-432723837D11}" name="Ensure that all accounts have an expiration date that is monitored and enforced." dataDxfId="214"/>
    <tableColumn id="135" xr3:uid="{C00C732B-F5CF-C940-BE59-72379D9F0B95}" name="Automatically lock workstation sessions after a standard period of inactivity." dataDxfId="213"/>
    <tableColumn id="136" xr3:uid="{E8F3EA29-32B4-DE4C-901F-D02B2C259111}" name="Monitor attempts to access deactivated accounts through audit logging." dataDxfId="212"/>
    <tableColumn id="137" xr3:uid="{2E2A4995-10B0-6446-81E3-A1F890FA0409}" name="Alert when users deviate from normal login behavior, such as time-of-day, workstation location, and duration." dataDxfId="211"/>
    <tableColumn id="138" xr3:uid="{AAC76DC3-D4C8-7541-8E06-A21C0280097B}" name="Perform a skills gap analysis to understand the skills and behaviors workforce members are not adhering to, using this information to build a baseline education roadmap." dataDxfId="210"/>
    <tableColumn id="139" xr3:uid="{3DC73896-4B91-194A-8B03-2D85047BFADB}" name="Deliver training to address the skills gap identified to positively impact workforce members' security behavior." dataDxfId="209"/>
    <tableColumn id="140" xr3:uid="{4AA47E32-A161-1842-913C-F0D1F8A1B888}" name="Create a security awareness program for all workforce members to complete on a regular basis to ensure they understand and exhibit the necessary behaviors and skills to help ensure the security of the organization. The organization's security awareness pr" dataDxfId="208"/>
    <tableColumn id="141" xr3:uid="{B6CBF6B3-C342-D347-9B4D-4FAF84DCF9CB}" name="Ensure that the organization's security awareness program is updated frequently (at least annually) to address new technologies, threats, standards, and business requirements." dataDxfId="207"/>
    <tableColumn id="142" xr3:uid="{79B242FA-65D9-3742-AF09-415E184D1D4A}" name="Train workforce members on the importance of enabling and utilizing secure authentication." dataDxfId="206"/>
    <tableColumn id="143" xr3:uid="{A65B1ADF-9C74-2C49-ACBB-1A07005DE636}" name="Train the workforce on how to identify different forms of social engineering attacks, such as phishing, phone scams, and impersonation calls." dataDxfId="205"/>
    <tableColumn id="144" xr3:uid="{0B4F0354-AE67-504B-89E3-BD4CDD8AD15F}" name="Train workforce members on how to identify and properly store, transfer, archive, and destroy sensitive information." dataDxfId="204"/>
    <tableColumn id="145" xr3:uid="{8E132A92-E2F6-4C4C-AC85-BEA749E43C92}" name="Train workforce members to be aware of causes for unintentional data exposures, such as losing their mobile devices or emailing the wrong person due to autocomplete in email." dataDxfId="203"/>
    <tableColumn id="146" xr3:uid="{9CBA4ED5-7E0F-7346-B225-184919ABC940}" name="Train workforce members to be able to identify the most common indicators of an incident and be able to report such an incident." dataDxfId="202"/>
    <tableColumn id="147" xr3:uid="{3CA6C795-145B-F441-93D4-A0B6E727EAE6}" name="Establish secure coding practices appropriate to the programming language and development environment being used." dataDxfId="201"/>
    <tableColumn id="148" xr3:uid="{415E3BAE-1B76-0D41-8371-BF3CB6FA3731}" name="For in-house developed software, ensure that explicit error checking is performed and documented for all input, including for size, data type, and acceptable ranges or formats." dataDxfId="200"/>
    <tableColumn id="149" xr3:uid="{696FF511-C06C-7345-94A1-392BBB9BC9B3}" name="Verify that the version of all software acquired from outside your organization is still supported by the developer or appropriately hardened based on developer security recommendations." dataDxfId="199"/>
    <tableColumn id="150" xr3:uid="{A206EC50-10EA-CF44-B51E-267453739F8C}" name="Only use up-to-date and trusted third-party components for the software developed by the organization." dataDxfId="198"/>
    <tableColumn id="151" xr3:uid="{85B70E22-A724-7A41-AFEC-5B1DD17545E2}" name="Use only standardized, currently accepted, and extensively reviewed encryption algorithms." dataDxfId="197"/>
    <tableColumn id="152" xr3:uid="{37A79560-76F3-354D-8433-71D07D11A10E}" name="Ensure that all software development personnel receive training in writing secure code for their specific development environment and responsibilities." dataDxfId="196"/>
    <tableColumn id="153" xr3:uid="{BCCE9FF7-F039-0441-90E3-6E21CAA5D4C2}" name="Apply static and dynamic analysis tools to verify that secure coding practices are being adhered to for internally developed software." dataDxfId="195"/>
    <tableColumn id="154" xr3:uid="{45C21279-BE9A-AE4A-A286-4D7B4F553FB2}" name="Establish a process to accept and address reports of software vulnerabilities, including providing a means for external entities to contact your security group." dataDxfId="194"/>
    <tableColumn id="155" xr3:uid="{E913B8F4-FCCF-864F-878E-3C295913551C}" name="Maintain separate environments for production and non-production systems. Developers should not have unmonitored access to production environments." dataDxfId="193"/>
    <tableColumn id="156" xr3:uid="{5054A2CC-D72D-8748-9601-9AE3F3074C2B}" name="Protect web applications by deploying web application firewalls (WAFs) that inspect all traffic flowing to the web application for common web application attacks. For applications that are not web-based, specific application firewalls should be deployed i" dataDxfId="192"/>
    <tableColumn id="157" xr3:uid="{CCABBBF4-FB77-544D-9FF3-93D9BA236AC2}" name="For applications that rely on a database, use standard hardening configuration templates. All systems that are part of critical business processes should also be tested." dataDxfId="191"/>
    <tableColumn id="158" xr3:uid="{A01723CC-E4CF-B743-9035-DEE4BA438B42}" name="Ensure that there are written incident response plans that define roles of personnel as well as phases of incident handling/management." dataDxfId="190"/>
    <tableColumn id="159" xr3:uid="{A75ABBF1-4BA0-B041-9834-A1ECA5058B39}" name="Assign job titles and duties for handling computer and network incidents to specific individuals, and ensure tracking and documentation throughout the incident through resolution." dataDxfId="189"/>
    <tableColumn id="160" xr3:uid="{AEC6ED85-4B41-4C4A-8FA2-04411C90E081}" name="Designate management personnel, as well as backups, who will support the incident handling process by acting in key decision-making roles." dataDxfId="188"/>
    <tableColumn id="161" xr3:uid="{3B3949B1-535F-B840-9C20-A4EE2B076696}" name="Devise organization-wide standards for the time required for system administrators and other workforce members to report anomalous events to the incident handling team, the mechanisms for such reporting, and the kind of information that should be included" dataDxfId="187"/>
    <tableColumn id="162" xr3:uid="{7982196D-2F4E-0245-BEBB-7D3BE54270F5}" name="Assemble and maintain information on third-party contact information to be used to report a security incident, such as Law Enforcement, relevant government departments, vendors, and Information Sharing and Analysis Center (ISAC) partners." dataDxfId="186"/>
    <tableColumn id="163" xr3:uid="{D847A83A-AFA4-5A47-AFB8-B6E2B5FE6FC9}" name="Publish information for all workforce members, regarding reporting computer anomalies and incidents, to the incident handling team. Such information should be included in routine employee awareness activities." dataDxfId="185"/>
    <tableColumn id="164" xr3:uid="{8A031273-B362-0349-AF0A-31D1BF2D1F5E}" name="Plan and conduct routine incident response exercises and scenarios for the workforce involved in the incident response to maintain awareness and comfort in responding to real-world threats. Exercises should test communication channels, decision making, an" dataDxfId="184"/>
    <tableColumn id="165" xr3:uid="{F47F5BA7-E154-3447-9ED4-AE4DF77D6CDA}" name="Create incident scoring and prioritization schema based on known or potential impact to your organization. Utilize score to define frequency of status updates and escalation procedures." dataDxfId="183"/>
    <tableColumn id="166" xr3:uid="{409C49FB-5A16-9E41-85FA-F7B9FD3F699D}" name="Establish a program for penetration tests that includes a full scope of blended attacks, such as wireless, client-based, and web application attacks." dataDxfId="182"/>
    <tableColumn id="167" xr3:uid="{787C2A56-307D-DE48-BBAE-31B2461464C1}" name="Conduct regular external and internal penetration tests to identify vulnerabilities and attack vectors that can be used to exploit enterprise systems successfully." dataDxfId="181"/>
    <tableColumn id="168" xr3:uid="{6AC9004B-3A40-014B-913E-3A677BB04005}" name="Perform periodic Red Team exercises to test organizational readiness to identify and stop attacks or to respond quickly and effectively." dataDxfId="180"/>
    <tableColumn id="169" xr3:uid="{CC989941-E72B-5F4B-B545-D1BB825D349B}" name="Include tests for the presence of unprotected system information and artifacts that would be useful to attackers, including network diagrams, configuration files, older penetration test reports, emails or documents containing passwords or other informatio" dataDxfId="179"/>
    <tableColumn id="170" xr3:uid="{B25BD9C7-766A-CA41-87B2-D45B89FF3D06}" name="Create a test bed that mimics a production environment for specific penetration tests and Red Team attacks against elements that are not typically tested in production, such as attacks against supervisory control and data acquisition and other control sys" dataDxfId="178"/>
    <tableColumn id="171" xr3:uid="{3A1E7631-3E54-5F45-85A9-2371533AE056}" name="Use vulnerability scanning and penetration testing tools in concert. The results of vulnerability scanning assessments should be used as a starting point to guide and focus penetration testing efforts." dataDxfId="177"/>
    <tableColumn id="172" xr3:uid="{D7994059-4310-5D4E-9154-4CFF9CFAF8BC}" name="Wherever possible, ensure that Red Team results are documented using open, machine-readable standards (e.g., SCAP). Devise a scoring method for determining the results of Red Team exercises so that results can be compared over time." dataDxfId="176"/>
    <tableColumn id="173" xr3:uid="{3A70B5F8-9AD3-AE41-9079-9D47E79E2298}" name="Any user or system accounts used to perform penetration testing should be controlled and monitored to make sure they are only being used for legitimate purposes, and are removed or restored to normal function after testing is over." dataDxfId="17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A2038-65DB-9F41-B916-308944606EDE}" name="Table2" displayName="Table2" ref="A3:FQ83" totalsRowShown="0" headerRowDxfId="174" dataDxfId="173">
  <autoFilter ref="A3:FQ83" xr:uid="{19543A7A-12EB-2040-9774-A596BA2F96F5}"/>
  <tableColumns count="173">
    <tableColumn id="1" xr3:uid="{33A87E68-0F67-2746-9F50-52D8F6613F7A}" name="PCI Control Description" dataDxfId="172"/>
    <tableColumn id="2" xr3:uid="{C48DE31C-FCA3-1641-83CD-F83B66DFE4F4}" name="Control #" dataDxfId="171"/>
    <tableColumn id="3" xr3:uid="{3A9C0B08-8C3E-D04B-891D-1B41AB511D7A}" name="Utilize an active discovery tool to identify devices connected to the organization's network and update the hardware asset inventory." dataDxfId="170"/>
    <tableColumn id="4" xr3:uid="{DB18BD8A-06AD-B143-8D63-2D9A862D1127}" name="Utilize a passive discovery tool to identify devices connected to the organization's network and automatically update the organization's hardware asset inventory." dataDxfId="169"/>
    <tableColumn id="5" xr3:uid="{356E5CD3-5500-7844-813D-D41CB1142BB8}" name="Use Dynamic Host Configuration Protocol (DHCP) logging on all DHCP servers or IP address management tools to update the organization's hardware asset inventory." dataDxfId="168"/>
    <tableColumn id="6" xr3:uid="{13FCCDCA-514A-1B44-B812-A3EFDE9D8146}" name="Maintain an accurate and up-to-date inventory of all technology assets with the potential to store or process information. This inventory shall include all assets, whether connected to the organization's network or not." dataDxfId="167"/>
    <tableColumn id="7" xr3:uid="{5F09222D-9EF4-4447-887D-05AA232DED4D}" name="Ensure that the hardware asset inventory records the network address, hardware address, machine name, data asset owner, and department for each asset and whether the hardware asset has been approved to connect to the network." dataDxfId="166"/>
    <tableColumn id="8" xr3:uid="{F0858F4E-3C44-3B4D-A297-58C33A1189B2}" name="Ensure that unauthorized assets are either removed from the network, quarantined or the inventory is updated in a timely manner." dataDxfId="165"/>
    <tableColumn id="9" xr3:uid="{38BD4911-5A89-E34D-93E9-B1284BEDDB13}" name="Utilize port level access control, following 802.1x standards, to control which devices can authenticate to the network. The authentication system shall be tied into the hardware asset inventory data to ensure only authorized devices can connect to the ne" dataDxfId="164"/>
    <tableColumn id="10" xr3:uid="{9362CD7B-836A-CE43-8B95-62EA56EA3077}" name="Use client certificates to authenticate hardware assets connecting to the organization's trusted network." dataDxfId="163"/>
    <tableColumn id="11" xr3:uid="{A16543A8-B6D3-E746-8D8B-CF58D41EC5F0}" name="Maintain an up-to-date list of all authorized software that is required in the enterprise for any business purpose on any business system." dataDxfId="162"/>
    <tableColumn id="12" xr3:uid="{E63B8262-758D-7942-8D14-A7F1FEB1FFAC}" name="Ensure that only software applications or operating systems currently supported and receiving vendor updates are added to the organization's authorized software inventory. Unsupported software should be tagged as unsupported in the inventory system." dataDxfId="161"/>
    <tableColumn id="13" xr3:uid="{AEA0DE8A-7D8A-1246-939F-742DE33A70DB}" name="Utilize software inventory tools throughout the organization to automate the documentation of all software on business systems." dataDxfId="160"/>
    <tableColumn id="14" xr3:uid="{E0A8BA13-E450-E240-9057-CF1AEFDFA7D4}" name="The software inventory system should track the name, version, publisher, and install date for all software, including operating systems authorized by the organization." dataDxfId="159"/>
    <tableColumn id="15" xr3:uid="{E245E010-D8A6-624D-B7E5-CA588C1E12AF}" name="The software inventory system should be tied into the hardware asset inventory so all devices and associated software are tracked from a single location." dataDxfId="158"/>
    <tableColumn id="16" xr3:uid="{AA7D39B7-A89F-A241-B8CF-B69FA0D22D1C}" name="Ensure that unauthorized software is either removed or the inventory is updated in a timely manner." dataDxfId="157"/>
    <tableColumn id="17" xr3:uid="{A6A60BB1-2143-8048-9F27-5EECEBE03833}" name="Utilize application whitelisting technology on all assets to ensure that only authorized software executes and all unauthorized software is blocked from executing on assets." dataDxfId="156"/>
    <tableColumn id="18" xr3:uid="{3AC71534-E1FC-E54C-93FD-C9DCF79A824F}" name="The organization's application whitelisting software must ensure that only authorized software libraries (such as *.dll, *.ocx, *.so, etc.) are allowed to load into a system process." dataDxfId="155"/>
    <tableColumn id="19" xr3:uid="{BB435CC0-0986-C04D-9299-BD5C11C7CA9E}" name="The organization's application whitelisting software must ensure that only authorized, digitally signed scripts (such as *.ps1,*.py, macros, etc.) are allowed to run on a system." dataDxfId="154"/>
    <tableColumn id="20" xr3:uid="{A4CFEC1B-2C3D-EC48-BA92-C04DAC6D4E26}" name="Physically or logically segregated systems should be used to isolate and run software that is required for business operations but incurs higher risk for the organization." dataDxfId="153"/>
    <tableColumn id="21" xr3:uid="{C6A3BE77-837C-2448-BE36-DD292D760D58}" name="Utilize an up-to-date Security Content Automation Protocol (SCAP) compliant vulnerability scanning tool to automatically scan all systems on the network on a weekly or more frequent basis to identify all potential vulnerabilities on the organization's sys" dataDxfId="152"/>
    <tableColumn id="22" xr3:uid="{90DBDF02-A96D-0945-83E7-E117651287C8}" name="Perform authenticated vulnerability scanning with agents running locally on each system or with remote scanners that are configured with elevated rights on the system being tested." dataDxfId="151"/>
    <tableColumn id="23" xr3:uid="{489113FA-AB80-7A4D-8474-06922E6398D4}" name="Use a dedicated account for authenticated vulnerability scans, which should not be used for any other administrative activities and should be tied to specific machines at specific IP addresses." dataDxfId="150"/>
    <tableColumn id="24" xr3:uid="{49C71001-5EA7-FF49-B5D9-C09FE134779F}" name="Deploy automated software update tools in order to ensure that the operating systems are running the most recent security updates provided by the software vendor." dataDxfId="149"/>
    <tableColumn id="25" xr3:uid="{6A66CC57-FE1C-7648-9062-7502C65BE559}" name="Deploy automated software update tools in order to ensure that third-party software on all systems is running the most recent security updates provided by the software vendor." dataDxfId="148"/>
    <tableColumn id="26" xr3:uid="{459AFC5A-07B7-8443-BA77-4C894F5BBC5F}" name="Regularly compare the results from consecutive vulnerability scans to verify that vulnerabilities have been remediated in a timely manner." dataDxfId="147"/>
    <tableColumn id="27" xr3:uid="{EEF0C024-3E99-7F4E-8F8A-A23DC8642DF5}" name="Utilize a risk-rating process to prioritize the remediation of discovered vulnerabilities." dataDxfId="146"/>
    <tableColumn id="28" xr3:uid="{EB85F7A7-1CE7-744C-A566-3E40DB3511D0}" name="Use automated tools to inventory all administrative accounts, including domain and local accounts, to ensure that only authorized individuals have elevated privileges." dataDxfId="145"/>
    <tableColumn id="29" xr3:uid="{22851DA5-31EC-4B4E-A2D1-394989A1D1A8}" name="Before deploying any new asset, change all default passwords to have values consistent with administrative level accounts." dataDxfId="144"/>
    <tableColumn id="30" xr3:uid="{DF2F9432-7C0E-394A-8641-D92B4D2C5769}" name="Ensure that all users with administrative account access use a dedicated or secondary account for elevated activities. This account should only be used for administrative activities and not Internet browsing, email, or similar activities." dataDxfId="143"/>
    <tableColumn id="31" xr3:uid="{F362CE95-E36E-AF41-8F0C-DCB85BED63D5}" name="Where multi-factor authentication is not supported (such as local administrator, root, or service accounts), accounts will use passwords that are unique to that system." dataDxfId="142"/>
    <tableColumn id="32" xr3:uid="{70B5A256-6440-2043-AEC9-B660217B4969}" name="Use multi-factor authentication and encrypted channels for all administrative account access." dataDxfId="141"/>
    <tableColumn id="33" xr3:uid="{A64BCCCD-EEB8-F04F-845D-3258CDC64A19}" name="Ensure administrators use a dedicated machine for all administrative tasks or tasks requiring administrative access. This machine will be segmented from the organization's primary network and not be allowed Internet access. This machine will not be used f" dataDxfId="140"/>
    <tableColumn id="34" xr3:uid="{D760C72D-2C8D-E14C-9AD2-F3790BCC530C}" name="Limit access to scripting tools (such as Microsoft® PowerShell and Python) to only administrative or development users with the need to access those capabilities." dataDxfId="139"/>
    <tableColumn id="35" xr3:uid="{8D5839EA-A080-0E41-ABC6-ACDAA579644E}" name="Configure systems to issue a log entry and alert when an account is added to or removed from any group assigned administrative privileges." dataDxfId="138"/>
    <tableColumn id="36" xr3:uid="{F23A395F-03EC-FA45-80B7-D6A5F1B91CBF}" name="Configure systems to issue a log entry and alert on unsuccessful logins to an administrative account." dataDxfId="137"/>
    <tableColumn id="37" xr3:uid="{ECF06445-BF09-084E-9AD3-57E1DE568DCB}" name="Maintain documented security configuration standards for all authorized operating systems and software." dataDxfId="136"/>
    <tableColumn id="38" xr3:uid="{7BCCEB5E-72C0-FC44-9D4E-1CA4CAA03465}" name="Maintain secure images or templates for all systems in the enterprise based on the organization's approved configuration standards. Any new system deployment or existing system that becomes compromised should be imaged using one of those images or templat" dataDxfId="135"/>
    <tableColumn id="39" xr3:uid="{D0A5D21E-E6FF-464E-AE82-9BF684C9FAD2}" name="Store the master images and templates on securely configured servers, validated with integrity monitoring tools, to ensure that only authorized changes to the images are possible." dataDxfId="134"/>
    <tableColumn id="40" xr3:uid="{9263FE47-3492-4A41-9E49-D57EDFB5A46A}" name="Deploy system configuration management tools that will automatically enforce and redeploy configuration settings to systems at regularly scheduled intervals." dataDxfId="133"/>
    <tableColumn id="41" xr3:uid="{39A50DEE-66EE-B048-9342-B33F687A3770}" name="Utilize a Security Content Automation Protocol (SCAP) compliant configuration monitoring system to verify all security configuration elements, catalog approved exceptions, and alert when unauthorized changes occur." dataDxfId="132"/>
    <tableColumn id="42" xr3:uid="{2583E4D5-0880-B44B-B28D-01CF4396DA47}" name="Use at least three synchronized time sources from which all servers and network devices retrieve time information on a regular basis so that timestamps in logs are consistent." dataDxfId="131"/>
    <tableColumn id="43" xr3:uid="{B259DBCF-CDD4-FA41-80D6-7C751EAE3466}" name="Ensure that local logging has been enabled on all systems and networking devices." dataDxfId="130"/>
    <tableColumn id="44" xr3:uid="{A3746724-5821-4E4A-A2FE-6289B74BE6E3}" name="Enable system logging to include detailed information such as an event source, date, user, timestamp, source addresses, destination addresses, and other useful elements." dataDxfId="129"/>
    <tableColumn id="45" xr3:uid="{CD7FB87C-A8B7-C646-8F74-ACF0FEEFFAF7}" name="Ensure that all systems that store logs have adequate storage space for the logs generated." dataDxfId="128"/>
    <tableColumn id="46" xr3:uid="{866A5B48-C95F-E64C-A8A0-5A1763DF011C}" name="Ensure that appropriate logs are being aggregated to a central log management system for analysis and review." dataDxfId="127"/>
    <tableColumn id="47" xr3:uid="{7A614A2F-03B6-9642-8FAC-C6485D344ED4}" name="Deploy Security Information and Event Management (SIEM) or log analytic tools for log correlation and analysis" dataDxfId="126"/>
    <tableColumn id="48" xr3:uid="{F0D53B20-FCF2-FC4D-9352-70E2ADD959FD}" name="On a regular basis, review logs to identify anomalies or abnormal events." dataDxfId="125"/>
    <tableColumn id="49" xr3:uid="{9D3FA08B-15DB-CA41-A11E-55E0E11A44DD}" name="On a regular basis, tune your SIEM system to better identify actionable events and decrease event noise." dataDxfId="124"/>
    <tableColumn id="50" xr3:uid="{B38184BB-6139-6847-9A32-8B4E4D2D4686}" name="Ensure that only fully supported web browsers and email clients are allowed to execute in the organization, ideally only using the latest version of the browsers and email clients provided by the vendor." dataDxfId="123"/>
    <tableColumn id="51" xr3:uid="{203D5F7F-3A14-604D-A778-5F87D2B8B449}" name="Uninstall or disable any unauthorized browser or email client plugins or add-on applications." dataDxfId="122"/>
    <tableColumn id="52" xr3:uid="{2F2998F6-D55F-1345-8CF2-157365474A96}" name="Ensure that only authorized scripting languages are able to run in all web browsers and email clients." dataDxfId="121"/>
    <tableColumn id="53" xr3:uid="{88C816E3-4797-1F4B-B5D3-CBBCBF349EC9}" name="Enforce network-based URL filters that limit a system's ability to connect to websites not approved by the organization. This filtering shall be enforced for each of the organization's systems, whether they are physically at an organization's facilities o" dataDxfId="120"/>
    <tableColumn id="54" xr3:uid="{6CA11685-232C-4E44-A7E5-10E2A42BD345}" name="Subscribe to URL-categorization services to ensure that they are up-to-date with the most recent website category definitions available. Uncategorized sites shall be blocked by default." dataDxfId="119"/>
    <tableColumn id="55" xr3:uid="{980BC010-4C40-1844-818B-89D8BB27369D}" name="Log all URL requests from each of the organization's systems, whether on-site or a mobile device, in order to identify potentially malicious activity and assist incident handlers with identifying potentially compromised systems." dataDxfId="118"/>
    <tableColumn id="56" xr3:uid="{16400273-F2F4-8F41-B824-9321FEA8F4B2}" name="Use Domain Name System (DNS) filtering services to help block access to known malicious domains." dataDxfId="117"/>
    <tableColumn id="57" xr3:uid="{8E41B15E-E74E-1E4F-A8A3-2478D76A7BDC}" name="To lower the chance of spoofed or modified emails from valid domains, implement Domain-based Message Authentication, Reporting and Conformance (DMARC) policy and verification, starting by implementing the Sender Policy Framework (SPF) and the DomainKeys I" dataDxfId="116"/>
    <tableColumn id="58" xr3:uid="{D4F534E1-7F80-7240-B011-2BC1C16913BB}" name="Block all email attachments entering the organization's email gateway if the file types are unnecessary for the organization's business." dataDxfId="115"/>
    <tableColumn id="59" xr3:uid="{E9A489FF-6D4C-9E42-AA07-E31A4515F0BC}" name="Use sandboxing to analyze and block inbound email attachments with malicious behavior." dataDxfId="114"/>
    <tableColumn id="60" xr3:uid="{E8384A97-FB77-D44D-A80D-9BC85034CF3F}" name="Utilize centrally managed anti-malware software to continuously monitor and defend each of the organization's workstations and servers." dataDxfId="113"/>
    <tableColumn id="61" xr3:uid="{886FEBFB-3F4E-D745-900C-189AC81D638D}" name="Ensure that the organization's anti-malware software updates its scanning engine and signature database on a regular basis." dataDxfId="112"/>
    <tableColumn id="62" xr3:uid="{B7D5AE76-EFF2-004E-A729-05A6A3C7F8DC}" name="Enable anti-exploitation features such as Data Execution Prevention (DEP) and Address Space Layout Randomization (ASLR) that are available in an operating system or deploy appropriate toolkits that can be configured to apply protection to a broader set of" dataDxfId="111"/>
    <tableColumn id="63" xr3:uid="{1E7C6850-1803-2C45-8BDA-78C8D03A9C96}" name="Configure devices so that they automatically conduct an anti-malware scan of removable media when inserted or connected." dataDxfId="110"/>
    <tableColumn id="64" xr3:uid="{C18E314D-2507-114B-B61C-09D525317F01}" name="Configure devices to not auto-run content from removable media." dataDxfId="109"/>
    <tableColumn id="65" xr3:uid="{61F35686-A822-DE42-8E82-5BF1EC2D9D8A}" name="Send all malware detection events to enterprise anti-malware administration tools and event log servers for analysis and alerting." dataDxfId="108"/>
    <tableColumn id="66" xr3:uid="{C1E03AA1-AB45-914D-BB60-CE772F9D7478}" name="Enable Domain Name System (DNS) query logging to detect hostname lookups for known malicious domains." dataDxfId="107"/>
    <tableColumn id="67" xr3:uid="{962CC465-DBB1-6441-960D-262D3D65594F}" name="Enable command-line audit logging for command shells, such as Microsoft PowerShell and Bash." dataDxfId="106"/>
    <tableColumn id="68" xr3:uid="{884D2E5B-DDB8-754A-A233-6474739F0DDB}" name="Associate active ports, services, and protocols to the hardware assets in the asset inventory." dataDxfId="105"/>
    <tableColumn id="69" xr3:uid="{360AFD8D-3F38-CD49-AAE0-933FD03D27DF}" name="Ensure that only network ports, protocols, and services listening on a system with validated business needs are running on each system." dataDxfId="104"/>
    <tableColumn id="70" xr3:uid="{F1D2C1D2-AC57-0F43-8602-FD714BB00020}" name="Perform automated port scans on a regular basis against all systems and alert if unauthorized ports are detected on a system." dataDxfId="103"/>
    <tableColumn id="71" xr3:uid="{B199D8FF-C202-6344-AC87-1472846B55CC}" name="Apply host-based firewalls or port-filtering tools on end systems, with a default-deny rule that drops all traffic except those services and ports that are explicitly allowed." dataDxfId="102"/>
    <tableColumn id="72" xr3:uid="{97DC8EFF-B328-8642-A1B3-5F287B740317}" name="Place application firewalls in front of any critical servers to verify and validate the traffic going to the server. Any unauthorized traffic should be blocked and logged." dataDxfId="101"/>
    <tableColumn id="73" xr3:uid="{866EE81D-C860-6344-8F7C-B01A025F835B}" name="Ensure that all system data is automatically backed up on a regular basis." dataDxfId="100"/>
    <tableColumn id="74" xr3:uid="{DB4FDC87-8F31-C14D-9EB8-7162E5A2AFB7}" name="Ensure that all of the organization's key systems are backed up as a complete system, through processes such as imaging, to enable the quick recovery of an entire system." dataDxfId="99"/>
    <tableColumn id="75" xr3:uid="{6E7C34CB-3C2D-0749-8D92-EA682303D80D}" name="Test data integrity on backup media on a regular basis by performing a data restoration process to ensure that the backup is properly working." dataDxfId="98"/>
    <tableColumn id="76" xr3:uid="{5BB8F1B3-0582-9848-B2E5-F3FF229BD5B0}" name="Ensure that backups are properly protected via physical security or encryption when they are stored, as well as when they are moved across the network. This includes remote backups and cloud services." dataDxfId="97"/>
    <tableColumn id="77" xr3:uid="{7FFDEE24-7D5A-7040-91CE-1D77C76F366C}" name="Ensure that all backups have at least one offline (i.e., not accessible via a network connection) backup destination." dataDxfId="96"/>
    <tableColumn id="78" xr3:uid="{F0076CB2-65BE-FD43-AAE9-DCF6370722C4}" name="Maintain documented security configuration standards for all authorized network devices." dataDxfId="95"/>
    <tableColumn id="79" xr3:uid="{CB6E3FC6-3CAB-D34B-82F4-9CB5EF5C01E4}" name="All configuration rules that allow traffic to flow through network devices should be documented in a configuration management system with a specific business reason for each rule, a specific individual’s name responsible for that business need, and an exp" dataDxfId="94"/>
    <tableColumn id="80" xr3:uid="{C5DEBC5E-4733-BD40-A5D1-00F8356BBFE5}" name="Compare all network device configurations against approved security configurations defined for each network device in use, and alert when any deviations are discovered." dataDxfId="93"/>
    <tableColumn id="81" xr3:uid="{C4572020-5EBF-7648-86F5-019212E0F8DE}" name="Install the latest stable version of any security-related updates on all network devices." dataDxfId="92"/>
    <tableColumn id="82" xr3:uid="{646FF647-CE7C-9C42-B301-F9ECB1C2FBA0}" name="Manage all network devices using multi-factor authentication and encrypted sessions." dataDxfId="91"/>
    <tableColumn id="83" xr3:uid="{806835C7-84D8-524F-992E-231F8D753C9B}" name="Ensure network engineers use a dedicated machine for all administrative tasks or tasks requiring elevated access. This machine shall be segmented from the organization's primary network and not be allowed Internet access. This machine shall not be used fo" dataDxfId="90"/>
    <tableColumn id="84" xr3:uid="{4DF3210C-3847-1844-A609-EF2CDB47B669}" name="Manage the network infrastructure across network connections that are separated from the business use of that network, relying on separate VLANs or, preferably, on entirely different physical connectivity for management sessions for network devices." dataDxfId="89"/>
    <tableColumn id="85" xr3:uid="{5A3EA8DC-0977-3341-8E49-2C5901ECB0B3}" name="Maintain an up-to-date inventory of all of the organization's network boundaries." dataDxfId="88"/>
    <tableColumn id="86" xr3:uid="{BFB0808D-28C1-A444-9102-8DF4377BFF83}" name="Perform regular scans from outside each trusted network boundary to detect any unauthorized connections which are accessible across the boundary." dataDxfId="87"/>
    <tableColumn id="87" xr3:uid="{24D286A5-660A-104E-8E7E-15401213572B}" name="Deny communications with known malicious or unused Internet IP addresses and limit access only to trusted and necessary IP address ranges at each of the organization's network boundaries." dataDxfId="86"/>
    <tableColumn id="88" xr3:uid="{AB81583F-8886-B046-82EE-2E9070E3BA9A}" name="Deny communication over unauthorized TCP or UDP ports or application traffic to ensure that only authorized protocols are allowed to cross the network boundary in or out of the network at each of the organization's network boundaries." dataDxfId="85"/>
    <tableColumn id="89" xr3:uid="{1F0D7C31-1BC3-BE4A-947C-EC5F98074C7F}" name="Configure monitoring systems to record network packets passing through the boundary at each of the organization's network boundaries." dataDxfId="84"/>
    <tableColumn id="90" xr3:uid="{D9DAD665-65F0-994D-9021-37E4A877333F}" name="Deploy network-based Intrusion Detection Systems (IDS) sensors to look for unusual attack mechanisms and detect compromise of these systems at each of the organization's network boundaries." dataDxfId="83"/>
    <tableColumn id="91" xr3:uid="{0F5755C2-C806-684D-A038-CB1A157D2D10}" name="Deploy network-based Intrusion Prevention Systems (IPS) to block malicious network traffic at each of the organization's network boundaries." dataDxfId="82"/>
    <tableColumn id="92" xr3:uid="{B06C93D2-D0FA-2747-8632-4792ABA65529}" name="Enable the collection of NetFlow and logging data on all network boundary devices." dataDxfId="81"/>
    <tableColumn id="93" xr3:uid="{481316CF-B408-614D-B318-534E5C540E8C}" name="Ensure that all network traffic to or from the Internet passes through an authenticated application layer proxy that is configured to filter unauthorized connections." dataDxfId="80"/>
    <tableColumn id="94" xr3:uid="{50A4C714-5A6D-2C49-9EF0-F9383AD09D54}" name="Decrypt all encrypted network traffic at the boundary proxy prior to analyzing the content. However, the organization may use whitelists of allowed sites that can be accessed through the proxy without decrypting the traffic." dataDxfId="79"/>
    <tableColumn id="95" xr3:uid="{3D1A8659-BE71-C243-981A-004BECBB6852}" name="Require all remote login access to the organization's network to encrypt data in transit and use multi-factor authentication." dataDxfId="78"/>
    <tableColumn id="96" xr3:uid="{6CF3518C-DEBA-2846-AD7D-61C825AD3D99}" name="Scan all enterprise devices remotely logging into the organization's network prior to accessing the network to ensure that each of the organization's security policies has been enforced in the same manner as local network devices." dataDxfId="77"/>
    <tableColumn id="97" xr3:uid="{F1B2B706-DB00-344D-AE30-440DDDD073CA}" name="Maintain an inventory of all sensitive information stored, processed, or transmitted by the organization's technology systems, including those located on-site or at a remote service provider." dataDxfId="76"/>
    <tableColumn id="98" xr3:uid="{DDA9A8AE-FE9C-BE42-83EB-9C6C3886AC02}" name="Remove sensitive data or systems not regularly accessed by the organization from the network. These systems shall only be used as stand-alone systems (disconnected from the network) by the business unit needing to occasionally use the system or completely" dataDxfId="75"/>
    <tableColumn id="99" xr3:uid="{C6917176-9FF7-CF46-8651-345FAC6394DF}" name="Deploy an automated tool on network perimeters that monitors for unauthorized transfer of sensitive information and blocks such transfers while alerting information security professionals." dataDxfId="74"/>
    <tableColumn id="100" xr3:uid="{E4474C19-6E16-7B49-B9DB-8264DA630232}" name="Only allow access to authorized cloud storage or email providers." dataDxfId="73"/>
    <tableColumn id="101" xr3:uid="{21B37481-DCFF-3548-8EA7-739557453CD5}" name="Monitor all traffic leaving the organization and detect any unauthorized use of encryption." dataDxfId="72"/>
    <tableColumn id="102" xr3:uid="{FC77C3AD-664D-1E4E-9E2E-2D70D1EA4415}" name="Utilize approved cryptographic mechanisms to protect enterprise data stored on all mobile devices." dataDxfId="71"/>
    <tableColumn id="103" xr3:uid="{8F89C18D-01BE-7D48-AF3B-2E9923FB52C8}" name="If USB storage devices are required, enterprise software should be used that can configure systems to allow the use of specific devices. An inventory of such devices should be maintained." dataDxfId="70"/>
    <tableColumn id="104" xr3:uid="{C2C330E8-07B1-224B-8C6A-62CECBC78668}" name="Configure systems not to write data to external removable media, if there is no business need for supporting such devices." dataDxfId="69"/>
    <tableColumn id="105" xr3:uid="{AAC06D23-B164-F940-B3CC-82DC3899B70E}" name="If USB storage devices are required, all data stored on such devices must be encrypted while at rest." dataDxfId="68"/>
    <tableColumn id="106" xr3:uid="{ECF4FCC9-0803-9543-B7BC-84626F166D34}" name="Segment the network based on the label or classification level of the information stored on the servers, locate all sensitive information on separated Virtual Local Area Networks (VLANs)." dataDxfId="67"/>
    <tableColumn id="107" xr3:uid="{9266C558-EA57-A746-BF4C-A4A17389382B}" name="Enable firewall filtering between VLANs to ensure that only authorized systems are able to communicate with other systems necessary to fulfill their specific responsibilities." dataDxfId="66"/>
    <tableColumn id="108" xr3:uid="{452D39A8-98D2-8647-B6A1-704AB7206A4C}" name="Disable all workstation-to-workstation communication to limit an attacker's ability to move laterally and compromise neighboring systems, through technologies such as private VLANs or micro segmentation." dataDxfId="65"/>
    <tableColumn id="109" xr3:uid="{BB12A661-6224-594C-BD52-847C4F5796B1}" name="Encrypt all sensitive information in transit." dataDxfId="64"/>
    <tableColumn id="110" xr3:uid="{11B25B43-B5B9-0149-A52E-5B00BD2B7E33}" name="Utilize an active discovery tool to identify all sensitive information stored, processed, or transmitted by the organization's technology systems, including those located on-site or at a remote service provider, and update the organization's sensitive inf" dataDxfId="63"/>
    <tableColumn id="111" xr3:uid="{B06D4C3E-4D23-3244-A4D8-D547A8C2AC06}" name="Protect all information stored on systems with file system, network share, claims, application, or database specific access control lists. These controls will enforce the principle that only authorized individuals should have access to the information bas" dataDxfId="62"/>
    <tableColumn id="112" xr3:uid="{DF2AEB7A-83B9-144E-AFA1-B3ABE0BDF60A}" name="Use an automated tool, such as host-based Data Loss Prevention, to enforce access controls to data even when the data is copied off a system." dataDxfId="61"/>
    <tableColumn id="113" xr3:uid="{95B3D8F3-76FD-1B47-9A61-5E3709365A79}" name="Encrypt all sensitive information at rest using a tool that requires a secondary authentication mechanism not integrated into the operating system, in order to access the information." dataDxfId="60"/>
    <tableColumn id="114" xr3:uid="{05B493AF-3E3E-B646-AC35-9DF29323A7CC}" name="Enforce detailed audit logging for access to sensitive data or changes to sensitive data (utilizing tools such as File Integrity Monitoring or Security Information and Event Monitoring)." dataDxfId="59"/>
    <tableColumn id="115" xr3:uid="{F9AB721B-8360-EA40-9E6C-8B6051BCB4C4}" name="Maintain an inventory of authorized wireless access points connected to the wired network." dataDxfId="58"/>
    <tableColumn id="116" xr3:uid="{0F3D5879-F38E-2846-9ED0-7CD1066A6D0D}" name="Configure network vulnerability scanning tools to detect and alert on unauthorized wireless access points connected to the wired network." dataDxfId="57"/>
    <tableColumn id="117" xr3:uid="{71AB876E-0734-AE40-A654-EEF3B978AC82}" name="Use a wireless intrusion detection system (WIDS) to detect and alert on unauthorized wireless access points connected to the network." dataDxfId="56"/>
    <tableColumn id="118" xr3:uid="{8480E631-161C-1949-BE80-AE2F2834F5C6}" name="Disable wireless access on devices that do not have a business purpose for wireless access." dataDxfId="55"/>
    <tableColumn id="119" xr3:uid="{D7B7093B-F28D-8845-B021-AB8B9503E9DA}" name="Configure wireless access on client machines that do have an essential wireless business purpose, to allow access only to authorized wireless networks and to restrict access to other wireless networks." dataDxfId="54"/>
    <tableColumn id="120" xr3:uid="{D283AE11-E52C-6F4D-9C5A-0CB0CFE8E322}" name="Disable peer-to-peer (ad hoc) wireless network capabilities on wireless clients." dataDxfId="53"/>
    <tableColumn id="121" xr3:uid="{B51F1F4D-5CE5-BF4E-B423-8205C199AAC2}" name="Leverage the Advanced Encryption Standard (AES) to encrypt wireless data in transit." dataDxfId="52"/>
    <tableColumn id="122" xr3:uid="{6313B2DE-0B01-F24C-B96A-A1B80F0EB634}" name="Ensure that wireless networks use authentication protocols such as Extensible Authentication Protocol-Transport Layer Security (EAP/TLS), that requires mutual, multi-factor authentication." dataDxfId="51"/>
    <tableColumn id="123" xr3:uid="{F2C29E84-36E9-1B45-ACA4-7D01349CD42E}" name="Disable wireless peripheral access of devices [such as Bluetooth and Near Field Communication (NFC)], unless such access is required for a business purpose." dataDxfId="50"/>
    <tableColumn id="124" xr3:uid="{7A94DE3D-68B0-7944-A5E2-1676D3CBC667}" name="Create a separate wireless network for personal or untrusted devices. Enterprise access from this network should be treated as untrusted and filtered and audited accordingly." dataDxfId="49"/>
    <tableColumn id="125" xr3:uid="{CF8D0D82-7167-3746-AFF6-8EB06E65C799}" name="Maintain an inventory of each of the organization's authentication systems, including those located on-site or at a remote service provider." dataDxfId="48"/>
    <tableColumn id="126" xr3:uid="{BF9BAD33-7CF7-D54F-9AE2-1344FD80E824}" name="Configure access for all accounts through as few centralized points of authentication as possible, including network, security, and cloud systems." dataDxfId="47"/>
    <tableColumn id="127" xr3:uid="{55152F59-F1EB-064C-BB43-809CFF9DED42}" name="Require multi-factor authentication for all user accounts, on all systems, whether managed on-site or by a third-party provider." dataDxfId="46"/>
    <tableColumn id="128" xr3:uid="{AC41100A-0CCC-4140-B580-366F570D7413}" name="Encrypt or hash with a salt all authentication credentials when stored." dataDxfId="45"/>
    <tableColumn id="129" xr3:uid="{1256195A-F53C-0545-82D2-10EDE4F7AB48}" name="Ensure that all account usernames and authentication credentials are transmitted across networks using encrypted channels." dataDxfId="44"/>
    <tableColumn id="130" xr3:uid="{3DCF5D6B-8BBE-CA4A-A592-3596F622115F}" name="Maintain an inventory of all accounts organized by authentication system." dataDxfId="43"/>
    <tableColumn id="131" xr3:uid="{B1C3DB3F-299F-134A-872F-B44706A61920}" name="Establish and follow an automated process for revoking system access by disabling accounts immediately upon termination or change of responsibilities of an employee or contractor. Disabling these accounts, instead of deleting accounts, allows preservation" dataDxfId="42"/>
    <tableColumn id="132" xr3:uid="{4A1EAEF4-AD4C-6F4E-845C-7DCB73E64197}" name="Disable any account that cannot be associated with a business process or business owner." dataDxfId="41"/>
    <tableColumn id="133" xr3:uid="{E953B14F-47A7-8342-84DD-DBBC9B6D51B3}" name="Automatically disable dormant accounts after a set period of inactivity." dataDxfId="40"/>
    <tableColumn id="134" xr3:uid="{57BB72DA-CADA-C045-90E8-D991ED058024}" name="Ensure that all accounts have an expiration date that is monitored and enforced." dataDxfId="39"/>
    <tableColumn id="135" xr3:uid="{69377FD6-5BA7-F345-A1DD-0CE91DB06C97}" name="Automatically lock workstation sessions after a standard period of inactivity." dataDxfId="38"/>
    <tableColumn id="136" xr3:uid="{999C1E5A-211E-E743-9779-AA7B68F6371B}" name="Monitor attempts to access deactivated accounts through audit logging." dataDxfId="37"/>
    <tableColumn id="137" xr3:uid="{53EBD0E5-58DE-A444-AC48-4829CC22DECF}" name="Alert when users deviate from normal login behavior, such as time-of-day, workstation location, and duration." dataDxfId="36"/>
    <tableColumn id="138" xr3:uid="{56F44031-A129-5546-857B-AAAD8848AA27}" name="Perform a skills gap analysis to understand the skills and behaviors workforce members are not adhering to, using this information to build a baseline education roadmap." dataDxfId="35"/>
    <tableColumn id="139" xr3:uid="{360B96E3-DD82-AB4D-B2C8-C0341E63C29A}" name="Deliver training to address the skills gap identified to positively impact workforce members' security behavior." dataDxfId="34"/>
    <tableColumn id="140" xr3:uid="{4B33BF58-C775-044F-AE49-6E59785D00A1}" name="Create a security awareness program for all workforce members to complete on a regular basis to ensure they understand and exhibit the necessary behaviors and skills to help ensure the security of the organization. The organization's security awareness pr" dataDxfId="33"/>
    <tableColumn id="141" xr3:uid="{C3781F9D-A406-E644-831E-09A6D193AF6A}" name="Ensure that the organization's security awareness program is updated frequently (at least annually) to address new technologies, threats, standards, and business requirements." dataDxfId="32"/>
    <tableColumn id="142" xr3:uid="{EA133BC4-A2A8-B742-8EAC-63645786C4EA}" name="Train workforce members on the importance of enabling and utilizing secure authentication." dataDxfId="31"/>
    <tableColumn id="143" xr3:uid="{7597E348-569F-3C4D-99A9-22901CA322FF}" name="Train the workforce on how to identify different forms of social engineering attacks, such as phishing, phone scams, and impersonation calls." dataDxfId="30"/>
    <tableColumn id="144" xr3:uid="{787DA7B0-F101-0041-94D7-DD3BBE32639C}" name="Train workforce members on how to identify and properly store, transfer, archive, and destroy sensitive information." dataDxfId="29"/>
    <tableColumn id="145" xr3:uid="{8A3D6051-0B02-F74F-AAF8-9BBE07178535}" name="Train workforce members to be aware of causes for unintentional data exposures, such as losing their mobile devices or emailing the wrong person due to autocomplete in email." dataDxfId="28"/>
    <tableColumn id="146" xr3:uid="{7B74C2ED-5034-2B40-9240-453A7875669E}" name="Train workforce members to be able to identify the most common indicators of an incident and be able to report such an incident." dataDxfId="27"/>
    <tableColumn id="147" xr3:uid="{F1B3C2AC-DEE0-9847-88FB-E4B995820BA7}" name="Establish secure coding practices appropriate to the programming language and development environment being used." dataDxfId="26"/>
    <tableColumn id="148" xr3:uid="{9298A8BD-DC63-F646-8A68-F621A94A1B10}" name="For in-house developed software, ensure that explicit error checking is performed and documented for all input, including for size, data type, and acceptable ranges or formats." dataDxfId="25"/>
    <tableColumn id="149" xr3:uid="{21132511-8342-CE48-A4F1-F422AEDD82DD}" name="Verify that the version of all software acquired from outside your organization is still supported by the developer or appropriately hardened based on developer security recommendations." dataDxfId="24"/>
    <tableColumn id="150" xr3:uid="{A1DC81CB-ACEA-3C49-85F8-50535697F507}" name="Only use up-to-date and trusted third-party components for the software developed by the organization." dataDxfId="23"/>
    <tableColumn id="151" xr3:uid="{3C8E1BD5-AA9E-6F4A-B149-B6085688240F}" name="Use only standardized, currently accepted, and extensively reviewed encryption algorithms." dataDxfId="22"/>
    <tableColumn id="152" xr3:uid="{34DCD173-815A-1448-82FF-31C6700F4A0D}" name="Ensure that all software development personnel receive training in writing secure code for their specific development environment and responsibilities." dataDxfId="21"/>
    <tableColumn id="153" xr3:uid="{F8BABC28-6A6D-694E-99D0-9574F4982A58}" name="Apply static and dynamic analysis tools to verify that secure coding practices are being adhered to for internally developed software." dataDxfId="20"/>
    <tableColumn id="154" xr3:uid="{ADF826D4-96E4-254F-8C4A-009111B5D731}" name="Establish a process to accept and address reports of software vulnerabilities, including providing a means for external entities to contact your security group." dataDxfId="19"/>
    <tableColumn id="155" xr3:uid="{E9FEA6C4-E50A-2C4E-8CCA-5BE7D3EC21CA}" name="Maintain separate environments for production and non-production systems. Developers should not have unmonitored access to production environments." dataDxfId="18"/>
    <tableColumn id="156" xr3:uid="{AFAB3700-C30F-9E4E-9E41-053554EB8E4F}" name="Protect web applications by deploying web application firewalls (WAFs) that inspect all traffic flowing to the web application for common web application attacks. For applications that are not web-based, specific application firewalls should be deployed i" dataDxfId="17"/>
    <tableColumn id="157" xr3:uid="{7BF0A7BE-F094-F443-BC74-6614A31AE644}" name="For applications that rely on a database, use standard hardening configuration templates. All systems that are part of critical business processes should also be tested." dataDxfId="16"/>
    <tableColumn id="158" xr3:uid="{33963563-5A4D-2B4F-9959-9DD9A36742AD}" name="Ensure that there are written incident response plans that define roles of personnel as well as phases of incident handling/management." dataDxfId="15"/>
    <tableColumn id="159" xr3:uid="{A187F876-2BB6-C348-BD59-FCE7869DDA36}" name="Assign job titles and duties for handling computer and network incidents to specific individuals, and ensure tracking and documentation throughout the incident through resolution." dataDxfId="14"/>
    <tableColumn id="160" xr3:uid="{7472442C-3EBB-3048-8005-F33473EC7D1C}" name="Designate management personnel, as well as backups, who will support the incident handling process by acting in key decision-making roles." dataDxfId="13"/>
    <tableColumn id="161" xr3:uid="{74493273-4ADC-DD43-B119-B0D3DB905DA8}" name="Devise organization-wide standards for the time required for system administrators and other workforce members to report anomalous events to the incident handling team, the mechanisms for such reporting, and the kind of information that should be included" dataDxfId="12"/>
    <tableColumn id="162" xr3:uid="{35FC7672-FCC3-AC43-9C9A-9B8995868C02}" name="Assemble and maintain information on third-party contact information to be used to report a security incident, such as Law Enforcement, relevant government departments, vendors, and Information Sharing and Analysis Center (ISAC) partners." dataDxfId="11"/>
    <tableColumn id="163" xr3:uid="{B60C85F6-66F4-0C4B-9212-C4384694197E}" name="Publish information for all workforce members, regarding reporting computer anomalies and incidents, to the incident handling team. Such information should be included in routine employee awareness activities." dataDxfId="10"/>
    <tableColumn id="164" xr3:uid="{B7EE9253-5BD2-C242-8415-FD5C4357765B}" name="Plan and conduct routine incident response exercises and scenarios for the workforce involved in the incident response to maintain awareness and comfort in responding to real-world threats. Exercises should test communication channels, decision making, an" dataDxfId="9"/>
    <tableColumn id="165" xr3:uid="{67CFC728-BF77-7D49-9EC2-2639A3E1212E}" name="Create incident scoring and prioritization schema based on known or potential impact to your organization. Utilize score to define frequency of status updates and escalation procedures." dataDxfId="8"/>
    <tableColumn id="166" xr3:uid="{7827FC37-0002-2A44-82C1-6A55EA1FE062}" name="Establish a program for penetration tests that includes a full scope of blended attacks, such as wireless, client-based, and web application attacks." dataDxfId="7"/>
    <tableColumn id="167" xr3:uid="{500A8170-95FB-F341-9919-B07CF8379330}" name="Conduct regular external and internal penetration tests to identify vulnerabilities and attack vectors that can be used to exploit enterprise systems successfully." dataDxfId="6"/>
    <tableColumn id="168" xr3:uid="{06C14040-4B35-1A4C-95F1-451A37317ADF}" name="Perform periodic Red Team exercises to test organizational readiness to identify and stop attacks or to respond quickly and effectively." dataDxfId="5"/>
    <tableColumn id="169" xr3:uid="{5D8CF060-2A72-A14E-ABAB-05F3127D3BA8}" name="Include tests for the presence of unprotected system information and artifacts that would be useful to attackers, including network diagrams, configuration files, older penetration test reports, emails or documents containing passwords or other informatio" dataDxfId="4"/>
    <tableColumn id="170" xr3:uid="{26192BED-7E77-414B-B971-0139B094F85F}" name="Create a test bed that mimics a production environment for specific penetration tests and Red Team attacks against elements that are not typically tested in production, such as attacks against supervisory control and data acquisition and other control sys" dataDxfId="3"/>
    <tableColumn id="171" xr3:uid="{106E65F4-0970-4C41-9FBA-338D9C1EEB3B}" name="Use vulnerability scanning and penetration testing tools in concert. The results of vulnerability scanning assessments should be used as a starting point to guide and focus penetration testing efforts." dataDxfId="2"/>
    <tableColumn id="172" xr3:uid="{9387834E-153D-0F42-9B82-81B8AFCB96F3}" name="Wherever possible, ensure that Red Team results are documented using open, machine-readable standards (e.g., SCAP). Devise a scoring method for determining the results of Red Team exercises so that results can be compared over time." dataDxfId="1"/>
    <tableColumn id="173" xr3:uid="{0885F858-1B1F-1E48-9FDE-BC6AB8789A85}" name="Any user or system accounts used to perform penetration testing should be controlled and monitored to make sure they are only being used for legitimate purposes, and are removed or restored to normal function after testing is over."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6" dT="2020-12-07T21:44:37.42" personId="{EBCA0E1A-3166-4176-B074-7082745F7146}" id="{87D32821-166B-48C5-841D-ECCB76AAE1E9}">
    <text>Date when Anaylst submits request.</text>
  </threadedComment>
  <threadedComment ref="N7" dT="2020-12-07T21:45:04.74" personId="{EBCA0E1A-3166-4176-B074-7082745F7146}" id="{93F1A2C8-3917-47BE-A9CD-27195640DCFF}">
    <text>Date when Security completes review.</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35D-E9D7-4A1A-B084-C5F14B518B3E}">
  <sheetPr>
    <tabColor rgb="FF00B050"/>
    <pageSetUpPr fitToPage="1"/>
  </sheetPr>
  <dimension ref="A1:W207"/>
  <sheetViews>
    <sheetView showGridLines="0" tabSelected="1" zoomScale="60" zoomScaleNormal="60" workbookViewId="0">
      <pane ySplit="1" topLeftCell="A2" activePane="bottomLeft" state="frozen"/>
      <selection pane="bottomLeft" activeCell="AA192" sqref="AA192"/>
    </sheetView>
  </sheetViews>
  <sheetFormatPr baseColWidth="10" defaultColWidth="11.1640625" defaultRowHeight="21"/>
  <cols>
    <col min="1" max="1" width="4.6640625" customWidth="1"/>
    <col min="2" max="2" width="13.6640625" style="218" customWidth="1"/>
    <col min="3" max="3" width="10.1640625" style="1" bestFit="1" customWidth="1"/>
    <col min="4" max="4" width="11.1640625" style="215"/>
    <col min="5" max="11" width="11.1640625" style="3"/>
    <col min="12" max="13" width="11.1640625" style="220"/>
    <col min="14" max="14" width="11.1640625" style="3"/>
    <col min="15" max="17" width="11.1640625" style="41"/>
    <col min="18" max="22" width="11.1640625" style="43" hidden="1" customWidth="1"/>
    <col min="23" max="23" width="4.6640625" customWidth="1"/>
  </cols>
  <sheetData>
    <row r="1" spans="1:23" ht="66" customHeight="1" thickBot="1">
      <c r="D1" s="474" t="s">
        <v>1709</v>
      </c>
      <c r="E1" s="474"/>
      <c r="F1" s="474"/>
      <c r="G1" s="474"/>
      <c r="H1" s="474"/>
      <c r="I1" s="474"/>
      <c r="J1" s="474"/>
      <c r="K1" s="474"/>
      <c r="L1" s="474"/>
      <c r="M1" s="474"/>
      <c r="N1" s="472" t="s">
        <v>1488</v>
      </c>
      <c r="O1" s="473"/>
      <c r="P1" s="470">
        <f>(COUNTIF(L58:L181,"")-19)+(COUNTIF(L45:L53,""))</f>
        <v>114</v>
      </c>
      <c r="Q1" s="471"/>
      <c r="R1" s="264"/>
      <c r="S1" s="264"/>
      <c r="T1" s="264"/>
      <c r="U1" s="264"/>
      <c r="V1" s="264"/>
    </row>
    <row r="2" spans="1:23" ht="22" thickBot="1"/>
    <row r="3" spans="1:23" ht="27" thickTop="1">
      <c r="A3" s="476" t="s">
        <v>1710</v>
      </c>
      <c r="B3" s="477"/>
      <c r="C3" s="477"/>
      <c r="D3" s="477"/>
      <c r="E3" s="477"/>
      <c r="F3" s="477"/>
      <c r="G3" s="477"/>
      <c r="H3" s="477"/>
      <c r="I3" s="477"/>
      <c r="J3" s="477"/>
      <c r="K3" s="477"/>
      <c r="L3" s="477"/>
      <c r="M3" s="477"/>
      <c r="N3" s="477"/>
      <c r="O3" s="477"/>
      <c r="P3" s="477"/>
      <c r="Q3" s="477"/>
      <c r="R3" s="477"/>
      <c r="S3" s="477"/>
      <c r="T3" s="477"/>
      <c r="U3" s="477"/>
      <c r="V3" s="477"/>
      <c r="W3" s="478"/>
    </row>
    <row r="4" spans="1:23">
      <c r="A4" s="234"/>
      <c r="B4" s="312"/>
      <c r="C4" s="229"/>
      <c r="D4" s="230"/>
      <c r="E4" s="313"/>
      <c r="F4" s="313"/>
      <c r="G4" s="313"/>
      <c r="H4" s="313"/>
      <c r="I4" s="313"/>
      <c r="J4" s="313"/>
      <c r="K4" s="313"/>
      <c r="L4" s="232"/>
      <c r="M4" s="232"/>
      <c r="N4" s="313"/>
      <c r="O4" s="314"/>
      <c r="P4" s="314"/>
      <c r="Q4" s="314"/>
      <c r="R4" s="277"/>
      <c r="S4" s="277"/>
      <c r="T4" s="277"/>
      <c r="U4" s="277"/>
      <c r="V4" s="277"/>
      <c r="W4" s="235"/>
    </row>
    <row r="5" spans="1:23" ht="20.25" customHeight="1">
      <c r="A5" s="234"/>
      <c r="B5" s="452" t="s">
        <v>1489</v>
      </c>
      <c r="C5" s="453"/>
      <c r="D5" s="453"/>
      <c r="E5" s="453"/>
      <c r="F5" s="453"/>
      <c r="G5" s="453"/>
      <c r="H5" s="453"/>
      <c r="I5" s="453"/>
      <c r="J5" s="453"/>
      <c r="K5" s="453"/>
      <c r="L5" s="453"/>
      <c r="M5" s="453"/>
      <c r="N5" s="453"/>
      <c r="O5" s="453"/>
      <c r="P5" s="453"/>
      <c r="Q5" s="454"/>
      <c r="R5" s="274"/>
      <c r="S5" s="274"/>
      <c r="T5" s="274"/>
      <c r="U5" s="274"/>
      <c r="V5" s="274"/>
      <c r="W5" s="235"/>
    </row>
    <row r="6" spans="1:23" ht="20.25" customHeight="1">
      <c r="A6" s="234"/>
      <c r="B6" s="468" t="s">
        <v>1286</v>
      </c>
      <c r="C6" s="468"/>
      <c r="D6" s="468"/>
      <c r="E6" s="462"/>
      <c r="F6" s="463"/>
      <c r="G6" s="463"/>
      <c r="H6" s="463"/>
      <c r="I6" s="463"/>
      <c r="J6" s="463"/>
      <c r="K6" s="463"/>
      <c r="L6" s="464"/>
      <c r="M6" s="226"/>
      <c r="N6" s="459" t="s">
        <v>1545</v>
      </c>
      <c r="O6" s="459"/>
      <c r="P6" s="488"/>
      <c r="Q6" s="489"/>
      <c r="R6" s="226"/>
      <c r="S6" s="226"/>
      <c r="T6" s="226"/>
      <c r="U6" s="226"/>
      <c r="V6" s="226"/>
      <c r="W6" s="235"/>
    </row>
    <row r="7" spans="1:23" ht="20.25" customHeight="1">
      <c r="A7" s="234"/>
      <c r="B7" s="468" t="s">
        <v>1290</v>
      </c>
      <c r="C7" s="468"/>
      <c r="D7" s="468"/>
      <c r="E7" s="460"/>
      <c r="F7" s="460"/>
      <c r="G7" s="460"/>
      <c r="H7" s="460"/>
      <c r="I7" s="460"/>
      <c r="J7" s="460"/>
      <c r="K7" s="460"/>
      <c r="L7" s="460"/>
      <c r="M7" s="226"/>
      <c r="N7" s="459" t="s">
        <v>1673</v>
      </c>
      <c r="O7" s="459"/>
      <c r="P7" s="479"/>
      <c r="Q7" s="480"/>
      <c r="R7" s="226"/>
      <c r="S7" s="226"/>
      <c r="T7" s="226"/>
      <c r="U7" s="226"/>
      <c r="V7" s="226"/>
      <c r="W7" s="235"/>
    </row>
    <row r="8" spans="1:23" ht="20.25" customHeight="1">
      <c r="A8" s="234"/>
      <c r="B8" s="468" t="s">
        <v>1516</v>
      </c>
      <c r="C8" s="468"/>
      <c r="D8" s="468"/>
      <c r="E8" s="460"/>
      <c r="F8" s="460"/>
      <c r="G8" s="460"/>
      <c r="H8" s="460"/>
      <c r="I8" s="248"/>
      <c r="J8" s="248"/>
      <c r="K8" s="248"/>
      <c r="L8" s="249"/>
      <c r="M8" s="226"/>
      <c r="N8" s="481" t="s">
        <v>1689</v>
      </c>
      <c r="O8" s="481"/>
      <c r="P8" s="479">
        <v>44320</v>
      </c>
      <c r="Q8" s="480"/>
      <c r="R8" s="226"/>
      <c r="S8" s="226"/>
      <c r="T8" s="226"/>
      <c r="U8" s="226"/>
      <c r="V8" s="226"/>
      <c r="W8" s="235"/>
    </row>
    <row r="9" spans="1:23" ht="20.25" customHeight="1">
      <c r="A9" s="234"/>
      <c r="B9" s="468" t="s">
        <v>1708</v>
      </c>
      <c r="C9" s="468"/>
      <c r="D9" s="468"/>
      <c r="E9" s="460"/>
      <c r="F9" s="460"/>
      <c r="G9" s="460"/>
      <c r="H9" s="460"/>
      <c r="I9" s="282"/>
      <c r="J9" s="282"/>
      <c r="K9" s="282"/>
      <c r="L9" s="283"/>
      <c r="M9" s="284"/>
      <c r="N9" s="481" t="s">
        <v>1691</v>
      </c>
      <c r="O9" s="481"/>
      <c r="P9" s="480" t="e">
        <f>DATEDIF(P8,P7,"d")</f>
        <v>#NUM!</v>
      </c>
      <c r="Q9" s="480"/>
      <c r="R9" s="226"/>
      <c r="S9" s="226"/>
      <c r="T9" s="226"/>
      <c r="U9" s="226"/>
      <c r="V9" s="226"/>
      <c r="W9" s="235"/>
    </row>
    <row r="10" spans="1:23" ht="20.25" customHeight="1">
      <c r="A10" s="234"/>
      <c r="B10" s="250"/>
      <c r="C10" s="223"/>
      <c r="D10" s="224"/>
      <c r="E10" s="225"/>
      <c r="F10" s="225"/>
      <c r="G10" s="225"/>
      <c r="H10" s="225"/>
      <c r="I10" s="225"/>
      <c r="J10" s="225"/>
      <c r="K10" s="225"/>
      <c r="L10" s="226"/>
      <c r="M10" s="226"/>
      <c r="N10" s="225"/>
      <c r="O10" s="227"/>
      <c r="P10" s="227"/>
      <c r="Q10" s="227"/>
      <c r="R10" s="226"/>
      <c r="S10" s="226"/>
      <c r="T10" s="226"/>
      <c r="U10" s="226"/>
      <c r="V10" s="226"/>
      <c r="W10" s="235"/>
    </row>
    <row r="11" spans="1:23" ht="20.25" customHeight="1">
      <c r="A11" s="234"/>
      <c r="B11" s="452" t="s">
        <v>1491</v>
      </c>
      <c r="C11" s="453"/>
      <c r="D11" s="453"/>
      <c r="E11" s="453"/>
      <c r="F11" s="453"/>
      <c r="G11" s="453"/>
      <c r="H11" s="453"/>
      <c r="I11" s="453"/>
      <c r="J11" s="453"/>
      <c r="K11" s="453"/>
      <c r="L11" s="453"/>
      <c r="M11" s="453"/>
      <c r="N11" s="453"/>
      <c r="O11" s="453"/>
      <c r="P11" s="453"/>
      <c r="Q11" s="454"/>
      <c r="R11" s="265"/>
      <c r="S11" s="265"/>
      <c r="T11" s="265"/>
      <c r="U11" s="265"/>
      <c r="V11" s="265"/>
      <c r="W11" s="235"/>
    </row>
    <row r="12" spans="1:23" ht="20.25" customHeight="1">
      <c r="A12" s="234"/>
      <c r="B12" s="475" t="s">
        <v>1301</v>
      </c>
      <c r="C12" s="475"/>
      <c r="D12" s="475"/>
      <c r="E12" s="475"/>
      <c r="F12" s="469" t="s">
        <v>1291</v>
      </c>
      <c r="G12" s="469"/>
      <c r="H12" s="469"/>
      <c r="I12" s="469"/>
      <c r="J12" s="469" t="s">
        <v>1490</v>
      </c>
      <c r="K12" s="469"/>
      <c r="L12" s="469"/>
      <c r="M12" s="469"/>
      <c r="N12" s="469" t="s">
        <v>1292</v>
      </c>
      <c r="O12" s="469"/>
      <c r="P12" s="469"/>
      <c r="Q12" s="469"/>
      <c r="R12" s="250"/>
      <c r="S12" s="250"/>
      <c r="T12" s="250"/>
      <c r="U12" s="250"/>
      <c r="V12" s="250"/>
      <c r="W12" s="235"/>
    </row>
    <row r="13" spans="1:23" ht="20.25" customHeight="1">
      <c r="A13" s="234"/>
      <c r="B13" s="467" t="s">
        <v>1514</v>
      </c>
      <c r="C13" s="467"/>
      <c r="D13" s="467"/>
      <c r="E13" s="467"/>
      <c r="F13" s="465"/>
      <c r="G13" s="465"/>
      <c r="H13" s="465"/>
      <c r="I13" s="465"/>
      <c r="J13" s="465"/>
      <c r="K13" s="465"/>
      <c r="L13" s="465"/>
      <c r="M13" s="465"/>
      <c r="N13" s="465"/>
      <c r="O13" s="465"/>
      <c r="P13" s="465"/>
      <c r="Q13" s="465"/>
      <c r="R13" s="250"/>
      <c r="S13" s="250"/>
      <c r="T13" s="250"/>
      <c r="U13" s="250"/>
      <c r="V13" s="250"/>
      <c r="W13" s="235"/>
    </row>
    <row r="14" spans="1:23" ht="20.25" customHeight="1">
      <c r="A14" s="234"/>
      <c r="B14" s="467" t="s">
        <v>1288</v>
      </c>
      <c r="C14" s="467"/>
      <c r="D14" s="467"/>
      <c r="E14" s="467"/>
      <c r="F14" s="465"/>
      <c r="G14" s="465"/>
      <c r="H14" s="465"/>
      <c r="I14" s="465"/>
      <c r="J14" s="465"/>
      <c r="K14" s="465"/>
      <c r="L14" s="465"/>
      <c r="M14" s="465"/>
      <c r="N14" s="465"/>
      <c r="O14" s="465"/>
      <c r="P14" s="465"/>
      <c r="Q14" s="465"/>
      <c r="R14" s="250"/>
      <c r="S14" s="250"/>
      <c r="T14" s="250"/>
      <c r="U14" s="250"/>
      <c r="V14" s="250"/>
      <c r="W14" s="235"/>
    </row>
    <row r="15" spans="1:23" ht="20.25" customHeight="1">
      <c r="A15" s="234"/>
      <c r="B15" s="467" t="s">
        <v>1287</v>
      </c>
      <c r="C15" s="467"/>
      <c r="D15" s="467"/>
      <c r="E15" s="467"/>
      <c r="F15" s="465"/>
      <c r="G15" s="465"/>
      <c r="H15" s="465"/>
      <c r="I15" s="465"/>
      <c r="J15" s="465"/>
      <c r="K15" s="465"/>
      <c r="L15" s="465"/>
      <c r="M15" s="465"/>
      <c r="N15" s="465"/>
      <c r="O15" s="465"/>
      <c r="P15" s="465"/>
      <c r="Q15" s="465"/>
      <c r="R15" s="250"/>
      <c r="S15" s="250"/>
      <c r="T15" s="250"/>
      <c r="U15" s="250"/>
      <c r="V15" s="250"/>
      <c r="W15" s="235"/>
    </row>
    <row r="16" spans="1:23" ht="20.25" customHeight="1">
      <c r="A16" s="234"/>
      <c r="B16" s="467" t="s">
        <v>1515</v>
      </c>
      <c r="C16" s="467"/>
      <c r="D16" s="467"/>
      <c r="E16" s="467"/>
      <c r="F16" s="465"/>
      <c r="G16" s="465"/>
      <c r="H16" s="465"/>
      <c r="I16" s="465"/>
      <c r="J16" s="465"/>
      <c r="K16" s="465"/>
      <c r="L16" s="465"/>
      <c r="M16" s="465"/>
      <c r="N16" s="465"/>
      <c r="O16" s="465"/>
      <c r="P16" s="465"/>
      <c r="Q16" s="465"/>
      <c r="R16" s="250"/>
      <c r="S16" s="250"/>
      <c r="T16" s="250"/>
      <c r="U16" s="250"/>
      <c r="V16" s="250"/>
      <c r="W16" s="235"/>
    </row>
    <row r="17" spans="1:23" ht="20.25" customHeight="1">
      <c r="A17" s="234"/>
      <c r="B17" s="467" t="s">
        <v>1289</v>
      </c>
      <c r="C17" s="467"/>
      <c r="D17" s="467"/>
      <c r="E17" s="467"/>
      <c r="F17" s="465"/>
      <c r="G17" s="465"/>
      <c r="H17" s="465"/>
      <c r="I17" s="465"/>
      <c r="J17" s="465"/>
      <c r="K17" s="465"/>
      <c r="L17" s="465"/>
      <c r="M17" s="465"/>
      <c r="N17" s="465"/>
      <c r="O17" s="465"/>
      <c r="P17" s="465"/>
      <c r="Q17" s="465"/>
      <c r="R17" s="250"/>
      <c r="S17" s="250"/>
      <c r="T17" s="250"/>
      <c r="U17" s="250"/>
      <c r="V17" s="250"/>
      <c r="W17" s="235"/>
    </row>
    <row r="18" spans="1:23" ht="20.25" customHeight="1">
      <c r="A18" s="234"/>
      <c r="B18" s="467"/>
      <c r="C18" s="467"/>
      <c r="D18" s="467"/>
      <c r="E18" s="467"/>
      <c r="F18" s="465"/>
      <c r="G18" s="465"/>
      <c r="H18" s="465"/>
      <c r="I18" s="465"/>
      <c r="J18" s="465"/>
      <c r="K18" s="465"/>
      <c r="L18" s="465"/>
      <c r="M18" s="465"/>
      <c r="N18" s="465"/>
      <c r="O18" s="465"/>
      <c r="P18" s="465"/>
      <c r="Q18" s="465"/>
      <c r="R18" s="250"/>
      <c r="S18" s="250"/>
      <c r="T18" s="250"/>
      <c r="U18" s="250"/>
      <c r="V18" s="250"/>
      <c r="W18" s="235"/>
    </row>
    <row r="19" spans="1:23" ht="20.25" customHeight="1">
      <c r="A19" s="234"/>
      <c r="B19" s="442"/>
      <c r="C19" s="442"/>
      <c r="D19" s="442"/>
      <c r="E19" s="442"/>
      <c r="F19" s="466"/>
      <c r="G19" s="466"/>
      <c r="H19" s="466"/>
      <c r="I19" s="466"/>
      <c r="J19" s="466"/>
      <c r="K19" s="466"/>
      <c r="L19" s="466"/>
      <c r="M19" s="466"/>
      <c r="N19" s="466"/>
      <c r="O19" s="466"/>
      <c r="P19" s="466"/>
      <c r="Q19" s="466"/>
      <c r="R19" s="250"/>
      <c r="S19" s="250"/>
      <c r="T19" s="250"/>
      <c r="U19" s="250"/>
      <c r="V19" s="250"/>
      <c r="W19" s="235"/>
    </row>
    <row r="20" spans="1:23" ht="20.25" customHeight="1">
      <c r="A20" s="234"/>
      <c r="B20" s="452" t="s">
        <v>1492</v>
      </c>
      <c r="C20" s="453"/>
      <c r="D20" s="453"/>
      <c r="E20" s="453"/>
      <c r="F20" s="453"/>
      <c r="G20" s="453"/>
      <c r="H20" s="453"/>
      <c r="I20" s="453"/>
      <c r="J20" s="453"/>
      <c r="K20" s="453"/>
      <c r="L20" s="453"/>
      <c r="M20" s="453"/>
      <c r="N20" s="453"/>
      <c r="O20" s="453"/>
      <c r="P20" s="453"/>
      <c r="Q20" s="454"/>
      <c r="R20" s="266"/>
      <c r="S20" s="266"/>
      <c r="T20" s="266"/>
      <c r="U20" s="266"/>
      <c r="V20" s="266"/>
      <c r="W20" s="235"/>
    </row>
    <row r="21" spans="1:23" ht="20.25" customHeight="1">
      <c r="A21" s="234"/>
      <c r="B21" s="458" t="s">
        <v>1295</v>
      </c>
      <c r="C21" s="458"/>
      <c r="D21" s="458"/>
      <c r="E21" s="460"/>
      <c r="F21" s="460"/>
      <c r="G21" s="460"/>
      <c r="H21" s="460"/>
      <c r="I21" s="460"/>
      <c r="J21" s="460"/>
      <c r="K21" s="460"/>
      <c r="L21" s="226"/>
      <c r="M21" s="226"/>
      <c r="N21" s="225"/>
      <c r="O21" s="227"/>
      <c r="P21" s="227"/>
      <c r="Q21" s="280"/>
      <c r="R21" s="226"/>
      <c r="S21" s="226"/>
      <c r="T21" s="226"/>
      <c r="U21" s="226"/>
      <c r="V21" s="226"/>
      <c r="W21" s="235"/>
    </row>
    <row r="22" spans="1:23" ht="20.25" customHeight="1">
      <c r="A22" s="234"/>
      <c r="B22" s="458" t="s">
        <v>1296</v>
      </c>
      <c r="C22" s="458"/>
      <c r="D22" s="458"/>
      <c r="E22" s="460"/>
      <c r="F22" s="460"/>
      <c r="G22" s="460"/>
      <c r="H22" s="460"/>
      <c r="I22" s="460"/>
      <c r="J22" s="460"/>
      <c r="K22" s="460"/>
      <c r="L22" s="251"/>
      <c r="M22" s="226"/>
      <c r="N22" s="225"/>
      <c r="O22" s="227"/>
      <c r="P22" s="227"/>
      <c r="Q22" s="280"/>
      <c r="R22" s="226"/>
      <c r="S22" s="226"/>
      <c r="T22" s="226"/>
      <c r="U22" s="226"/>
      <c r="V22" s="226"/>
      <c r="W22" s="235"/>
    </row>
    <row r="23" spans="1:23" ht="20.25" customHeight="1">
      <c r="A23" s="234"/>
      <c r="B23" s="458" t="s">
        <v>1294</v>
      </c>
      <c r="C23" s="458"/>
      <c r="D23" s="458"/>
      <c r="E23" s="461"/>
      <c r="F23" s="461"/>
      <c r="G23" s="461"/>
      <c r="H23" s="461"/>
      <c r="I23" s="461"/>
      <c r="J23" s="461"/>
      <c r="K23" s="461"/>
      <c r="L23" s="226"/>
      <c r="M23" s="226"/>
      <c r="N23" s="225"/>
      <c r="O23" s="227"/>
      <c r="P23" s="227"/>
      <c r="Q23" s="280"/>
      <c r="R23" s="226"/>
      <c r="S23" s="226"/>
      <c r="T23" s="226"/>
      <c r="U23" s="226"/>
      <c r="V23" s="226"/>
      <c r="W23" s="235"/>
    </row>
    <row r="24" spans="1:23" ht="48" customHeight="1">
      <c r="A24" s="234"/>
      <c r="B24" s="459" t="s">
        <v>1293</v>
      </c>
      <c r="C24" s="459"/>
      <c r="D24" s="459"/>
      <c r="E24" s="460"/>
      <c r="F24" s="460"/>
      <c r="G24" s="460"/>
      <c r="H24" s="460"/>
      <c r="I24" s="460"/>
      <c r="J24" s="460"/>
      <c r="K24" s="460"/>
      <c r="L24" s="460"/>
      <c r="M24" s="460"/>
      <c r="N24" s="460"/>
      <c r="O24" s="460"/>
      <c r="P24" s="460"/>
      <c r="Q24" s="281"/>
      <c r="R24" s="226"/>
      <c r="S24" s="226"/>
      <c r="T24" s="226"/>
      <c r="U24" s="226"/>
      <c r="V24" s="226"/>
      <c r="W24" s="235"/>
    </row>
    <row r="25" spans="1:23" ht="16">
      <c r="A25" s="234"/>
      <c r="B25" s="250"/>
      <c r="C25" s="223"/>
      <c r="D25" s="224"/>
      <c r="E25" s="225"/>
      <c r="F25" s="225"/>
      <c r="G25" s="225"/>
      <c r="H25" s="225"/>
      <c r="I25" s="225"/>
      <c r="J25" s="225"/>
      <c r="K25" s="225"/>
      <c r="L25" s="226"/>
      <c r="M25" s="226"/>
      <c r="N25" s="225"/>
      <c r="O25" s="227"/>
      <c r="P25" s="227"/>
      <c r="Q25" s="227"/>
      <c r="R25" s="226"/>
      <c r="S25" s="226"/>
      <c r="T25" s="226"/>
      <c r="U25" s="226"/>
      <c r="V25" s="226"/>
      <c r="W25" s="235"/>
    </row>
    <row r="26" spans="1:23" ht="21" customHeight="1">
      <c r="A26" s="234"/>
      <c r="B26" s="452" t="s">
        <v>1517</v>
      </c>
      <c r="C26" s="453"/>
      <c r="D26" s="453"/>
      <c r="E26" s="453"/>
      <c r="F26" s="453"/>
      <c r="G26" s="453"/>
      <c r="H26" s="453"/>
      <c r="I26" s="453"/>
      <c r="J26" s="453"/>
      <c r="K26" s="453"/>
      <c r="L26" s="453"/>
      <c r="M26" s="453"/>
      <c r="N26" s="453"/>
      <c r="O26" s="453"/>
      <c r="P26" s="453"/>
      <c r="Q26" s="454"/>
      <c r="R26" s="265"/>
      <c r="S26" s="265"/>
      <c r="T26" s="265"/>
      <c r="U26" s="265"/>
      <c r="V26" s="265"/>
      <c r="W26" s="235"/>
    </row>
    <row r="27" spans="1:23" ht="21" customHeight="1">
      <c r="A27" s="234"/>
      <c r="B27" s="455" t="s">
        <v>1297</v>
      </c>
      <c r="C27" s="456"/>
      <c r="D27" s="456"/>
      <c r="E27" s="457"/>
      <c r="F27" s="455" t="s">
        <v>1299</v>
      </c>
      <c r="G27" s="456"/>
      <c r="H27" s="456"/>
      <c r="I27" s="457"/>
      <c r="J27" s="455" t="s">
        <v>1300</v>
      </c>
      <c r="K27" s="456"/>
      <c r="L27" s="456"/>
      <c r="M27" s="457"/>
      <c r="N27" s="455" t="s">
        <v>1334</v>
      </c>
      <c r="O27" s="456"/>
      <c r="P27" s="456"/>
      <c r="Q27" s="457"/>
      <c r="R27" s="267"/>
      <c r="S27" s="267"/>
      <c r="T27" s="267"/>
      <c r="U27" s="267"/>
      <c r="V27" s="267"/>
      <c r="W27" s="235"/>
    </row>
    <row r="28" spans="1:23" ht="21" customHeight="1">
      <c r="A28" s="234"/>
      <c r="B28" s="439"/>
      <c r="C28" s="440"/>
      <c r="D28" s="440"/>
      <c r="E28" s="441"/>
      <c r="F28" s="439"/>
      <c r="G28" s="440"/>
      <c r="H28" s="440"/>
      <c r="I28" s="441"/>
      <c r="J28" s="439"/>
      <c r="K28" s="440"/>
      <c r="L28" s="440"/>
      <c r="M28" s="441"/>
      <c r="N28" s="443" t="str">
        <f>('Risk Calc'!U14)</f>
        <v>Unknown</v>
      </c>
      <c r="O28" s="444"/>
      <c r="P28" s="444"/>
      <c r="Q28" s="445"/>
      <c r="R28" s="268"/>
      <c r="S28" s="268"/>
      <c r="T28" s="268"/>
      <c r="U28" s="268"/>
      <c r="V28" s="268"/>
      <c r="W28" s="235"/>
    </row>
    <row r="29" spans="1:23" ht="21" customHeight="1">
      <c r="A29" s="234"/>
      <c r="B29" s="439"/>
      <c r="C29" s="440"/>
      <c r="D29" s="440"/>
      <c r="E29" s="441"/>
      <c r="F29" s="439"/>
      <c r="G29" s="440"/>
      <c r="H29" s="440"/>
      <c r="I29" s="441"/>
      <c r="J29" s="439"/>
      <c r="K29" s="440"/>
      <c r="L29" s="440"/>
      <c r="M29" s="441"/>
      <c r="N29" s="446"/>
      <c r="O29" s="447"/>
      <c r="P29" s="447"/>
      <c r="Q29" s="448"/>
      <c r="R29" s="268"/>
      <c r="S29" s="268"/>
      <c r="T29" s="268"/>
      <c r="U29" s="268"/>
      <c r="V29" s="268"/>
      <c r="W29" s="235"/>
    </row>
    <row r="30" spans="1:23" ht="21" customHeight="1">
      <c r="A30" s="234"/>
      <c r="B30" s="439"/>
      <c r="C30" s="440"/>
      <c r="D30" s="440"/>
      <c r="E30" s="441"/>
      <c r="F30" s="439"/>
      <c r="G30" s="440"/>
      <c r="H30" s="440"/>
      <c r="I30" s="441"/>
      <c r="J30" s="439"/>
      <c r="K30" s="440"/>
      <c r="L30" s="440"/>
      <c r="M30" s="441"/>
      <c r="N30" s="446"/>
      <c r="O30" s="447"/>
      <c r="P30" s="447"/>
      <c r="Q30" s="448"/>
      <c r="R30" s="268"/>
      <c r="S30" s="268"/>
      <c r="T30" s="268"/>
      <c r="U30" s="268"/>
      <c r="V30" s="268"/>
      <c r="W30" s="235"/>
    </row>
    <row r="31" spans="1:23" ht="21" customHeight="1">
      <c r="A31" s="234"/>
      <c r="B31" s="439"/>
      <c r="C31" s="440"/>
      <c r="D31" s="440"/>
      <c r="E31" s="441"/>
      <c r="F31" s="439"/>
      <c r="G31" s="440"/>
      <c r="H31" s="440"/>
      <c r="I31" s="441"/>
      <c r="J31" s="439"/>
      <c r="K31" s="440"/>
      <c r="L31" s="440"/>
      <c r="M31" s="441"/>
      <c r="N31" s="446"/>
      <c r="O31" s="447"/>
      <c r="P31" s="447"/>
      <c r="Q31" s="448"/>
      <c r="R31" s="268"/>
      <c r="S31" s="268"/>
      <c r="T31" s="268"/>
      <c r="U31" s="268"/>
      <c r="V31" s="268"/>
      <c r="W31" s="235"/>
    </row>
    <row r="32" spans="1:23" ht="21" customHeight="1">
      <c r="A32" s="234"/>
      <c r="B32" s="439"/>
      <c r="C32" s="440"/>
      <c r="D32" s="440"/>
      <c r="E32" s="441"/>
      <c r="F32" s="439"/>
      <c r="G32" s="440"/>
      <c r="H32" s="440"/>
      <c r="I32" s="441"/>
      <c r="J32" s="439"/>
      <c r="K32" s="440"/>
      <c r="L32" s="440"/>
      <c r="M32" s="441"/>
      <c r="N32" s="449"/>
      <c r="O32" s="450"/>
      <c r="P32" s="450"/>
      <c r="Q32" s="451"/>
      <c r="R32" s="268"/>
      <c r="S32" s="268"/>
      <c r="T32" s="268"/>
      <c r="U32" s="268"/>
      <c r="V32" s="268"/>
      <c r="W32" s="235"/>
    </row>
    <row r="33" spans="1:23" ht="16">
      <c r="A33" s="234"/>
      <c r="B33" s="442"/>
      <c r="C33" s="442"/>
      <c r="D33" s="442"/>
      <c r="E33" s="442"/>
      <c r="F33" s="442"/>
      <c r="G33" s="442"/>
      <c r="H33" s="442"/>
      <c r="I33" s="442"/>
      <c r="J33" s="442"/>
      <c r="K33" s="442"/>
      <c r="L33" s="442"/>
      <c r="M33" s="442"/>
      <c r="N33" s="442"/>
      <c r="O33" s="442"/>
      <c r="P33" s="442"/>
      <c r="Q33" s="442"/>
      <c r="R33" s="250"/>
      <c r="S33" s="250"/>
      <c r="T33" s="250"/>
      <c r="U33" s="250"/>
      <c r="V33" s="250"/>
      <c r="W33" s="235"/>
    </row>
    <row r="34" spans="1:23" ht="16">
      <c r="A34" s="234"/>
      <c r="B34" s="391" t="s">
        <v>1382</v>
      </c>
      <c r="C34" s="392"/>
      <c r="D34" s="392"/>
      <c r="E34" s="392"/>
      <c r="F34" s="392"/>
      <c r="G34" s="392"/>
      <c r="H34" s="392"/>
      <c r="I34" s="392"/>
      <c r="J34" s="393" t="s">
        <v>1383</v>
      </c>
      <c r="K34" s="394"/>
      <c r="L34" s="394"/>
      <c r="M34" s="394"/>
      <c r="N34" s="394"/>
      <c r="O34" s="394"/>
      <c r="P34" s="394"/>
      <c r="Q34" s="395"/>
      <c r="R34" s="266"/>
      <c r="S34" s="266"/>
      <c r="T34" s="266"/>
      <c r="U34" s="266"/>
      <c r="V34" s="266"/>
      <c r="W34" s="235"/>
    </row>
    <row r="35" spans="1:23" ht="16">
      <c r="A35" s="234"/>
      <c r="B35" s="396" t="s">
        <v>1298</v>
      </c>
      <c r="C35" s="397"/>
      <c r="D35" s="397" t="s">
        <v>1224</v>
      </c>
      <c r="E35" s="397"/>
      <c r="F35" s="397"/>
      <c r="G35" s="397" t="s">
        <v>1378</v>
      </c>
      <c r="H35" s="397"/>
      <c r="I35" s="397"/>
      <c r="J35" s="398" t="s">
        <v>1314</v>
      </c>
      <c r="K35" s="399"/>
      <c r="L35" s="399" t="s">
        <v>1704</v>
      </c>
      <c r="M35" s="399"/>
      <c r="N35" s="399"/>
      <c r="O35" s="399" t="s">
        <v>1224</v>
      </c>
      <c r="P35" s="399"/>
      <c r="Q35" s="412"/>
      <c r="R35" s="265"/>
      <c r="S35" s="265"/>
      <c r="T35" s="265"/>
      <c r="U35" s="265"/>
      <c r="V35" s="265"/>
      <c r="W35" s="235"/>
    </row>
    <row r="36" spans="1:23" ht="50.25" customHeight="1">
      <c r="A36" s="234"/>
      <c r="B36" s="378" t="s">
        <v>1379</v>
      </c>
      <c r="C36" s="379"/>
      <c r="D36" s="380" t="s">
        <v>1386</v>
      </c>
      <c r="E36" s="380"/>
      <c r="F36" s="380"/>
      <c r="G36" s="380" t="s">
        <v>1667</v>
      </c>
      <c r="H36" s="380"/>
      <c r="I36" s="381"/>
      <c r="J36" s="382" t="s">
        <v>1303</v>
      </c>
      <c r="K36" s="379"/>
      <c r="L36" s="380" t="s">
        <v>1700</v>
      </c>
      <c r="M36" s="380"/>
      <c r="N36" s="380"/>
      <c r="O36" s="380" t="s">
        <v>1711</v>
      </c>
      <c r="P36" s="380"/>
      <c r="Q36" s="383"/>
      <c r="R36" s="269"/>
      <c r="S36" s="269"/>
      <c r="T36" s="269"/>
      <c r="U36" s="269"/>
      <c r="V36" s="269"/>
      <c r="W36" s="235"/>
    </row>
    <row r="37" spans="1:23" ht="50.25" customHeight="1">
      <c r="A37" s="234"/>
      <c r="B37" s="378" t="s">
        <v>1380</v>
      </c>
      <c r="C37" s="379"/>
      <c r="D37" s="380" t="s">
        <v>1495</v>
      </c>
      <c r="E37" s="380"/>
      <c r="F37" s="380"/>
      <c r="G37" s="380" t="s">
        <v>1666</v>
      </c>
      <c r="H37" s="380"/>
      <c r="I37" s="381"/>
      <c r="J37" s="382" t="s">
        <v>1304</v>
      </c>
      <c r="K37" s="379"/>
      <c r="L37" s="380" t="s">
        <v>1701</v>
      </c>
      <c r="M37" s="380"/>
      <c r="N37" s="380"/>
      <c r="O37" s="380" t="s">
        <v>1705</v>
      </c>
      <c r="P37" s="380"/>
      <c r="Q37" s="383"/>
      <c r="R37" s="269"/>
      <c r="S37" s="269"/>
      <c r="T37" s="269"/>
      <c r="U37" s="269"/>
      <c r="V37" s="269"/>
      <c r="W37" s="235"/>
    </row>
    <row r="38" spans="1:23" ht="50.25" customHeight="1">
      <c r="A38" s="234"/>
      <c r="B38" s="378" t="s">
        <v>1381</v>
      </c>
      <c r="C38" s="379"/>
      <c r="D38" s="380" t="s">
        <v>1494</v>
      </c>
      <c r="E38" s="380"/>
      <c r="F38" s="380"/>
      <c r="G38" s="380" t="s">
        <v>1497</v>
      </c>
      <c r="H38" s="380"/>
      <c r="I38" s="381"/>
      <c r="J38" s="382" t="s">
        <v>1305</v>
      </c>
      <c r="K38" s="379"/>
      <c r="L38" s="380" t="s">
        <v>1702</v>
      </c>
      <c r="M38" s="380"/>
      <c r="N38" s="380"/>
      <c r="O38" s="380" t="s">
        <v>1712</v>
      </c>
      <c r="P38" s="380"/>
      <c r="Q38" s="383"/>
      <c r="R38" s="269"/>
      <c r="S38" s="269"/>
      <c r="T38" s="269"/>
      <c r="U38" s="269"/>
      <c r="V38" s="269"/>
      <c r="W38" s="235"/>
    </row>
    <row r="39" spans="1:23" ht="50.25" customHeight="1">
      <c r="A39" s="234"/>
      <c r="B39" s="385" t="s">
        <v>1302</v>
      </c>
      <c r="C39" s="386"/>
      <c r="D39" s="387" t="s">
        <v>1493</v>
      </c>
      <c r="E39" s="387"/>
      <c r="F39" s="387"/>
      <c r="G39" s="387" t="s">
        <v>1496</v>
      </c>
      <c r="H39" s="387"/>
      <c r="I39" s="388"/>
      <c r="J39" s="389" t="s">
        <v>1306</v>
      </c>
      <c r="K39" s="386"/>
      <c r="L39" s="387" t="s">
        <v>1703</v>
      </c>
      <c r="M39" s="387"/>
      <c r="N39" s="387"/>
      <c r="O39" s="387" t="s">
        <v>1706</v>
      </c>
      <c r="P39" s="387"/>
      <c r="Q39" s="390"/>
      <c r="R39" s="269"/>
      <c r="S39" s="269"/>
      <c r="T39" s="269"/>
      <c r="U39" s="269"/>
      <c r="V39" s="269"/>
      <c r="W39" s="235"/>
    </row>
    <row r="40" spans="1:23" ht="17" thickBot="1">
      <c r="A40" s="252"/>
      <c r="B40" s="253"/>
      <c r="C40" s="254"/>
      <c r="D40" s="255"/>
      <c r="E40" s="256"/>
      <c r="F40" s="256"/>
      <c r="G40" s="256"/>
      <c r="H40" s="256"/>
      <c r="I40" s="256"/>
      <c r="J40" s="256"/>
      <c r="K40" s="256"/>
      <c r="L40" s="257"/>
      <c r="M40" s="257"/>
      <c r="N40" s="256"/>
      <c r="O40" s="258"/>
      <c r="P40" s="258"/>
      <c r="Q40" s="258"/>
      <c r="R40" s="257"/>
      <c r="S40" s="257"/>
      <c r="T40" s="257"/>
      <c r="U40" s="257"/>
      <c r="V40" s="257"/>
      <c r="W40" s="247"/>
    </row>
    <row r="41" spans="1:23" ht="27" customHeight="1" thickTop="1">
      <c r="A41" s="476" t="s">
        <v>1555</v>
      </c>
      <c r="B41" s="477"/>
      <c r="C41" s="477"/>
      <c r="D41" s="477"/>
      <c r="E41" s="477"/>
      <c r="F41" s="477"/>
      <c r="G41" s="477"/>
      <c r="H41" s="477"/>
      <c r="I41" s="477"/>
      <c r="J41" s="477"/>
      <c r="K41" s="477"/>
      <c r="L41" s="477"/>
      <c r="M41" s="477"/>
      <c r="N41" s="477"/>
      <c r="O41" s="477"/>
      <c r="P41" s="477"/>
      <c r="Q41" s="477"/>
      <c r="R41" s="477"/>
      <c r="S41" s="477"/>
      <c r="T41" s="477"/>
      <c r="U41" s="477"/>
      <c r="V41" s="477"/>
      <c r="W41" s="478"/>
    </row>
    <row r="42" spans="1:23" ht="48" customHeight="1">
      <c r="A42" s="234"/>
      <c r="B42" s="491" t="s">
        <v>1713</v>
      </c>
      <c r="C42" s="491"/>
      <c r="D42" s="491"/>
      <c r="E42" s="491"/>
      <c r="F42" s="491"/>
      <c r="G42" s="491"/>
      <c r="H42" s="491"/>
      <c r="I42" s="491"/>
      <c r="J42" s="491"/>
      <c r="K42" s="491"/>
      <c r="L42" s="491"/>
      <c r="M42" s="491"/>
      <c r="N42" s="491"/>
      <c r="O42" s="491"/>
      <c r="P42" s="491"/>
      <c r="Q42" s="491"/>
      <c r="R42" s="226"/>
      <c r="S42" s="226"/>
      <c r="T42" s="226"/>
      <c r="U42" s="226"/>
      <c r="V42" s="226"/>
      <c r="W42" s="235"/>
    </row>
    <row r="43" spans="1:23" ht="30.75" customHeight="1">
      <c r="A43" s="234"/>
      <c r="B43" s="492" t="s">
        <v>1553</v>
      </c>
      <c r="C43" s="492"/>
      <c r="D43" s="492"/>
      <c r="E43" s="492"/>
      <c r="F43" s="492"/>
      <c r="G43" s="492"/>
      <c r="H43" s="492"/>
      <c r="I43" s="492"/>
      <c r="J43" s="492"/>
      <c r="K43" s="492"/>
      <c r="L43" s="492"/>
      <c r="M43" s="492"/>
      <c r="N43" s="492"/>
      <c r="O43" s="492"/>
      <c r="P43" s="492"/>
      <c r="Q43" s="492"/>
      <c r="R43" s="226"/>
      <c r="S43" s="226"/>
      <c r="T43" s="226"/>
      <c r="U43" s="226"/>
      <c r="V43" s="226"/>
      <c r="W43" s="235"/>
    </row>
    <row r="44" spans="1:23" ht="36.75" customHeight="1">
      <c r="A44" s="234"/>
      <c r="B44" s="427"/>
      <c r="C44" s="428"/>
      <c r="D44" s="417"/>
      <c r="E44" s="418"/>
      <c r="F44" s="418"/>
      <c r="G44" s="418"/>
      <c r="H44" s="418"/>
      <c r="I44" s="418"/>
      <c r="J44" s="418"/>
      <c r="K44" s="419"/>
      <c r="L44" s="421" t="s">
        <v>61</v>
      </c>
      <c r="M44" s="421"/>
      <c r="N44" s="422" t="s">
        <v>1554</v>
      </c>
      <c r="O44" s="422"/>
      <c r="P44" s="422"/>
      <c r="Q44" s="422"/>
      <c r="R44" s="270"/>
      <c r="S44" s="270"/>
      <c r="T44" s="270"/>
      <c r="U44" s="270"/>
      <c r="V44" s="270"/>
      <c r="W44" s="235"/>
    </row>
    <row r="45" spans="1:23" ht="48" customHeight="1">
      <c r="A45" s="234"/>
      <c r="B45" s="424" t="s">
        <v>1550</v>
      </c>
      <c r="C45" s="50" t="s">
        <v>1498</v>
      </c>
      <c r="D45" s="430" t="s">
        <v>1511</v>
      </c>
      <c r="E45" s="430"/>
      <c r="F45" s="430"/>
      <c r="G45" s="430"/>
      <c r="H45" s="430"/>
      <c r="I45" s="430"/>
      <c r="J45" s="430"/>
      <c r="K45" s="430"/>
      <c r="L45" s="431"/>
      <c r="M45" s="431"/>
      <c r="N45" s="414"/>
      <c r="O45" s="415"/>
      <c r="P45" s="415"/>
      <c r="Q45" s="416"/>
      <c r="R45" s="250"/>
      <c r="S45" s="250"/>
      <c r="T45" s="250"/>
      <c r="U45" s="250"/>
      <c r="V45" s="250"/>
      <c r="W45" s="235"/>
    </row>
    <row r="46" spans="1:23" ht="48" customHeight="1">
      <c r="A46" s="234"/>
      <c r="B46" s="425"/>
      <c r="C46" s="50" t="s">
        <v>1499</v>
      </c>
      <c r="D46" s="430" t="s">
        <v>1512</v>
      </c>
      <c r="E46" s="430"/>
      <c r="F46" s="430"/>
      <c r="G46" s="430"/>
      <c r="H46" s="430"/>
      <c r="I46" s="430"/>
      <c r="J46" s="430"/>
      <c r="K46" s="430"/>
      <c r="L46" s="431"/>
      <c r="M46" s="431"/>
      <c r="N46" s="414"/>
      <c r="O46" s="415"/>
      <c r="P46" s="415"/>
      <c r="Q46" s="416"/>
      <c r="R46" s="250"/>
      <c r="S46" s="250"/>
      <c r="T46" s="250"/>
      <c r="U46" s="250"/>
      <c r="V46" s="250"/>
      <c r="W46" s="235"/>
    </row>
    <row r="47" spans="1:23" ht="48" customHeight="1">
      <c r="A47" s="234"/>
      <c r="B47" s="425"/>
      <c r="C47" s="50" t="s">
        <v>1500</v>
      </c>
      <c r="D47" s="430" t="s">
        <v>1518</v>
      </c>
      <c r="E47" s="430"/>
      <c r="F47" s="430"/>
      <c r="G47" s="430"/>
      <c r="H47" s="430"/>
      <c r="I47" s="430"/>
      <c r="J47" s="430"/>
      <c r="K47" s="430"/>
      <c r="L47" s="431"/>
      <c r="M47" s="431"/>
      <c r="N47" s="414"/>
      <c r="O47" s="415"/>
      <c r="P47" s="415"/>
      <c r="Q47" s="416"/>
      <c r="R47" s="250"/>
      <c r="S47" s="250"/>
      <c r="T47" s="250"/>
      <c r="U47" s="250"/>
      <c r="V47" s="250"/>
      <c r="W47" s="235"/>
    </row>
    <row r="48" spans="1:23" ht="48" customHeight="1">
      <c r="A48" s="234"/>
      <c r="B48" s="425"/>
      <c r="C48" s="50" t="s">
        <v>1501</v>
      </c>
      <c r="D48" s="430" t="s">
        <v>1513</v>
      </c>
      <c r="E48" s="430"/>
      <c r="F48" s="430"/>
      <c r="G48" s="430"/>
      <c r="H48" s="430"/>
      <c r="I48" s="430"/>
      <c r="J48" s="430"/>
      <c r="K48" s="430"/>
      <c r="L48" s="431"/>
      <c r="M48" s="431"/>
      <c r="N48" s="414"/>
      <c r="O48" s="415"/>
      <c r="P48" s="415"/>
      <c r="Q48" s="416"/>
      <c r="R48" s="250"/>
      <c r="S48" s="250"/>
      <c r="T48" s="250"/>
      <c r="U48" s="250"/>
      <c r="V48" s="250"/>
      <c r="W48" s="235"/>
    </row>
    <row r="49" spans="1:23" ht="48" customHeight="1">
      <c r="A49" s="234"/>
      <c r="B49" s="425"/>
      <c r="C49" s="50" t="s">
        <v>1502</v>
      </c>
      <c r="D49" s="430" t="s">
        <v>1508</v>
      </c>
      <c r="E49" s="430"/>
      <c r="F49" s="430"/>
      <c r="G49" s="430"/>
      <c r="H49" s="430"/>
      <c r="I49" s="430"/>
      <c r="J49" s="430"/>
      <c r="K49" s="430"/>
      <c r="L49" s="431"/>
      <c r="M49" s="431"/>
      <c r="N49" s="414"/>
      <c r="O49" s="415"/>
      <c r="P49" s="415"/>
      <c r="Q49" s="416"/>
      <c r="R49" s="250"/>
      <c r="S49" s="250"/>
      <c r="T49" s="250"/>
      <c r="U49" s="250"/>
      <c r="V49" s="250"/>
      <c r="W49" s="235"/>
    </row>
    <row r="50" spans="1:23" ht="48" customHeight="1">
      <c r="A50" s="234"/>
      <c r="B50" s="425"/>
      <c r="C50" s="50" t="s">
        <v>1503</v>
      </c>
      <c r="D50" s="432" t="s">
        <v>1507</v>
      </c>
      <c r="E50" s="433"/>
      <c r="F50" s="433"/>
      <c r="G50" s="433"/>
      <c r="H50" s="433"/>
      <c r="I50" s="433"/>
      <c r="J50" s="433"/>
      <c r="K50" s="434"/>
      <c r="L50" s="431"/>
      <c r="M50" s="431"/>
      <c r="N50" s="414"/>
      <c r="O50" s="415"/>
      <c r="P50" s="415"/>
      <c r="Q50" s="416"/>
      <c r="R50" s="250"/>
      <c r="S50" s="250"/>
      <c r="T50" s="250"/>
      <c r="U50" s="250"/>
      <c r="V50" s="250"/>
      <c r="W50" s="235"/>
    </row>
    <row r="51" spans="1:23" ht="48" customHeight="1">
      <c r="A51" s="234"/>
      <c r="B51" s="425"/>
      <c r="C51" s="50" t="s">
        <v>1504</v>
      </c>
      <c r="D51" s="430" t="s">
        <v>1510</v>
      </c>
      <c r="E51" s="430"/>
      <c r="F51" s="430"/>
      <c r="G51" s="430"/>
      <c r="H51" s="430"/>
      <c r="I51" s="430"/>
      <c r="J51" s="430"/>
      <c r="K51" s="430"/>
      <c r="L51" s="431"/>
      <c r="M51" s="431"/>
      <c r="N51" s="414"/>
      <c r="O51" s="415"/>
      <c r="P51" s="415"/>
      <c r="Q51" s="416"/>
      <c r="R51" s="250"/>
      <c r="S51" s="250"/>
      <c r="T51" s="250"/>
      <c r="U51" s="250"/>
      <c r="V51" s="250"/>
      <c r="W51" s="235"/>
    </row>
    <row r="52" spans="1:23" ht="48" customHeight="1">
      <c r="A52" s="234"/>
      <c r="B52" s="425"/>
      <c r="C52" s="50" t="s">
        <v>1505</v>
      </c>
      <c r="D52" s="430" t="s">
        <v>1519</v>
      </c>
      <c r="E52" s="430"/>
      <c r="F52" s="430"/>
      <c r="G52" s="430"/>
      <c r="H52" s="430"/>
      <c r="I52" s="430"/>
      <c r="J52" s="430"/>
      <c r="K52" s="430"/>
      <c r="L52" s="431"/>
      <c r="M52" s="431"/>
      <c r="N52" s="414"/>
      <c r="O52" s="415"/>
      <c r="P52" s="415"/>
      <c r="Q52" s="416"/>
      <c r="R52" s="250"/>
      <c r="S52" s="250"/>
      <c r="T52" s="250"/>
      <c r="U52" s="250"/>
      <c r="V52" s="250"/>
      <c r="W52" s="235"/>
    </row>
    <row r="53" spans="1:23" ht="48" customHeight="1">
      <c r="A53" s="234"/>
      <c r="B53" s="426"/>
      <c r="C53" s="50" t="s">
        <v>1506</v>
      </c>
      <c r="D53" s="430" t="s">
        <v>1509</v>
      </c>
      <c r="E53" s="430"/>
      <c r="F53" s="430"/>
      <c r="G53" s="430"/>
      <c r="H53" s="430"/>
      <c r="I53" s="430"/>
      <c r="J53" s="430"/>
      <c r="K53" s="430"/>
      <c r="L53" s="431"/>
      <c r="M53" s="431"/>
      <c r="N53" s="414"/>
      <c r="O53" s="415"/>
      <c r="P53" s="415"/>
      <c r="Q53" s="416"/>
      <c r="R53" s="250"/>
      <c r="S53" s="250"/>
      <c r="T53" s="250"/>
      <c r="U53" s="250"/>
      <c r="V53" s="250"/>
      <c r="W53" s="235"/>
    </row>
    <row r="54" spans="1:23" ht="16">
      <c r="A54" s="234"/>
      <c r="B54" s="250"/>
      <c r="C54" s="223"/>
      <c r="D54" s="224"/>
      <c r="E54" s="225"/>
      <c r="F54" s="225"/>
      <c r="G54" s="225"/>
      <c r="H54" s="225"/>
      <c r="I54" s="225"/>
      <c r="J54" s="225"/>
      <c r="K54" s="225"/>
      <c r="L54" s="226"/>
      <c r="M54" s="226"/>
      <c r="N54" s="225"/>
      <c r="O54" s="227"/>
      <c r="P54" s="227"/>
      <c r="Q54" s="227"/>
      <c r="R54" s="226"/>
      <c r="S54" s="226"/>
      <c r="T54" s="226"/>
      <c r="U54" s="226"/>
      <c r="V54" s="226"/>
      <c r="W54" s="235"/>
    </row>
    <row r="55" spans="1:23" ht="105" customHeight="1">
      <c r="A55" s="234"/>
      <c r="B55" s="423" t="s">
        <v>1552</v>
      </c>
      <c r="C55" s="423"/>
      <c r="D55" s="423"/>
      <c r="E55" s="423"/>
      <c r="F55" s="423"/>
      <c r="G55" s="423"/>
      <c r="H55" s="423"/>
      <c r="I55" s="423"/>
      <c r="J55" s="423"/>
      <c r="K55" s="423"/>
      <c r="L55" s="423"/>
      <c r="M55" s="423"/>
      <c r="N55" s="423"/>
      <c r="O55" s="423"/>
      <c r="P55" s="423"/>
      <c r="Q55" s="423"/>
      <c r="R55" s="250"/>
      <c r="S55" s="250"/>
      <c r="T55" s="250"/>
      <c r="U55" s="250"/>
      <c r="V55" s="250"/>
      <c r="W55" s="235"/>
    </row>
    <row r="56" spans="1:23" ht="29.25" customHeight="1">
      <c r="A56" s="234"/>
      <c r="B56" s="492" t="s">
        <v>1551</v>
      </c>
      <c r="C56" s="492"/>
      <c r="D56" s="492"/>
      <c r="E56" s="492"/>
      <c r="F56" s="492"/>
      <c r="G56" s="492"/>
      <c r="H56" s="492"/>
      <c r="I56" s="492"/>
      <c r="J56" s="492"/>
      <c r="K56" s="492"/>
      <c r="L56" s="492"/>
      <c r="M56" s="492"/>
      <c r="N56" s="492"/>
      <c r="O56" s="492"/>
      <c r="P56" s="492"/>
      <c r="Q56" s="492"/>
      <c r="R56" s="277"/>
      <c r="S56" s="277"/>
      <c r="T56" s="277"/>
      <c r="U56" s="277"/>
      <c r="V56" s="277"/>
      <c r="W56" s="235"/>
    </row>
    <row r="57" spans="1:23" s="217" customFormat="1" ht="56.25" customHeight="1">
      <c r="A57" s="236"/>
      <c r="B57" s="221" t="s">
        <v>1226</v>
      </c>
      <c r="C57" s="221" t="s">
        <v>4</v>
      </c>
      <c r="D57" s="421" t="s">
        <v>62</v>
      </c>
      <c r="E57" s="421"/>
      <c r="F57" s="421"/>
      <c r="G57" s="421"/>
      <c r="H57" s="421"/>
      <c r="I57" s="421"/>
      <c r="J57" s="421"/>
      <c r="K57" s="421"/>
      <c r="L57" s="421" t="s">
        <v>61</v>
      </c>
      <c r="M57" s="421"/>
      <c r="N57" s="422" t="s">
        <v>1554</v>
      </c>
      <c r="O57" s="422"/>
      <c r="P57" s="422"/>
      <c r="Q57" s="422"/>
      <c r="R57" s="271" t="s">
        <v>1226</v>
      </c>
      <c r="S57" s="271" t="s">
        <v>1238</v>
      </c>
      <c r="T57" s="271" t="s">
        <v>1527</v>
      </c>
      <c r="U57" s="271" t="s">
        <v>1384</v>
      </c>
      <c r="V57" s="271" t="s">
        <v>1313</v>
      </c>
      <c r="W57" s="237"/>
    </row>
    <row r="58" spans="1:23" ht="48" customHeight="1">
      <c r="A58" s="234"/>
      <c r="B58" s="490" t="s">
        <v>9</v>
      </c>
      <c r="C58" s="50">
        <v>1.1000000000000001</v>
      </c>
      <c r="D58" s="430" t="str">
        <f>VLOOKUP(C58,'Technology MASTER'!$B$3:$Q$107,5,FALSE)</f>
        <v>Do you maintain an accurate and up-to-date inventory of all technology assets with the potential to store or process Customer information?</v>
      </c>
      <c r="E58" s="430"/>
      <c r="F58" s="430"/>
      <c r="G58" s="430"/>
      <c r="H58" s="430"/>
      <c r="I58" s="430"/>
      <c r="J58" s="430"/>
      <c r="K58" s="430"/>
      <c r="L58" s="431"/>
      <c r="M58" s="431"/>
      <c r="N58" s="485"/>
      <c r="O58" s="485"/>
      <c r="P58" s="485"/>
      <c r="Q58" s="485"/>
      <c r="R58" s="278" t="str">
        <f>VLOOKUP(C58,'Technology MASTER'!$B$3:$Q$107,3,FALSE)</f>
        <v>Inventory of Authorized and Unauthorized Devices</v>
      </c>
      <c r="S58" s="278" t="str">
        <f>VLOOKUP(C58,'Technology MASTER'!$B$3:$Q$107,4,FALSE)</f>
        <v>Identify</v>
      </c>
      <c r="T58" s="278" t="e">
        <f>HLOOKUP($N$28,'Technology MASTER'!$G$2:$I$107,2,FALSE)</f>
        <v>#N/A</v>
      </c>
      <c r="U58" s="278" t="str">
        <f>VLOOKUP(C58,'Technology MASTER'!$B$3:$Q$107,13,FALSE)</f>
        <v>Inaccurate or improper inventory of
authorized and unauthorized devices could result in a data breach.</v>
      </c>
      <c r="V58" s="278" t="str">
        <f>VLOOKUP(C58,'Technology MASTER'!$B$3:$Q$107,16,FALSE)</f>
        <v>Unauthorized Access to Systems or Data</v>
      </c>
      <c r="W58" s="235"/>
    </row>
    <row r="59" spans="1:23" ht="48" customHeight="1">
      <c r="A59" s="234"/>
      <c r="B59" s="490"/>
      <c r="C59" s="50">
        <v>1.2</v>
      </c>
      <c r="D59" s="430" t="str">
        <f>VLOOKUP(C59,'Technology MASTER'!$B$3:$Q$107,5,FALSE)</f>
        <v>Does the asset inventory include the hardware address, machine name, data asset owner, and department for each asset and whether the hardware asset has been approved to connect to the network.</v>
      </c>
      <c r="E59" s="430"/>
      <c r="F59" s="430"/>
      <c r="G59" s="430"/>
      <c r="H59" s="430"/>
      <c r="I59" s="430"/>
      <c r="J59" s="430"/>
      <c r="K59" s="430"/>
      <c r="L59" s="431"/>
      <c r="M59" s="431"/>
      <c r="N59" s="485"/>
      <c r="O59" s="485"/>
      <c r="P59" s="485"/>
      <c r="Q59" s="485"/>
      <c r="R59" s="278" t="str">
        <f>VLOOKUP(C59,'Technology MASTER'!$B$3:$Q$107,3,FALSE)</f>
        <v>Inventory of Authorized and Unauthorized Devices</v>
      </c>
      <c r="S59" s="278" t="str">
        <f>VLOOKUP(C59,'Technology MASTER'!$B$3:$Q$107,4,FALSE)</f>
        <v>Identify</v>
      </c>
      <c r="T59" s="278" t="e">
        <f>HLOOKUP($N$28,'Technology MASTER'!$G$2:$I$107,3,FALSE)</f>
        <v>#N/A</v>
      </c>
      <c r="U59" s="278" t="str">
        <f>VLOOKUP(C59,'Technology MASTER'!$B$3:$Q$107,13,FALSE)</f>
        <v>Inaccurate or improper inventory of
authorized and unauthorized devices could result in a data breach.</v>
      </c>
      <c r="V59" s="278" t="str">
        <f>VLOOKUP(C59,'Technology MASTER'!$B$3:$Q$107,16,FALSE)</f>
        <v>Unauthorized Access to Systems or Data</v>
      </c>
      <c r="W59" s="235"/>
    </row>
    <row r="60" spans="1:23" ht="48" customHeight="1">
      <c r="A60" s="234"/>
      <c r="B60" s="490"/>
      <c r="C60" s="50">
        <v>1.3</v>
      </c>
      <c r="D60" s="430" t="str">
        <f>VLOOKUP(C60,'Technology MASTER'!$B$3:$Q$107,5,FALSE)</f>
        <v xml:space="preserve">Do you have an active discovery tool that is used to build an inventory of systems connected to an organization’s public and private network(s)?  </v>
      </c>
      <c r="E60" s="430"/>
      <c r="F60" s="430"/>
      <c r="G60" s="430"/>
      <c r="H60" s="430"/>
      <c r="I60" s="430"/>
      <c r="J60" s="430"/>
      <c r="K60" s="430"/>
      <c r="L60" s="431"/>
      <c r="M60" s="431"/>
      <c r="N60" s="485"/>
      <c r="O60" s="485"/>
      <c r="P60" s="485"/>
      <c r="Q60" s="485"/>
      <c r="R60" s="278" t="str">
        <f>VLOOKUP(C60,'Technology MASTER'!$B$3:$Q$107,3,FALSE)</f>
        <v>Inventory of Authorized and Unauthorized Devices</v>
      </c>
      <c r="S60" s="278" t="str">
        <f>VLOOKUP(C60,'Technology MASTER'!$B$3:$Q$107,4,FALSE)</f>
        <v>Identify</v>
      </c>
      <c r="T60" s="278" t="e">
        <f>HLOOKUP($N$28,'Technology MASTER'!$G$2:$I$107,4,FALSE)</f>
        <v>#N/A</v>
      </c>
      <c r="U60" s="278" t="str">
        <f>VLOOKUP(C60,'Technology MASTER'!$B$3:$Q$107,13,FALSE)</f>
        <v>Information and assets associated with information processing facilities are not owned by a designated part of the organization.</v>
      </c>
      <c r="V60" s="278" t="str">
        <f>VLOOKUP(C60,'Technology MASTER'!$B$3:$Q$107,16,FALSE)</f>
        <v>Unauthorized Access to Systems or Data</v>
      </c>
      <c r="W60" s="235"/>
    </row>
    <row r="61" spans="1:23" ht="48" customHeight="1">
      <c r="A61" s="234"/>
      <c r="B61" s="490"/>
      <c r="C61" s="50">
        <v>1.4</v>
      </c>
      <c r="D61" s="430" t="str">
        <f>VLOOKUP(C61,'Technology MASTER'!$B$3:$Q$107,5,FALSE)</f>
        <v>Do you use utilize port level access control, following 802.1x standards, to control which devices can authenticate to the network?</v>
      </c>
      <c r="E61" s="430"/>
      <c r="F61" s="430"/>
      <c r="G61" s="430"/>
      <c r="H61" s="430"/>
      <c r="I61" s="430"/>
      <c r="J61" s="430"/>
      <c r="K61" s="430"/>
      <c r="L61" s="431"/>
      <c r="M61" s="431"/>
      <c r="N61" s="485"/>
      <c r="O61" s="485"/>
      <c r="P61" s="485"/>
      <c r="Q61" s="485"/>
      <c r="R61" s="278" t="str">
        <f>VLOOKUP(C61,'Technology MASTER'!$B$3:$Q$107,3,FALSE)</f>
        <v>Inventory of Authorized and Unauthorized Devices</v>
      </c>
      <c r="S61" s="278" t="str">
        <f>VLOOKUP(C61,'Technology MASTER'!$B$3:$Q$107,4,FALSE)</f>
        <v>Protect</v>
      </c>
      <c r="T61" s="278" t="e">
        <f>HLOOKUP($N$28,'Technology MASTER'!$G$2:$I$107,5,FALSE)</f>
        <v>#N/A</v>
      </c>
      <c r="U61" s="278" t="str">
        <f>VLOOKUP(C61,'Technology MASTER'!$B$3:$Q$107,13,FALSE)</f>
        <v>Incapable of denying or restricting network access to noncompliant devices.  This may allow an insecure system to infect the entire network.</v>
      </c>
      <c r="V61" s="278" t="str">
        <f>VLOOKUP(C61,'Technology MASTER'!$B$3:$Q$107,16,FALSE)</f>
        <v>Unauthorized Access to Systems or Data</v>
      </c>
      <c r="W61" s="235"/>
    </row>
    <row r="62" spans="1:23" ht="48" customHeight="1">
      <c r="A62" s="234"/>
      <c r="B62" s="490"/>
      <c r="C62" s="50">
        <v>1.5</v>
      </c>
      <c r="D62" s="430" t="str">
        <f>VLOOKUP(C62,'Technology MASTER'!$B$3:$Q$107,5,FALSE)</f>
        <v>Do you ensure that unauthorized assets are either removed from the network, quarantined or the inventory is updated in a timely manner?</v>
      </c>
      <c r="E62" s="430"/>
      <c r="F62" s="430"/>
      <c r="G62" s="430"/>
      <c r="H62" s="430"/>
      <c r="I62" s="430"/>
      <c r="J62" s="430"/>
      <c r="K62" s="430"/>
      <c r="L62" s="431"/>
      <c r="M62" s="431"/>
      <c r="N62" s="485"/>
      <c r="O62" s="485"/>
      <c r="P62" s="485"/>
      <c r="Q62" s="485"/>
      <c r="R62" s="278" t="str">
        <f>VLOOKUP(C62,'Technology MASTER'!$B$3:$Q$107,3,FALSE)</f>
        <v>Inventory of Authorized and Unauthorized Devices</v>
      </c>
      <c r="S62" s="278" t="str">
        <f>VLOOKUP(C62,'Technology MASTER'!$B$3:$Q$107,4,FALSE)</f>
        <v>Respond</v>
      </c>
      <c r="T62" s="278" t="e">
        <f>HLOOKUP($N$28,'Technology MASTER'!$G$2:$I$107,6,FALSE)</f>
        <v>#N/A</v>
      </c>
      <c r="U62" s="278" t="str">
        <f>VLOOKUP(C62,'Technology MASTER'!$B$3:$Q$107,13,FALSE)</f>
        <v>Incapable of denying or restricting network access to noncompliant devices.  This may allow an insecure system to infect the entire network.</v>
      </c>
      <c r="V62" s="278" t="str">
        <f>VLOOKUP(C62,'Technology MASTER'!$B$3:$Q$107,16,FALSE)</f>
        <v>Unauthorized Access to Systems or Data</v>
      </c>
      <c r="W62" s="235"/>
    </row>
    <row r="63" spans="1:23" ht="16">
      <c r="A63" s="234"/>
      <c r="B63" s="429"/>
      <c r="C63" s="429"/>
      <c r="D63" s="429"/>
      <c r="E63" s="429"/>
      <c r="F63" s="429"/>
      <c r="G63" s="429"/>
      <c r="H63" s="429"/>
      <c r="I63" s="429"/>
      <c r="J63" s="429"/>
      <c r="K63" s="429"/>
      <c r="L63" s="429"/>
      <c r="M63" s="429"/>
      <c r="N63" s="429"/>
      <c r="O63" s="429"/>
      <c r="P63" s="429"/>
      <c r="Q63" s="429"/>
      <c r="R63" s="216"/>
      <c r="S63" s="216"/>
      <c r="T63" s="216"/>
      <c r="U63" s="216"/>
      <c r="V63" s="216"/>
      <c r="W63" s="235"/>
    </row>
    <row r="64" spans="1:23" ht="48" customHeight="1">
      <c r="A64" s="234"/>
      <c r="B64" s="424" t="s">
        <v>10</v>
      </c>
      <c r="C64" s="50">
        <v>2.1</v>
      </c>
      <c r="D64" s="430" t="str">
        <f>VLOOKUP(C64,'Technology MASTER'!$B$3:$Q$107,5,FALSE)</f>
        <v>Do you maintain an up-to-date list of all authorized software that is required in the enterprise for any business purpose on any business system?</v>
      </c>
      <c r="E64" s="430"/>
      <c r="F64" s="430"/>
      <c r="G64" s="430"/>
      <c r="H64" s="430"/>
      <c r="I64" s="430"/>
      <c r="J64" s="430"/>
      <c r="K64" s="430"/>
      <c r="L64" s="431"/>
      <c r="M64" s="431"/>
      <c r="N64" s="482"/>
      <c r="O64" s="483"/>
      <c r="P64" s="483"/>
      <c r="Q64" s="484"/>
      <c r="R64" s="278" t="str">
        <f>VLOOKUP(C64,'Technology MASTER'!$B$3:$Q$107,3,FALSE)</f>
        <v>Inventory of Authorized and Unauthorized Software</v>
      </c>
      <c r="S64" s="278" t="str">
        <f>VLOOKUP(C64,'Technology MASTER'!$B$3:$Q$107,4,FALSE)</f>
        <v>Identify</v>
      </c>
      <c r="T64" s="278" t="e">
        <f>HLOOKUP($N$28,'Technology MASTER'!$G$2:$I$107,7,FALSE)</f>
        <v>#N/A</v>
      </c>
      <c r="U64" s="278" t="str">
        <f>VLOOKUP(C64,'Technology MASTER'!$B$3:$Q$107,13,FALSE)</f>
        <v>Inaccurate or improper inventory of
authorized and unauthorized software could result in a data breach.</v>
      </c>
      <c r="V64" s="278" t="str">
        <f>VLOOKUP(C64,'Technology MASTER'!$B$3:$Q$107,16,FALSE)</f>
        <v>Unauthorized Access to Systems or Data</v>
      </c>
      <c r="W64" s="235"/>
    </row>
    <row r="65" spans="1:23" ht="48" customHeight="1">
      <c r="A65" s="234"/>
      <c r="B65" s="425"/>
      <c r="C65" s="50">
        <v>2.2000000000000002</v>
      </c>
      <c r="D65" s="430" t="str">
        <f>VLOOKUP(C65,'Technology MASTER'!$B$3:$Q$107,5,FALSE)</f>
        <v>Does the software inventory system track the name, version, publisher, and install date for all software, including operating systems authorized by the organization.?</v>
      </c>
      <c r="E65" s="430"/>
      <c r="F65" s="430"/>
      <c r="G65" s="430"/>
      <c r="H65" s="430"/>
      <c r="I65" s="430"/>
      <c r="J65" s="430"/>
      <c r="K65" s="430"/>
      <c r="L65" s="431"/>
      <c r="M65" s="431"/>
      <c r="N65" s="482"/>
      <c r="O65" s="483"/>
      <c r="P65" s="483"/>
      <c r="Q65" s="484"/>
      <c r="R65" s="278" t="str">
        <f>VLOOKUP(C65,'Technology MASTER'!$B$3:$Q$107,3,FALSE)</f>
        <v>Inventory of Authorized and Unauthorized Software</v>
      </c>
      <c r="S65" s="278" t="str">
        <f>VLOOKUP(C65,'Technology MASTER'!$B$3:$Q$107,4,FALSE)</f>
        <v>Identify</v>
      </c>
      <c r="T65" s="278" t="e">
        <f>HLOOKUP($N$28,'Technology MASTER'!$G$2:$I$107,8,FALSE)</f>
        <v>#N/A</v>
      </c>
      <c r="U65" s="278" t="str">
        <f>VLOOKUP(C65,'Technology MASTER'!$B$3:$Q$107,13,FALSE)</f>
        <v>Inaccurate or improper inventory of
authorized and unauthorized software could result in a data breach.</v>
      </c>
      <c r="V65" s="278" t="str">
        <f>VLOOKUP(C65,'Technology MASTER'!$B$3:$Q$107,16,FALSE)</f>
        <v>Unauthorized Access to Systems or Data</v>
      </c>
      <c r="W65" s="235"/>
    </row>
    <row r="66" spans="1:23" ht="48" customHeight="1">
      <c r="A66" s="234"/>
      <c r="B66" s="425"/>
      <c r="C66" s="50">
        <v>2.2999999999999998</v>
      </c>
      <c r="D66" s="430" t="str">
        <f>VLOOKUP(C66,'Technology MASTER'!$B$3:$Q$107,5,FALSE)</f>
        <v>Do you ensure that only software applications or operating systems currently supported and receiving vendor updates are added to the organization's authorized software inventory?</v>
      </c>
      <c r="E66" s="430"/>
      <c r="F66" s="430"/>
      <c r="G66" s="430"/>
      <c r="H66" s="430"/>
      <c r="I66" s="430"/>
      <c r="J66" s="430"/>
      <c r="K66" s="430"/>
      <c r="L66" s="431"/>
      <c r="M66" s="431"/>
      <c r="N66" s="482"/>
      <c r="O66" s="483"/>
      <c r="P66" s="483"/>
      <c r="Q66" s="484"/>
      <c r="R66" s="278" t="str">
        <f>VLOOKUP(C66,'Technology MASTER'!$B$3:$Q$107,3,FALSE)</f>
        <v>Inventory of Authorized and Unauthorized Software</v>
      </c>
      <c r="S66" s="278" t="str">
        <f>VLOOKUP(C66,'Technology MASTER'!$B$3:$Q$107,4,FALSE)</f>
        <v>Identify</v>
      </c>
      <c r="T66" s="278" t="e">
        <f>HLOOKUP($N$28,'Technology MASTER'!$G$2:$I$107,9,FALSE)</f>
        <v>#N/A</v>
      </c>
      <c r="U66" s="278" t="str">
        <f>VLOOKUP(C66,'Technology MASTER'!$B$3:$Q$107,13,FALSE)</f>
        <v>Commercial software that is not supported by a vendor and introduces errors into the information system processing environment.</v>
      </c>
      <c r="V66" s="278" t="str">
        <f>VLOOKUP(C66,'Technology MASTER'!$B$3:$Q$107,16,FALSE)</f>
        <v>Unauthorized Access to Systems or Data</v>
      </c>
      <c r="W66" s="235"/>
    </row>
    <row r="67" spans="1:23" ht="48" customHeight="1">
      <c r="A67" s="234"/>
      <c r="B67" s="426"/>
      <c r="C67" s="50">
        <v>2.4</v>
      </c>
      <c r="D67" s="430" t="str">
        <f>VLOOKUP(C67,'Technology MASTER'!$B$3:$Q$107,5,FALSE)</f>
        <v>Do you ensure that unauthorized software is either removed or the inventory is updated in a timely manner?</v>
      </c>
      <c r="E67" s="430"/>
      <c r="F67" s="430"/>
      <c r="G67" s="430"/>
      <c r="H67" s="430"/>
      <c r="I67" s="430"/>
      <c r="J67" s="430"/>
      <c r="K67" s="430"/>
      <c r="L67" s="431"/>
      <c r="M67" s="431"/>
      <c r="N67" s="482"/>
      <c r="O67" s="483"/>
      <c r="P67" s="483"/>
      <c r="Q67" s="484"/>
      <c r="R67" s="278" t="str">
        <f>VLOOKUP(C67,'Technology MASTER'!$B$3:$Q$107,3,FALSE)</f>
        <v>Inventory of Authorized and Unauthorized Software</v>
      </c>
      <c r="S67" s="278" t="str">
        <f>VLOOKUP(C67,'Technology MASTER'!$B$3:$Q$107,4,FALSE)</f>
        <v>Respond</v>
      </c>
      <c r="T67" s="278" t="e">
        <f>HLOOKUP($N$28,'Technology MASTER'!$G$2:$I$107,10,FALSE)</f>
        <v>#N/A</v>
      </c>
      <c r="U67" s="278" t="str">
        <f>VLOOKUP(C67,'Technology MASTER'!$B$3:$Q$107,13,FALSE)</f>
        <v>Unauthorized software increases the risk of outsiders gaining access to sensitive data.</v>
      </c>
      <c r="V67" s="278" t="str">
        <f>VLOOKUP(C67,'Technology MASTER'!$B$3:$Q$107,16,FALSE)</f>
        <v>Unauthorized Access to Systems or Data</v>
      </c>
      <c r="W67" s="235"/>
    </row>
    <row r="68" spans="1:23" ht="16">
      <c r="A68" s="234"/>
      <c r="B68" s="429"/>
      <c r="C68" s="429"/>
      <c r="D68" s="429"/>
      <c r="E68" s="429"/>
      <c r="F68" s="429"/>
      <c r="G68" s="429"/>
      <c r="H68" s="429"/>
      <c r="I68" s="429"/>
      <c r="J68" s="429"/>
      <c r="K68" s="429"/>
      <c r="L68" s="429"/>
      <c r="M68" s="429"/>
      <c r="N68" s="429"/>
      <c r="O68" s="429"/>
      <c r="P68" s="429"/>
      <c r="Q68" s="429"/>
      <c r="R68" s="216"/>
      <c r="S68" s="216"/>
      <c r="T68" s="216"/>
      <c r="U68" s="216"/>
      <c r="V68" s="216"/>
      <c r="W68" s="235"/>
    </row>
    <row r="69" spans="1:23" ht="48" customHeight="1">
      <c r="A69" s="234"/>
      <c r="B69" s="424" t="s">
        <v>11</v>
      </c>
      <c r="C69" s="50">
        <v>3.1</v>
      </c>
      <c r="D69" s="430" t="str">
        <f>VLOOKUP(C69,'Technology MASTER'!$B$3:$Q$107,5,FALSE)</f>
        <v>Do you have a vulnerability scanning tool that automatically scans all systems on the network on a frequent basis to identify potential vulnerabilities on the organization's systems?</v>
      </c>
      <c r="E69" s="430"/>
      <c r="F69" s="430"/>
      <c r="G69" s="430"/>
      <c r="H69" s="430"/>
      <c r="I69" s="430"/>
      <c r="J69" s="430"/>
      <c r="K69" s="430"/>
      <c r="L69" s="431"/>
      <c r="M69" s="431"/>
      <c r="N69" s="482"/>
      <c r="O69" s="483"/>
      <c r="P69" s="483"/>
      <c r="Q69" s="484"/>
      <c r="R69" s="278" t="str">
        <f>VLOOKUP(C69,'Technology MASTER'!$B$3:$Q$107,3,FALSE)</f>
        <v>Continuous Vulnerability Assessment and Remediation</v>
      </c>
      <c r="S69" s="278" t="str">
        <f>VLOOKUP(C69,'Technology MASTER'!$B$3:$Q$107,4,FALSE)</f>
        <v>Detect</v>
      </c>
      <c r="T69" s="278" t="e">
        <f>HLOOKUP($N$28,'Technology MASTER'!$G$2:$I$107,11,FALSE)</f>
        <v>#N/A</v>
      </c>
      <c r="U69" s="278" t="str">
        <f>VLOOKUP(C69,'Technology MASTER'!$B$3:$Q$107,13,FALSE)</f>
        <v>Weaknesses or gaps in a security program can be exploited by threats to gain unauthorized access to the network.</v>
      </c>
      <c r="V69" s="278" t="str">
        <f>VLOOKUP(C69,'Technology MASTER'!$B$3:$Q$107,16,FALSE)</f>
        <v>Cyber Attack</v>
      </c>
      <c r="W69" s="235"/>
    </row>
    <row r="70" spans="1:23" ht="48" customHeight="1">
      <c r="A70" s="234"/>
      <c r="B70" s="425"/>
      <c r="C70" s="50">
        <v>3.2</v>
      </c>
      <c r="D70" s="430" t="str">
        <f>VLOOKUP(C70,'Technology MASTER'!$B$3:$Q$107,5,FALSE)</f>
        <v>Are the vulnerability scans conducted in authenticated mode where elevated rights are used to scan each system?</v>
      </c>
      <c r="E70" s="430"/>
      <c r="F70" s="430"/>
      <c r="G70" s="430"/>
      <c r="H70" s="430"/>
      <c r="I70" s="430"/>
      <c r="J70" s="430"/>
      <c r="K70" s="430"/>
      <c r="L70" s="431"/>
      <c r="M70" s="431"/>
      <c r="N70" s="482"/>
      <c r="O70" s="483"/>
      <c r="P70" s="483"/>
      <c r="Q70" s="484"/>
      <c r="R70" s="278" t="str">
        <f>VLOOKUP(C70,'Technology MASTER'!$B$3:$Q$107,3,FALSE)</f>
        <v>Continuous Vulnerability Assessment and Remediation</v>
      </c>
      <c r="S70" s="278" t="str">
        <f>VLOOKUP(C70,'Technology MASTER'!$B$3:$Q$107,4,FALSE)</f>
        <v>Detect</v>
      </c>
      <c r="T70" s="278" t="e">
        <f>HLOOKUP($N$28,'Technology MASTER'!$G$2:$I$107,12,FALSE)</f>
        <v>#N/A</v>
      </c>
      <c r="U70" s="278" t="str">
        <f>VLOOKUP(C70,'Technology MASTER'!$B$3:$Q$107,13,FALSE)</f>
        <v>Weaknesses or gaps in a security program can be exploited by threats to gain unauthorized access to the network.</v>
      </c>
      <c r="V70" s="278" t="str">
        <f>VLOOKUP(C70,'Technology MASTER'!$B$3:$Q$107,16,FALSE)</f>
        <v>Cyber Attack</v>
      </c>
      <c r="W70" s="235"/>
    </row>
    <row r="71" spans="1:23" ht="48" customHeight="1">
      <c r="A71" s="234"/>
      <c r="B71" s="425"/>
      <c r="C71" s="50">
        <v>3.3</v>
      </c>
      <c r="D71" s="430" t="str">
        <f>VLOOKUP(C71,'Technology MASTER'!$B$3:$Q$107,5,FALSE)</f>
        <v>Has the organization utilized a risk-rating process to prioritize the remediation of discovered vulnerabilities?</v>
      </c>
      <c r="E71" s="430"/>
      <c r="F71" s="430"/>
      <c r="G71" s="430"/>
      <c r="H71" s="430"/>
      <c r="I71" s="430"/>
      <c r="J71" s="430"/>
      <c r="K71" s="430"/>
      <c r="L71" s="431"/>
      <c r="M71" s="431"/>
      <c r="N71" s="482"/>
      <c r="O71" s="483"/>
      <c r="P71" s="483"/>
      <c r="Q71" s="484"/>
      <c r="R71" s="278" t="str">
        <f>VLOOKUP(C71,'Technology MASTER'!$B$3:$Q$107,3,FALSE)</f>
        <v>Continuous Vulnerability Assessment and Remediation</v>
      </c>
      <c r="S71" s="278" t="str">
        <f>VLOOKUP(C71,'Technology MASTER'!$B$3:$Q$107,4,FALSE)</f>
        <v>Respond</v>
      </c>
      <c r="T71" s="278" t="e">
        <f>HLOOKUP($N$28,'Technology MASTER'!$G$2:$I$107,13,FALSE)</f>
        <v>#N/A</v>
      </c>
      <c r="U71" s="278" t="str">
        <f>VLOOKUP(C71,'Technology MASTER'!$B$3:$Q$107,13,FALSE)</f>
        <v xml:space="preserve">Failure to identify recognized threats and determine their probability may find technical teams remediating the wrong asset/s based on risk exposure. </v>
      </c>
      <c r="V71" s="278" t="str">
        <f>VLOOKUP(C71,'Technology MASTER'!$B$3:$Q$107,16,FALSE)</f>
        <v>Cyber Attack</v>
      </c>
      <c r="W71" s="235"/>
    </row>
    <row r="72" spans="1:23" ht="48" customHeight="1">
      <c r="A72" s="234"/>
      <c r="B72" s="425"/>
      <c r="C72" s="50">
        <v>3.4</v>
      </c>
      <c r="D72" s="430" t="str">
        <f>VLOOKUP(C72,'Technology MASTER'!$B$3:$Q$107,5,FALSE)</f>
        <v>Do you regularly compare the results from consecutive vulnerability scans to verify that vulnerabilities have been remediated in a timely manner?</v>
      </c>
      <c r="E72" s="430"/>
      <c r="F72" s="430"/>
      <c r="G72" s="430"/>
      <c r="H72" s="430"/>
      <c r="I72" s="430"/>
      <c r="J72" s="430"/>
      <c r="K72" s="430"/>
      <c r="L72" s="431"/>
      <c r="M72" s="431"/>
      <c r="N72" s="482"/>
      <c r="O72" s="483"/>
      <c r="P72" s="483"/>
      <c r="Q72" s="484"/>
      <c r="R72" s="278" t="str">
        <f>VLOOKUP(C72,'Technology MASTER'!$B$3:$Q$107,3,FALSE)</f>
        <v>Continuous Vulnerability Assessment and Remediation</v>
      </c>
      <c r="S72" s="278" t="str">
        <f>VLOOKUP(C72,'Technology MASTER'!$B$3:$Q$107,4,FALSE)</f>
        <v>Respond</v>
      </c>
      <c r="T72" s="278" t="e">
        <f>HLOOKUP($N$28,'Technology MASTER'!$G$2:$I$107,14,FALSE)</f>
        <v>#N/A</v>
      </c>
      <c r="U72" s="278" t="str">
        <f>VLOOKUP(C72,'Technology MASTER'!$B$3:$Q$107,13,FALSE)</f>
        <v>Identified risks are not accepted, mitigated or responded to with actionable plans and decisions.</v>
      </c>
      <c r="V72" s="278" t="str">
        <f>VLOOKUP(C72,'Technology MASTER'!$B$3:$Q$107,16,FALSE)</f>
        <v>Cyber Attack</v>
      </c>
      <c r="W72" s="235"/>
    </row>
    <row r="73" spans="1:23" ht="48" customHeight="1">
      <c r="A73" s="234"/>
      <c r="B73" s="425"/>
      <c r="C73" s="50">
        <v>3.5</v>
      </c>
      <c r="D73" s="430" t="str">
        <f>VLOOKUP(C73,'Technology MASTER'!$B$3:$Q$107,5,FALSE)</f>
        <v>Deploy automated software update tools in order to ensure that the operating systems are running the most recent security updates provided by the software vendor?</v>
      </c>
      <c r="E73" s="430"/>
      <c r="F73" s="430"/>
      <c r="G73" s="430"/>
      <c r="H73" s="430"/>
      <c r="I73" s="430"/>
      <c r="J73" s="430"/>
      <c r="K73" s="430"/>
      <c r="L73" s="431"/>
      <c r="M73" s="431"/>
      <c r="N73" s="482"/>
      <c r="O73" s="483"/>
      <c r="P73" s="483"/>
      <c r="Q73" s="484"/>
      <c r="R73" s="278" t="str">
        <f>VLOOKUP(C73,'Technology MASTER'!$B$3:$Q$107,3,FALSE)</f>
        <v>Continuous Vulnerability Assessment and Remediation</v>
      </c>
      <c r="S73" s="278" t="str">
        <f>VLOOKUP(C73,'Technology MASTER'!$B$3:$Q$107,4,FALSE)</f>
        <v>Protect</v>
      </c>
      <c r="T73" s="278" t="e">
        <f>HLOOKUP($N$28,'Technology MASTER'!$G$2:$I$107,15,FALSE)</f>
        <v>#N/A</v>
      </c>
      <c r="U73" s="278" t="str">
        <f>VLOOKUP(C73,'Technology MASTER'!$B$3:$Q$107,13,FALSE)</f>
        <v>The lack of processes for system maintenance and support may result in compromise of system security due to latest updates not being made to systems in a timely manner.</v>
      </c>
      <c r="V73" s="278" t="str">
        <f>VLOOKUP(C73,'Technology MASTER'!$B$3:$Q$107,16,FALSE)</f>
        <v>Cyber Attack</v>
      </c>
      <c r="W73" s="235"/>
    </row>
    <row r="74" spans="1:23" ht="48" customHeight="1">
      <c r="A74" s="234"/>
      <c r="B74" s="426"/>
      <c r="C74" s="50">
        <v>3.6</v>
      </c>
      <c r="D74" s="430" t="str">
        <f>VLOOKUP(C74,'Technology MASTER'!$B$3:$Q$107,5,FALSE)</f>
        <v>Deploy automated software update tools in order to ensure that third-party software on all systems is running the most recent security updates provided by the software vendor?</v>
      </c>
      <c r="E74" s="430"/>
      <c r="F74" s="430"/>
      <c r="G74" s="430"/>
      <c r="H74" s="430"/>
      <c r="I74" s="430"/>
      <c r="J74" s="430"/>
      <c r="K74" s="430"/>
      <c r="L74" s="431"/>
      <c r="M74" s="431"/>
      <c r="N74" s="482"/>
      <c r="O74" s="483"/>
      <c r="P74" s="483"/>
      <c r="Q74" s="484"/>
      <c r="R74" s="278" t="str">
        <f>VLOOKUP(C74,'Technology MASTER'!$B$3:$Q$107,3,FALSE)</f>
        <v>Continuous Vulnerability Assessment and Remediation</v>
      </c>
      <c r="S74" s="278" t="str">
        <f>VLOOKUP(C74,'Technology MASTER'!$B$3:$Q$107,4,FALSE)</f>
        <v>Protect</v>
      </c>
      <c r="T74" s="278" t="e">
        <f>HLOOKUP($N$28,'Technology MASTER'!$G$2:$I$107,16,FALSE)</f>
        <v>#N/A</v>
      </c>
      <c r="U74" s="278" t="str">
        <f>VLOOKUP(C74,'Technology MASTER'!$B$3:$Q$107,13,FALSE)</f>
        <v>The lack of processes for system maintenance and support may result in compromise of system security due to latest updates not being made to systems in a timely manner.</v>
      </c>
      <c r="V74" s="278" t="str">
        <f>VLOOKUP(C74,'Technology MASTER'!$B$3:$Q$107,16,FALSE)</f>
        <v>Cyber Attack</v>
      </c>
      <c r="W74" s="235"/>
    </row>
    <row r="75" spans="1:23" ht="16">
      <c r="A75" s="234"/>
      <c r="B75" s="429"/>
      <c r="C75" s="429"/>
      <c r="D75" s="429"/>
      <c r="E75" s="429"/>
      <c r="F75" s="429"/>
      <c r="G75" s="429"/>
      <c r="H75" s="429"/>
      <c r="I75" s="429"/>
      <c r="J75" s="429"/>
      <c r="K75" s="429"/>
      <c r="L75" s="429"/>
      <c r="M75" s="429"/>
      <c r="N75" s="429"/>
      <c r="O75" s="429"/>
      <c r="P75" s="429"/>
      <c r="Q75" s="429"/>
      <c r="R75" s="216"/>
      <c r="S75" s="216"/>
      <c r="T75" s="216"/>
      <c r="U75" s="216"/>
      <c r="V75" s="216"/>
      <c r="W75" s="235"/>
    </row>
    <row r="76" spans="1:23" ht="48" customHeight="1">
      <c r="A76" s="234"/>
      <c r="B76" s="424" t="s">
        <v>12</v>
      </c>
      <c r="C76" s="50">
        <v>4.0999999999999996</v>
      </c>
      <c r="D76" s="430" t="str">
        <f>VLOOKUP(C76,'Technology MASTER'!$B$3:$Q$107,5,FALSE)</f>
        <v>Before deploying any new asset, do you change all default passwords to have values consistent with administrative level accounts?</v>
      </c>
      <c r="E76" s="430"/>
      <c r="F76" s="430"/>
      <c r="G76" s="430"/>
      <c r="H76" s="430"/>
      <c r="I76" s="430"/>
      <c r="J76" s="430"/>
      <c r="K76" s="430"/>
      <c r="L76" s="431"/>
      <c r="M76" s="431"/>
      <c r="N76" s="482"/>
      <c r="O76" s="483"/>
      <c r="P76" s="483"/>
      <c r="Q76" s="484"/>
      <c r="R76" s="278" t="str">
        <f>VLOOKUP(C76,'Technology MASTER'!$B$3:$Q$107,3,FALSE)</f>
        <v>Controlled Use of Administrative Privileges</v>
      </c>
      <c r="S76" s="278" t="str">
        <f>VLOOKUP(C76,'Technology MASTER'!$B$3:$Q$107,4,FALSE)</f>
        <v>Protect</v>
      </c>
      <c r="T76" s="278" t="e">
        <f>HLOOKUP($N$28,'Technology MASTER'!$G$2:$I$107,17,FALSE)</f>
        <v>#N/A</v>
      </c>
      <c r="U76" s="278" t="str">
        <f>VLOOKUP(C76,'Technology MASTER'!$B$3:$Q$107,13,FALSE)</f>
        <v>Unauthorized users log on to information systems.</v>
      </c>
      <c r="V76" s="278" t="str">
        <f>VLOOKUP(C76,'Technology MASTER'!$B$3:$Q$107,16,FALSE)</f>
        <v>Unauthorized Access to Systems or Data</v>
      </c>
      <c r="W76" s="235"/>
    </row>
    <row r="77" spans="1:23" ht="48" customHeight="1">
      <c r="A77" s="234"/>
      <c r="B77" s="425"/>
      <c r="C77" s="50">
        <v>4.2</v>
      </c>
      <c r="D77" s="430" t="str">
        <f>VLOOKUP(C77,'Technology MASTER'!$B$3:$Q$107,5,FALSE)</f>
        <v>Do you require that all users with administrative account access have a dedicated or secondary account for elevated activities?</v>
      </c>
      <c r="E77" s="430"/>
      <c r="F77" s="430"/>
      <c r="G77" s="430"/>
      <c r="H77" s="430"/>
      <c r="I77" s="430"/>
      <c r="J77" s="430"/>
      <c r="K77" s="430"/>
      <c r="L77" s="431"/>
      <c r="M77" s="431"/>
      <c r="N77" s="482"/>
      <c r="O77" s="483"/>
      <c r="P77" s="483"/>
      <c r="Q77" s="484"/>
      <c r="R77" s="278" t="str">
        <f>VLOOKUP(C77,'Technology MASTER'!$B$3:$Q$107,3,FALSE)</f>
        <v>Controlled Use of Administrative Privileges</v>
      </c>
      <c r="S77" s="278" t="str">
        <f>VLOOKUP(C77,'Technology MASTER'!$B$3:$Q$107,4,FALSE)</f>
        <v>Protect</v>
      </c>
      <c r="T77" s="278" t="e">
        <f>HLOOKUP($N$28,'Technology MASTER'!$G$2:$I$107,18,FALSE)</f>
        <v>#N/A</v>
      </c>
      <c r="U77" s="278" t="str">
        <f>VLOOKUP(C77,'Technology MASTER'!$B$3:$Q$107,13,FALSE)</f>
        <v>Users expose information systems by not correctly executing their access control responsibilities.</v>
      </c>
      <c r="V77" s="278" t="str">
        <f>VLOOKUP(C77,'Technology MASTER'!$B$3:$Q$107,16,FALSE)</f>
        <v>Unauthorized Access to Systems or Data</v>
      </c>
      <c r="W77" s="235"/>
    </row>
    <row r="78" spans="1:23" ht="48" customHeight="1">
      <c r="A78" s="234"/>
      <c r="B78" s="425"/>
      <c r="C78" s="50">
        <v>4.3</v>
      </c>
      <c r="D78" s="430" t="str">
        <f>VLOOKUP(C78,'Technology MASTER'!$B$3:$Q$107,5,FALSE)</f>
        <v>Do you have an automated tool or process that inventories all administrative accounts, including domain and local accounts, to ensure that only authorized individuals have elevated privileges?</v>
      </c>
      <c r="E78" s="430"/>
      <c r="F78" s="430"/>
      <c r="G78" s="430"/>
      <c r="H78" s="430"/>
      <c r="I78" s="430"/>
      <c r="J78" s="430"/>
      <c r="K78" s="430"/>
      <c r="L78" s="431"/>
      <c r="M78" s="431"/>
      <c r="N78" s="482"/>
      <c r="O78" s="483"/>
      <c r="P78" s="483"/>
      <c r="Q78" s="484"/>
      <c r="R78" s="278" t="str">
        <f>VLOOKUP(C78,'Technology MASTER'!$B$3:$Q$107,3,FALSE)</f>
        <v>Controlled Use of Administrative Privileges</v>
      </c>
      <c r="S78" s="278" t="str">
        <f>VLOOKUP(C78,'Technology MASTER'!$B$3:$Q$107,4,FALSE)</f>
        <v>Detect</v>
      </c>
      <c r="T78" s="278" t="e">
        <f>HLOOKUP($N$28,'Technology MASTER'!$G$2:$I$107,19,FALSE)</f>
        <v>#N/A</v>
      </c>
      <c r="U78" s="278" t="str">
        <f>VLOOKUP(C78,'Technology MASTER'!$B$3:$Q$107,13,FALSE)</f>
        <v>Users gain access to information that is beyond their appropriate level of privilege.</v>
      </c>
      <c r="V78" s="278" t="str">
        <f>VLOOKUP(C78,'Technology MASTER'!$B$3:$Q$107,16,FALSE)</f>
        <v>Unauthorized Access to Systems or Data</v>
      </c>
      <c r="W78" s="235"/>
    </row>
    <row r="79" spans="1:23" ht="48" customHeight="1">
      <c r="A79" s="234"/>
      <c r="B79" s="425"/>
      <c r="C79" s="50">
        <v>4.4000000000000004</v>
      </c>
      <c r="D79" s="430" t="str">
        <f>VLOOKUP(C79,'Technology MASTER'!$B$3:$Q$107,5,FALSE)</f>
        <v>Is there a log entry or alert recorded when an account is added to or removed from an administrators group?</v>
      </c>
      <c r="E79" s="430"/>
      <c r="F79" s="430"/>
      <c r="G79" s="430"/>
      <c r="H79" s="430"/>
      <c r="I79" s="430"/>
      <c r="J79" s="430"/>
      <c r="K79" s="430"/>
      <c r="L79" s="431"/>
      <c r="M79" s="431"/>
      <c r="N79" s="482"/>
      <c r="O79" s="483"/>
      <c r="P79" s="483"/>
      <c r="Q79" s="484"/>
      <c r="R79" s="278" t="str">
        <f>VLOOKUP(C79,'Technology MASTER'!$B$3:$Q$107,3,FALSE)</f>
        <v>Controlled Use of Administrative Privileges</v>
      </c>
      <c r="S79" s="278" t="str">
        <f>VLOOKUP(C79,'Technology MASTER'!$B$3:$Q$107,4,FALSE)</f>
        <v>Detect</v>
      </c>
      <c r="T79" s="278" t="e">
        <f>HLOOKUP($N$28,'Technology MASTER'!$G$2:$I$107,20,FALSE)</f>
        <v>#N/A</v>
      </c>
      <c r="U79" s="278" t="str">
        <f>VLOOKUP(C79,'Technology MASTER'!$B$3:$Q$107,13,FALSE)</f>
        <v>The lack of logging mechanisms to record and store user activities, exceptions, and information security events may result in unauthorized access or activity going undetected.</v>
      </c>
      <c r="V79" s="278" t="str">
        <f>VLOOKUP(C79,'Technology MASTER'!$B$3:$Q$107,16,FALSE)</f>
        <v>Unauthorized Access to Systems or Data</v>
      </c>
      <c r="W79" s="235"/>
    </row>
    <row r="80" spans="1:23" ht="48" customHeight="1">
      <c r="A80" s="234"/>
      <c r="B80" s="425"/>
      <c r="C80" s="50">
        <v>4.5</v>
      </c>
      <c r="D80" s="430" t="str">
        <f>VLOOKUP(C80,'Technology MASTER'!$B$3:$Q$107,5,FALSE)</f>
        <v>Do you configure systems to issue a log entry and alert on unsuccessful login to an administrative account?</v>
      </c>
      <c r="E80" s="430"/>
      <c r="F80" s="430"/>
      <c r="G80" s="430"/>
      <c r="H80" s="430"/>
      <c r="I80" s="430"/>
      <c r="J80" s="430"/>
      <c r="K80" s="430"/>
      <c r="L80" s="431"/>
      <c r="M80" s="431"/>
      <c r="N80" s="482"/>
      <c r="O80" s="483"/>
      <c r="P80" s="483"/>
      <c r="Q80" s="484"/>
      <c r="R80" s="278" t="str">
        <f>VLOOKUP(C80,'Technology MASTER'!$B$3:$Q$107,3,FALSE)</f>
        <v>Controlled Use of Administrative Privileges</v>
      </c>
      <c r="S80" s="278" t="str">
        <f>VLOOKUP(C80,'Technology MASTER'!$B$3:$Q$107,4,FALSE)</f>
        <v>Detect</v>
      </c>
      <c r="T80" s="278" t="e">
        <f>HLOOKUP($N$28,'Technology MASTER'!$G$2:$I$107,21,FALSE)</f>
        <v>#N/A</v>
      </c>
      <c r="U80" s="278" t="str">
        <f>VLOOKUP(C80,'Technology MASTER'!$B$3:$Q$107,13,FALSE)</f>
        <v>The lack of logging mechanisms to record and store user activities, exceptions, and information security events may result in unauthorized access or activity going undetected.</v>
      </c>
      <c r="V80" s="278" t="str">
        <f>VLOOKUP(C80,'Technology MASTER'!$B$3:$Q$107,16,FALSE)</f>
        <v>Unauthorized Access to Systems or Data</v>
      </c>
      <c r="W80" s="235"/>
    </row>
    <row r="81" spans="1:23" ht="48" customHeight="1">
      <c r="A81" s="234"/>
      <c r="B81" s="425"/>
      <c r="C81" s="50">
        <v>4.5999999999999996</v>
      </c>
      <c r="D81" s="430" t="str">
        <f>VLOOKUP(C81,'Technology MASTER'!$B$3:$Q$107,5,FALSE)</f>
        <v>Where permissible, do you require multi-factor authentication and encrypted channels for all administrative account access?</v>
      </c>
      <c r="E81" s="430"/>
      <c r="F81" s="430"/>
      <c r="G81" s="430"/>
      <c r="H81" s="430"/>
      <c r="I81" s="430"/>
      <c r="J81" s="430"/>
      <c r="K81" s="430"/>
      <c r="L81" s="431"/>
      <c r="M81" s="431"/>
      <c r="N81" s="482"/>
      <c r="O81" s="483"/>
      <c r="P81" s="483"/>
      <c r="Q81" s="484"/>
      <c r="R81" s="278" t="str">
        <f>VLOOKUP(C81,'Technology MASTER'!$B$3:$Q$107,3,FALSE)</f>
        <v>Controlled Use of Administrative Privileges</v>
      </c>
      <c r="S81" s="278" t="str">
        <f>VLOOKUP(C81,'Technology MASTER'!$B$3:$Q$107,4,FALSE)</f>
        <v>Protect</v>
      </c>
      <c r="T81" s="278" t="e">
        <f>HLOOKUP($N$28,'Technology MASTER'!$G$2:$I$107,22,FALSE)</f>
        <v>#N/A</v>
      </c>
      <c r="U81" s="278" t="str">
        <f>VLOOKUP(C81,'Technology MASTER'!$B$3:$Q$107,13,FALSE)</f>
        <v>Unauthorized users are able to gain access to information systems by claiming to be an authorized user.</v>
      </c>
      <c r="V81" s="278" t="str">
        <f>VLOOKUP(C81,'Technology MASTER'!$B$3:$Q$107,16,FALSE)</f>
        <v>Unauthorized Access to Systems or Data</v>
      </c>
      <c r="W81" s="235"/>
    </row>
    <row r="82" spans="1:23" ht="48" customHeight="1">
      <c r="A82" s="234"/>
      <c r="B82" s="425"/>
      <c r="C82" s="50">
        <v>4.7</v>
      </c>
      <c r="D82" s="430" t="str">
        <f>VLOOKUP(C82,'Technology MASTER'!$B$3:$Q$107,5,FALSE)</f>
        <v>Where multi-factor authentication is not supported (such as local administrator, root, or service accounts), accounts will use passwords that are unique to that system?</v>
      </c>
      <c r="E82" s="430"/>
      <c r="F82" s="430"/>
      <c r="G82" s="430"/>
      <c r="H82" s="430"/>
      <c r="I82" s="430"/>
      <c r="J82" s="430"/>
      <c r="K82" s="430"/>
      <c r="L82" s="431"/>
      <c r="M82" s="431"/>
      <c r="N82" s="482"/>
      <c r="O82" s="483"/>
      <c r="P82" s="483"/>
      <c r="Q82" s="484"/>
      <c r="R82" s="278" t="str">
        <f>VLOOKUP(C82,'Technology MASTER'!$B$3:$Q$107,3,FALSE)</f>
        <v>Controlled Use of Administrative Privileges</v>
      </c>
      <c r="S82" s="278" t="str">
        <f>VLOOKUP(C82,'Technology MASTER'!$B$3:$Q$107,4,FALSE)</f>
        <v>Protect</v>
      </c>
      <c r="T82" s="278" t="e">
        <f>HLOOKUP($N$28,'Technology MASTER'!$G$2:$I$107,23,FALSE)</f>
        <v>#N/A</v>
      </c>
      <c r="U82" s="278" t="str">
        <f>VLOOKUP(C82,'Technology MASTER'!$B$3:$Q$107,13,FALSE)</f>
        <v>Unauthorized users log on to information systems.</v>
      </c>
      <c r="V82" s="278" t="str">
        <f>VLOOKUP(C82,'Technology MASTER'!$B$3:$Q$107,16,FALSE)</f>
        <v>Unauthorized Access to Systems or Data</v>
      </c>
      <c r="W82" s="235"/>
    </row>
    <row r="83" spans="1:23" ht="48" customHeight="1">
      <c r="A83" s="234"/>
      <c r="B83" s="426"/>
      <c r="C83" s="50">
        <v>4.8</v>
      </c>
      <c r="D83" s="430" t="str">
        <f>VLOOKUP(C83,'Technology MASTER'!$B$3:$Q$107,5,FALSE)</f>
        <v>Do you limit access to scripting tools (such as Microsoft PowerShell and Python) to only administrative or development users with the need to access those capabilities?</v>
      </c>
      <c r="E83" s="430"/>
      <c r="F83" s="430"/>
      <c r="G83" s="430"/>
      <c r="H83" s="430"/>
      <c r="I83" s="430"/>
      <c r="J83" s="430"/>
      <c r="K83" s="430"/>
      <c r="L83" s="431"/>
      <c r="M83" s="431"/>
      <c r="N83" s="482"/>
      <c r="O83" s="483"/>
      <c r="P83" s="483"/>
      <c r="Q83" s="484"/>
      <c r="R83" s="278" t="str">
        <f>VLOOKUP(C83,'Technology MASTER'!$B$3:$Q$107,3,FALSE)</f>
        <v>Controlled Use of Administrative Privileges</v>
      </c>
      <c r="S83" s="278" t="str">
        <f>VLOOKUP(C83,'Technology MASTER'!$B$3:$Q$107,4,FALSE)</f>
        <v>Protect</v>
      </c>
      <c r="T83" s="278" t="e">
        <f>HLOOKUP($N$28,'Technology MASTER'!$G$2:$I$107,24,FALSE)</f>
        <v>#N/A</v>
      </c>
      <c r="U83" s="278" t="str">
        <f>VLOOKUP(C83,'Technology MASTER'!$B$3:$Q$107,13,FALSE)</f>
        <v>Processes which do not restrict access to information, information processing systems or applications and sensitive business processes based on a need to know basis, may result in accidental or deliberate misuse of access privileges.</v>
      </c>
      <c r="V83" s="278" t="str">
        <f>VLOOKUP(C83,'Technology MASTER'!$B$3:$Q$107,16,FALSE)</f>
        <v>Unauthorized Access to Systems or Data</v>
      </c>
      <c r="W83" s="235"/>
    </row>
    <row r="84" spans="1:23" ht="16">
      <c r="A84" s="234"/>
      <c r="B84" s="429"/>
      <c r="C84" s="429"/>
      <c r="D84" s="429"/>
      <c r="E84" s="429"/>
      <c r="F84" s="429"/>
      <c r="G84" s="429"/>
      <c r="H84" s="429"/>
      <c r="I84" s="429"/>
      <c r="J84" s="429"/>
      <c r="K84" s="429"/>
      <c r="L84" s="429"/>
      <c r="M84" s="429"/>
      <c r="N84" s="429"/>
      <c r="O84" s="429"/>
      <c r="P84" s="429"/>
      <c r="Q84" s="429"/>
      <c r="R84" s="216"/>
      <c r="S84" s="216"/>
      <c r="T84" s="216"/>
      <c r="U84" s="216"/>
      <c r="V84" s="216"/>
      <c r="W84" s="235"/>
    </row>
    <row r="85" spans="1:23" ht="48" customHeight="1">
      <c r="A85" s="234"/>
      <c r="B85" s="424" t="s">
        <v>16</v>
      </c>
      <c r="C85" s="50">
        <v>5.0999999999999996</v>
      </c>
      <c r="D85" s="430" t="str">
        <f>VLOOKUP(C85,'Technology MASTER'!$B$3:$Q$107,5,FALSE)</f>
        <v>Do you maintain documented security configuration standards for all authorized operating systems and software?</v>
      </c>
      <c r="E85" s="430"/>
      <c r="F85" s="430"/>
      <c r="G85" s="430"/>
      <c r="H85" s="430"/>
      <c r="I85" s="430"/>
      <c r="J85" s="430"/>
      <c r="K85" s="430"/>
      <c r="L85" s="431"/>
      <c r="M85" s="431"/>
      <c r="N85" s="482"/>
      <c r="O85" s="483"/>
      <c r="P85" s="483"/>
      <c r="Q85" s="484"/>
      <c r="R85" s="278" t="str">
        <f>VLOOKUP(C85,'Technology MASTER'!$B$3:$Q$107,3,FALSE)</f>
        <v>Secure Configurations for Hardware and Software on Mobile Devices, Laptops, Workstations, and Servers</v>
      </c>
      <c r="S85" s="278" t="str">
        <f>VLOOKUP(C85,'Technology MASTER'!$B$3:$Q$107,4,FALSE)</f>
        <v>Protect</v>
      </c>
      <c r="T85" s="278" t="e">
        <f>HLOOKUP($N$28,'Technology MASTER'!$G$2:$I$107,25,FALSE)</f>
        <v>#N/A</v>
      </c>
      <c r="U85" s="278" t="str">
        <f>VLOOKUP(C85,'Technology MASTER'!$B$3:$Q$107,13,FALSE)</f>
        <v>Configuration standards do not exist for systems being implemented.</v>
      </c>
      <c r="V85" s="278" t="str">
        <f>VLOOKUP(C85,'Technology MASTER'!$B$3:$Q$107,16,FALSE)</f>
        <v>Unauthorized Access to Systems or Data</v>
      </c>
      <c r="W85" s="235"/>
    </row>
    <row r="86" spans="1:23" ht="48" customHeight="1">
      <c r="A86" s="234"/>
      <c r="B86" s="425"/>
      <c r="C86" s="50">
        <v>5.2</v>
      </c>
      <c r="D86" s="430" t="str">
        <f>VLOOKUP(C86,'Technology MASTER'!$B$3:$Q$107,5,FALSE)</f>
        <v>Do you maintain secure images or templates for all systems in the enterprise based on the organization's approved configuration standards?</v>
      </c>
      <c r="E86" s="430"/>
      <c r="F86" s="430"/>
      <c r="G86" s="430"/>
      <c r="H86" s="430"/>
      <c r="I86" s="430"/>
      <c r="J86" s="430"/>
      <c r="K86" s="430"/>
      <c r="L86" s="431"/>
      <c r="M86" s="431"/>
      <c r="N86" s="482"/>
      <c r="O86" s="483"/>
      <c r="P86" s="483"/>
      <c r="Q86" s="484"/>
      <c r="R86" s="278" t="str">
        <f>VLOOKUP(C86,'Technology MASTER'!$B$3:$Q$107,3,FALSE)</f>
        <v>Secure Configurations for Hardware and Software on Mobile Devices, Laptops, Workstations, and Servers</v>
      </c>
      <c r="S86" s="278" t="str">
        <f>VLOOKUP(C86,'Technology MASTER'!$B$3:$Q$107,4,FALSE)</f>
        <v>Protect</v>
      </c>
      <c r="T86" s="278" t="e">
        <f>HLOOKUP($N$28,'Technology MASTER'!$G$2:$I$107,26,FALSE)</f>
        <v>#N/A</v>
      </c>
      <c r="U86" s="278" t="str">
        <f>VLOOKUP(C86,'Technology MASTER'!$B$3:$Q$107,13,FALSE)</f>
        <v>Changes to systems and applications are executed inconsistently in the production environment due to ill-defined procedures.</v>
      </c>
      <c r="V86" s="278" t="str">
        <f>VLOOKUP(C86,'Technology MASTER'!$B$3:$Q$107,16,FALSE)</f>
        <v>Unauthorized Access to Systems or Data</v>
      </c>
      <c r="W86" s="235"/>
    </row>
    <row r="87" spans="1:23" ht="48" customHeight="1">
      <c r="A87" s="234"/>
      <c r="B87" s="425"/>
      <c r="C87" s="50">
        <v>5.3</v>
      </c>
      <c r="D87" s="430" t="str">
        <f>VLOOKUP(C87,'Technology MASTER'!$B$3:$Q$107,5,FALSE)</f>
        <v>Do you store the master images and templates on securely configured servers, validated with integrity monitoring tools, to ensure that only authorized changes to the images are possible?</v>
      </c>
      <c r="E87" s="430"/>
      <c r="F87" s="430"/>
      <c r="G87" s="430"/>
      <c r="H87" s="430"/>
      <c r="I87" s="430"/>
      <c r="J87" s="430"/>
      <c r="K87" s="430"/>
      <c r="L87" s="431"/>
      <c r="M87" s="431"/>
      <c r="N87" s="482"/>
      <c r="O87" s="483"/>
      <c r="P87" s="483"/>
      <c r="Q87" s="484"/>
      <c r="R87" s="278" t="str">
        <f>VLOOKUP(C87,'Technology MASTER'!$B$3:$Q$107,3,FALSE)</f>
        <v>Secure Configurations for Hardware and Software on Mobile Devices, Laptops, Workstations, and Servers</v>
      </c>
      <c r="S87" s="278" t="str">
        <f>VLOOKUP(C87,'Technology MASTER'!$B$3:$Q$107,4,FALSE)</f>
        <v>Protect</v>
      </c>
      <c r="T87" s="278" t="e">
        <f>HLOOKUP($N$28,'Technology MASTER'!$G$2:$I$107,27,FALSE)</f>
        <v>#N/A</v>
      </c>
      <c r="U87" s="278" t="str">
        <f>VLOOKUP(C87,'Technology MASTER'!$B$3:$Q$107,13,FALSE)</f>
        <v>Changes to the production environment are not operating as expected and may disrupt the production environment.</v>
      </c>
      <c r="V87" s="278" t="str">
        <f>VLOOKUP(C87,'Technology MASTER'!$B$3:$Q$107,16,FALSE)</f>
        <v>Unauthorized Access to Systems or Data</v>
      </c>
      <c r="W87" s="235"/>
    </row>
    <row r="88" spans="1:23" ht="48" customHeight="1">
      <c r="A88" s="234"/>
      <c r="B88" s="426"/>
      <c r="C88" s="50">
        <v>5.4</v>
      </c>
      <c r="D88" s="430" t="str">
        <f>VLOOKUP(C88,'Technology MASTER'!$B$3:$Q$107,5,FALSE)</f>
        <v>Do you have a system configuration management tool or process that will detect system drift from the secure "master" image?</v>
      </c>
      <c r="E88" s="430"/>
      <c r="F88" s="430"/>
      <c r="G88" s="430"/>
      <c r="H88" s="430"/>
      <c r="I88" s="430"/>
      <c r="J88" s="430"/>
      <c r="K88" s="430"/>
      <c r="L88" s="431"/>
      <c r="M88" s="431"/>
      <c r="N88" s="482"/>
      <c r="O88" s="483"/>
      <c r="P88" s="483"/>
      <c r="Q88" s="484"/>
      <c r="R88" s="278" t="str">
        <f>VLOOKUP(C88,'Technology MASTER'!$B$3:$Q$107,3,FALSE)</f>
        <v>Secure Configurations for Hardware and Software on Mobile Devices, Laptops, Workstations, and Servers</v>
      </c>
      <c r="S88" s="278" t="str">
        <f>VLOOKUP(C88,'Technology MASTER'!$B$3:$Q$107,4,FALSE)</f>
        <v>Detect</v>
      </c>
      <c r="T88" s="278" t="e">
        <f>HLOOKUP($N$28,'Technology MASTER'!$G$2:$I$107,28,FALSE)</f>
        <v>#N/A</v>
      </c>
      <c r="U88" s="278" t="str">
        <f>VLOOKUP(C88,'Technology MASTER'!$B$3:$Q$107,13,FALSE)</f>
        <v>Changes to the production environment are not operating as expected and may disrupt the production environment.</v>
      </c>
      <c r="V88" s="278" t="str">
        <f>VLOOKUP(C88,'Technology MASTER'!$B$3:$Q$107,16,FALSE)</f>
        <v>Unauthorized Access to Systems or Data</v>
      </c>
      <c r="W88" s="235"/>
    </row>
    <row r="89" spans="1:23" ht="16">
      <c r="A89" s="234"/>
      <c r="B89" s="429"/>
      <c r="C89" s="429"/>
      <c r="D89" s="429"/>
      <c r="E89" s="429"/>
      <c r="F89" s="429"/>
      <c r="G89" s="429"/>
      <c r="H89" s="429"/>
      <c r="I89" s="429"/>
      <c r="J89" s="429"/>
      <c r="K89" s="429"/>
      <c r="L89" s="429"/>
      <c r="M89" s="429"/>
      <c r="N89" s="429"/>
      <c r="O89" s="429"/>
      <c r="P89" s="429"/>
      <c r="Q89" s="429"/>
      <c r="R89" s="216"/>
      <c r="S89" s="216"/>
      <c r="T89" s="216"/>
      <c r="U89" s="216"/>
      <c r="V89" s="216"/>
      <c r="W89" s="235"/>
    </row>
    <row r="90" spans="1:23" ht="48" customHeight="1">
      <c r="A90" s="234"/>
      <c r="B90" s="424" t="s">
        <v>17</v>
      </c>
      <c r="C90" s="50">
        <v>6.1</v>
      </c>
      <c r="D90" s="430" t="str">
        <f>VLOOKUP(C90,'Technology MASTER'!$B$3:$Q$107,5,FALSE)</f>
        <v>Is local logging enabled on all systems and networking devices?</v>
      </c>
      <c r="E90" s="430"/>
      <c r="F90" s="430"/>
      <c r="G90" s="430"/>
      <c r="H90" s="430"/>
      <c r="I90" s="430"/>
      <c r="J90" s="430"/>
      <c r="K90" s="430"/>
      <c r="L90" s="431"/>
      <c r="M90" s="431"/>
      <c r="N90" s="482"/>
      <c r="O90" s="483"/>
      <c r="P90" s="483"/>
      <c r="Q90" s="484"/>
      <c r="R90" s="278" t="str">
        <f>VLOOKUP(C90,'Technology MASTER'!$B$3:$Q$107,3,FALSE)</f>
        <v>Maintenance, Monitoring, and Analysis of Audit Logs</v>
      </c>
      <c r="S90" s="278" t="str">
        <f>VLOOKUP(C90,'Technology MASTER'!$B$3:$Q$107,4,FALSE)</f>
        <v>Detect</v>
      </c>
      <c r="T90" s="278" t="e">
        <f>HLOOKUP($N$28,'Technology MASTER'!$G$2:$I$107,29,FALSE)</f>
        <v>#N/A</v>
      </c>
      <c r="U90" s="278" t="str">
        <f>VLOOKUP(C90,'Technology MASTER'!$B$3:$Q$107,13,FALSE)</f>
        <v>System failure is not detected in a timely fashion due to inadequate fault logging and monitoring capabilities.</v>
      </c>
      <c r="V90" s="278" t="str">
        <f>VLOOKUP(C90,'Technology MASTER'!$B$3:$Q$107,16,FALSE)</f>
        <v>Cyber Attack</v>
      </c>
      <c r="W90" s="235"/>
    </row>
    <row r="91" spans="1:23" ht="48" customHeight="1">
      <c r="A91" s="234"/>
      <c r="B91" s="425"/>
      <c r="C91" s="50">
        <v>6.2</v>
      </c>
      <c r="D91" s="430" t="str">
        <f>VLOOKUP(C91,'Technology MASTER'!$B$3:$Q$107,5,FALSE)</f>
        <v>Does system logging  include detailed information such as an event source, date, user, timestamp, source addresses, destination addresses, and other useful elements?</v>
      </c>
      <c r="E91" s="430"/>
      <c r="F91" s="430"/>
      <c r="G91" s="430"/>
      <c r="H91" s="430"/>
      <c r="I91" s="430"/>
      <c r="J91" s="430"/>
      <c r="K91" s="430"/>
      <c r="L91" s="431"/>
      <c r="M91" s="431"/>
      <c r="N91" s="482"/>
      <c r="O91" s="483"/>
      <c r="P91" s="483"/>
      <c r="Q91" s="484"/>
      <c r="R91" s="278" t="str">
        <f>VLOOKUP(C91,'Technology MASTER'!$B$3:$Q$107,3,FALSE)</f>
        <v>Maintenance, Monitoring, and Analysis of Audit Logs</v>
      </c>
      <c r="S91" s="278" t="str">
        <f>VLOOKUP(C91,'Technology MASTER'!$B$3:$Q$107,4,FALSE)</f>
        <v>Detect</v>
      </c>
      <c r="T91" s="278" t="e">
        <f>HLOOKUP($N$28,'Technology MASTER'!$G$2:$I$107,30,FALSE)</f>
        <v>#N/A</v>
      </c>
      <c r="U91" s="278" t="str">
        <f>VLOOKUP(C91,'Technology MASTER'!$B$3:$Q$107,13,FALSE)</f>
        <v>Unauthorized access and activity is undetected due to incomplete log information.</v>
      </c>
      <c r="V91" s="278" t="str">
        <f>VLOOKUP(C91,'Technology MASTER'!$B$3:$Q$107,16,FALSE)</f>
        <v>Cyber Attack</v>
      </c>
      <c r="W91" s="235"/>
    </row>
    <row r="92" spans="1:23" ht="48" customHeight="1">
      <c r="A92" s="234"/>
      <c r="B92" s="425"/>
      <c r="C92" s="50">
        <v>6.3</v>
      </c>
      <c r="D92" s="430" t="str">
        <f>VLOOKUP(C92,'Technology MASTER'!$B$3:$Q$107,5,FALSE)</f>
        <v>Do all systems that store logs have adequate storage space for the logs generated?</v>
      </c>
      <c r="E92" s="430"/>
      <c r="F92" s="430"/>
      <c r="G92" s="430"/>
      <c r="H92" s="430"/>
      <c r="I92" s="430"/>
      <c r="J92" s="430"/>
      <c r="K92" s="430"/>
      <c r="L92" s="431"/>
      <c r="M92" s="431"/>
      <c r="N92" s="482"/>
      <c r="O92" s="483"/>
      <c r="P92" s="483"/>
      <c r="Q92" s="484"/>
      <c r="R92" s="278" t="str">
        <f>VLOOKUP(C92,'Technology MASTER'!$B$3:$Q$107,3,FALSE)</f>
        <v>Maintenance, Monitoring, and Analysis of Audit Logs</v>
      </c>
      <c r="S92" s="278" t="str">
        <f>VLOOKUP(C92,'Technology MASTER'!$B$3:$Q$107,4,FALSE)</f>
        <v>Detect</v>
      </c>
      <c r="T92" s="278" t="e">
        <f>HLOOKUP($N$28,'Technology MASTER'!$G$2:$I$107,31,FALSE)</f>
        <v>#N/A</v>
      </c>
      <c r="U92" s="278" t="str">
        <f>VLOOKUP(C92,'Technology MASTER'!$B$3:$Q$107,13,FALSE)</f>
        <v>Logging facilities and log information is compromised and tampered with due to inadequate data protection mechanisms.</v>
      </c>
      <c r="V92" s="278" t="str">
        <f>VLOOKUP(C92,'Technology MASTER'!$B$3:$Q$107,16,FALSE)</f>
        <v>Cyber Attack</v>
      </c>
      <c r="W92" s="235"/>
    </row>
    <row r="93" spans="1:23" ht="48" customHeight="1">
      <c r="A93" s="234"/>
      <c r="B93" s="425"/>
      <c r="C93" s="50">
        <v>6.4</v>
      </c>
      <c r="D93" s="430" t="str">
        <f>VLOOKUP(C93,'Technology MASTER'!$B$3:$Q$107,5,FALSE)</f>
        <v>Are logs being aggregated to a central log management system for analysis and review?</v>
      </c>
      <c r="E93" s="430"/>
      <c r="F93" s="430"/>
      <c r="G93" s="430"/>
      <c r="H93" s="430"/>
      <c r="I93" s="430"/>
      <c r="J93" s="430"/>
      <c r="K93" s="430"/>
      <c r="L93" s="431"/>
      <c r="M93" s="431"/>
      <c r="N93" s="482"/>
      <c r="O93" s="483"/>
      <c r="P93" s="483"/>
      <c r="Q93" s="484"/>
      <c r="R93" s="278" t="str">
        <f>VLOOKUP(C93,'Technology MASTER'!$B$3:$Q$107,3,FALSE)</f>
        <v>Maintenance, Monitoring, and Analysis of Audit Logs</v>
      </c>
      <c r="S93" s="278" t="str">
        <f>VLOOKUP(C93,'Technology MASTER'!$B$3:$Q$107,4,FALSE)</f>
        <v>Detect</v>
      </c>
      <c r="T93" s="278" t="e">
        <f>HLOOKUP($N$28,'Technology MASTER'!$G$2:$I$107,32,FALSE)</f>
        <v>#N/A</v>
      </c>
      <c r="U93" s="278" t="str">
        <f>VLOOKUP(C93,'Technology MASTER'!$B$3:$Q$107,13,FALSE)</f>
        <v>Logging facilities and log information is compromised and tampered with due to inadequate data protection mechanisms.</v>
      </c>
      <c r="V93" s="278" t="str">
        <f>VLOOKUP(C93,'Technology MASTER'!$B$3:$Q$107,16,FALSE)</f>
        <v>Cyber Attack</v>
      </c>
      <c r="W93" s="235"/>
    </row>
    <row r="94" spans="1:23" ht="48" customHeight="1">
      <c r="A94" s="234"/>
      <c r="B94" s="426"/>
      <c r="C94" s="50">
        <v>6.5</v>
      </c>
      <c r="D94" s="430" t="str">
        <f>VLOOKUP(C94,'Technology MASTER'!$B$3:$Q$107,5,FALSE)</f>
        <v>On a regular basis, is there a review of the logs to identify anomalies or abnormal events?</v>
      </c>
      <c r="E94" s="430"/>
      <c r="F94" s="430"/>
      <c r="G94" s="430"/>
      <c r="H94" s="430"/>
      <c r="I94" s="430"/>
      <c r="J94" s="430"/>
      <c r="K94" s="430"/>
      <c r="L94" s="431"/>
      <c r="M94" s="431"/>
      <c r="N94" s="482"/>
      <c r="O94" s="483"/>
      <c r="P94" s="483"/>
      <c r="Q94" s="484"/>
      <c r="R94" s="278" t="str">
        <f>VLOOKUP(C94,'Technology MASTER'!$B$3:$Q$107,3,FALSE)</f>
        <v>Maintenance, Monitoring, and Analysis of Audit Logs</v>
      </c>
      <c r="S94" s="278" t="str">
        <f>VLOOKUP(C94,'Technology MASTER'!$B$3:$Q$107,4,FALSE)</f>
        <v>Detect</v>
      </c>
      <c r="T94" s="278" t="e">
        <f>HLOOKUP($N$28,'Technology MASTER'!$G$2:$I$107,33,FALSE)</f>
        <v>#N/A</v>
      </c>
      <c r="U94" s="278" t="str">
        <f>VLOOKUP(C94,'Technology MASTER'!$B$3:$Q$107,13,FALSE)</f>
        <v>Independent reviews of information security are not regularly performed to ensure the continuing suitability, adequacy, and effectiveness of the organization's information security program.</v>
      </c>
      <c r="V94" s="278" t="str">
        <f>VLOOKUP(C94,'Technology MASTER'!$B$3:$Q$107,16,FALSE)</f>
        <v>Cyber Attack</v>
      </c>
      <c r="W94" s="235"/>
    </row>
    <row r="95" spans="1:23" ht="16">
      <c r="A95" s="234"/>
      <c r="B95" s="429"/>
      <c r="C95" s="429"/>
      <c r="D95" s="429"/>
      <c r="E95" s="429"/>
      <c r="F95" s="429"/>
      <c r="G95" s="429"/>
      <c r="H95" s="429"/>
      <c r="I95" s="429"/>
      <c r="J95" s="429"/>
      <c r="K95" s="429"/>
      <c r="L95" s="429"/>
      <c r="M95" s="429"/>
      <c r="N95" s="429"/>
      <c r="O95" s="429"/>
      <c r="P95" s="429"/>
      <c r="Q95" s="429"/>
      <c r="R95" s="216"/>
      <c r="S95" s="216"/>
      <c r="T95" s="216"/>
      <c r="U95" s="216"/>
      <c r="V95" s="216"/>
      <c r="W95" s="235"/>
    </row>
    <row r="96" spans="1:23" ht="48" customHeight="1">
      <c r="A96" s="234"/>
      <c r="B96" s="424" t="s">
        <v>18</v>
      </c>
      <c r="C96" s="50">
        <v>7.1</v>
      </c>
      <c r="D96" s="430" t="str">
        <f>VLOOKUP(C96,'Technology MASTER'!$B$3:$Q$107,5,FALSE)</f>
        <v>Are only supported web browsers and email clients allowed to execute within the organization?</v>
      </c>
      <c r="E96" s="430"/>
      <c r="F96" s="430"/>
      <c r="G96" s="430"/>
      <c r="H96" s="430"/>
      <c r="I96" s="430"/>
      <c r="J96" s="430"/>
      <c r="K96" s="430"/>
      <c r="L96" s="431"/>
      <c r="M96" s="431"/>
      <c r="N96" s="482"/>
      <c r="O96" s="483"/>
      <c r="P96" s="483"/>
      <c r="Q96" s="484"/>
      <c r="R96" s="278" t="str">
        <f>VLOOKUP(C96,'Technology MASTER'!$B$3:$Q$107,3,FALSE)</f>
        <v>Email and Web Browser Protections</v>
      </c>
      <c r="S96" s="278" t="str">
        <f>VLOOKUP(C96,'Technology MASTER'!$B$3:$Q$107,4,FALSE)</f>
        <v>Protect</v>
      </c>
      <c r="T96" s="278" t="e">
        <f>HLOOKUP($N$28,'Technology MASTER'!$G$2:$I$107,34,FALSE)</f>
        <v>#N/A</v>
      </c>
      <c r="U96" s="278" t="str">
        <f>VLOOKUP(C96,'Technology MASTER'!$B$3:$Q$107,13,FALSE)</f>
        <v>Networks and supporting infrastructure are exposed to unauthorized parties due to lack of defined network security and administration policies, procedures and standards.</v>
      </c>
      <c r="V96" s="278" t="str">
        <f>VLOOKUP(C96,'Technology MASTER'!$B$3:$Q$107,16,FALSE)</f>
        <v>Cyber Attack</v>
      </c>
      <c r="W96" s="235"/>
    </row>
    <row r="97" spans="1:23" ht="48" customHeight="1">
      <c r="A97" s="234"/>
      <c r="B97" s="425"/>
      <c r="C97" s="50">
        <v>7.2</v>
      </c>
      <c r="D97" s="430" t="str">
        <f>VLOOKUP(C97,'Technology MASTER'!$B$3:$Q$107,5,FALSE)</f>
        <v>Does your organization uninstall or disable any unauthorized browser or email client plugins or add-on applications?</v>
      </c>
      <c r="E97" s="430"/>
      <c r="F97" s="430"/>
      <c r="G97" s="430"/>
      <c r="H97" s="430"/>
      <c r="I97" s="430"/>
      <c r="J97" s="430"/>
      <c r="K97" s="430"/>
      <c r="L97" s="431"/>
      <c r="M97" s="431"/>
      <c r="N97" s="482"/>
      <c r="O97" s="483"/>
      <c r="P97" s="483"/>
      <c r="Q97" s="484"/>
      <c r="R97" s="278" t="str">
        <f>VLOOKUP(C97,'Technology MASTER'!$B$3:$Q$107,3,FALSE)</f>
        <v>Email and Web Browser Protections</v>
      </c>
      <c r="S97" s="278" t="str">
        <f>VLOOKUP(C97,'Technology MASTER'!$B$3:$Q$107,4,FALSE)</f>
        <v>Protect</v>
      </c>
      <c r="T97" s="278" t="e">
        <f>HLOOKUP($N$28,'Technology MASTER'!$G$2:$I$107,35,FALSE)</f>
        <v>#N/A</v>
      </c>
      <c r="U97" s="278" t="str">
        <f>VLOOKUP(C97,'Technology MASTER'!$B$3:$Q$107,13,FALSE)</f>
        <v>Networks and supporting infrastructure are exposed to unauthorized parties due to lack of defined network security and administration policies, procedures and standards.</v>
      </c>
      <c r="V97" s="278" t="str">
        <f>VLOOKUP(C97,'Technology MASTER'!$B$3:$Q$107,16,FALSE)</f>
        <v>Cyber Attack</v>
      </c>
      <c r="W97" s="235"/>
    </row>
    <row r="98" spans="1:23" ht="48" customHeight="1">
      <c r="A98" s="234"/>
      <c r="B98" s="425"/>
      <c r="C98" s="50">
        <v>7.3</v>
      </c>
      <c r="D98" s="430" t="str">
        <f>VLOOKUP(C98,'Technology MASTER'!$B$3:$Q$107,5,FALSE)</f>
        <v>Do you have a network-based URL filter that limit a system's ability to connect to websites not approved by the organization?</v>
      </c>
      <c r="E98" s="430"/>
      <c r="F98" s="430"/>
      <c r="G98" s="430"/>
      <c r="H98" s="430"/>
      <c r="I98" s="430"/>
      <c r="J98" s="430"/>
      <c r="K98" s="430"/>
      <c r="L98" s="431"/>
      <c r="M98" s="431"/>
      <c r="N98" s="482"/>
      <c r="O98" s="483"/>
      <c r="P98" s="483"/>
      <c r="Q98" s="484"/>
      <c r="R98" s="278" t="str">
        <f>VLOOKUP(C98,'Technology MASTER'!$B$3:$Q$107,3,FALSE)</f>
        <v>Email and Web Browser Protections</v>
      </c>
      <c r="S98" s="278" t="str">
        <f>VLOOKUP(C98,'Technology MASTER'!$B$3:$Q$107,4,FALSE)</f>
        <v>Protect</v>
      </c>
      <c r="T98" s="278" t="e">
        <f>HLOOKUP($N$28,'Technology MASTER'!$G$2:$I$107,36,FALSE)</f>
        <v>#N/A</v>
      </c>
      <c r="U98" s="278" t="str">
        <f>VLOOKUP(C98,'Technology MASTER'!$B$3:$Q$107,13,FALSE)</f>
        <v>Laptops and mobile devices bypass the proxy server when used outside of the LAN. Ransomware may attack systems when they are out of the office LAN.</v>
      </c>
      <c r="V98" s="278" t="str">
        <f>VLOOKUP(C98,'Technology MASTER'!$B$3:$Q$107,16,FALSE)</f>
        <v>Cyber Attack</v>
      </c>
      <c r="W98" s="235"/>
    </row>
    <row r="99" spans="1:23" ht="48" customHeight="1">
      <c r="A99" s="234"/>
      <c r="B99" s="425"/>
      <c r="C99" s="50">
        <v>7.4</v>
      </c>
      <c r="D99" s="430" t="str">
        <f>VLOOKUP(C99,'Technology MASTER'!$B$3:$Q$107,5,FALSE)</f>
        <v>Do you log all URL requests from each of the organization's systems, whether on-site or a mobile device, in order to identify potentially malicious activity and assist incident handlers with identifying potentially compromised systems?</v>
      </c>
      <c r="E99" s="430"/>
      <c r="F99" s="430"/>
      <c r="G99" s="430"/>
      <c r="H99" s="430"/>
      <c r="I99" s="430"/>
      <c r="J99" s="430"/>
      <c r="K99" s="430"/>
      <c r="L99" s="431"/>
      <c r="M99" s="431"/>
      <c r="N99" s="482"/>
      <c r="O99" s="483"/>
      <c r="P99" s="483"/>
      <c r="Q99" s="484"/>
      <c r="R99" s="278" t="str">
        <f>VLOOKUP(C99,'Technology MASTER'!$B$3:$Q$107,3,FALSE)</f>
        <v>Email and Web Browser Protections</v>
      </c>
      <c r="S99" s="278" t="str">
        <f>VLOOKUP(C99,'Technology MASTER'!$B$3:$Q$107,4,FALSE)</f>
        <v>Detect</v>
      </c>
      <c r="T99" s="278" t="e">
        <f>HLOOKUP($N$28,'Technology MASTER'!$G$2:$I$107,37,FALSE)</f>
        <v>#N/A</v>
      </c>
      <c r="U99" s="278" t="str">
        <f>VLOOKUP(C99,'Technology MASTER'!$B$3:$Q$107,13,FALSE)</f>
        <v>Unauthorized, malicious code is executed on systems without authorization.</v>
      </c>
      <c r="V99" s="278" t="str">
        <f>VLOOKUP(C99,'Technology MASTER'!$B$3:$Q$107,16,FALSE)</f>
        <v>Cyber Attack</v>
      </c>
      <c r="W99" s="235"/>
    </row>
    <row r="100" spans="1:23" ht="48" customHeight="1">
      <c r="A100" s="234"/>
      <c r="B100" s="425"/>
      <c r="C100" s="50">
        <v>7.5</v>
      </c>
      <c r="D100" s="430" t="str">
        <f>VLOOKUP(C100,'Technology MASTER'!$B$3:$Q$107,5,FALSE)</f>
        <v>Has the organization implemented Domain-based Message Authentication, Reporting and Conformance (DMARC), starting by implementing the Sender Policy Framework (SPF) and the DomainKeys Identified Mail(DKIM) standards?</v>
      </c>
      <c r="E100" s="430"/>
      <c r="F100" s="430"/>
      <c r="G100" s="430"/>
      <c r="H100" s="430"/>
      <c r="I100" s="430"/>
      <c r="J100" s="430"/>
      <c r="K100" s="430"/>
      <c r="L100" s="431"/>
      <c r="M100" s="431"/>
      <c r="N100" s="482"/>
      <c r="O100" s="483"/>
      <c r="P100" s="483"/>
      <c r="Q100" s="484"/>
      <c r="R100" s="278" t="str">
        <f>VLOOKUP(C100,'Technology MASTER'!$B$3:$Q$107,3,FALSE)</f>
        <v>Email and Web Browser Protections</v>
      </c>
      <c r="S100" s="278" t="str">
        <f>VLOOKUP(C100,'Technology MASTER'!$B$3:$Q$107,4,FALSE)</f>
        <v>Protect</v>
      </c>
      <c r="T100" s="278" t="e">
        <f>HLOOKUP($N$28,'Technology MASTER'!$G$2:$I$107,38,FALSE)</f>
        <v>#N/A</v>
      </c>
      <c r="U100" s="278" t="str">
        <f>VLOOKUP(C100,'Technology MASTER'!$B$3:$Q$107,13,FALSE)</f>
        <v>Configuration standards do not exist for systems being implemented.</v>
      </c>
      <c r="V100" s="278" t="str">
        <f>VLOOKUP(C100,'Technology MASTER'!$B$3:$Q$107,16,FALSE)</f>
        <v>Cyber Attack</v>
      </c>
      <c r="W100" s="235"/>
    </row>
    <row r="101" spans="1:23" ht="48" customHeight="1">
      <c r="A101" s="234"/>
      <c r="B101" s="426"/>
      <c r="C101" s="50">
        <v>7.6</v>
      </c>
      <c r="D101" s="430" t="str">
        <f>VLOOKUP(C101,'Technology MASTER'!$B$3:$Q$107,5,FALSE)</f>
        <v>Has the organization blocked all e-mail attachments entering the organization's e-mail gateway if the file types are unnecessary for the organization's business?</v>
      </c>
      <c r="E101" s="430"/>
      <c r="F101" s="430"/>
      <c r="G101" s="430"/>
      <c r="H101" s="430"/>
      <c r="I101" s="430"/>
      <c r="J101" s="430"/>
      <c r="K101" s="430"/>
      <c r="L101" s="431"/>
      <c r="M101" s="431"/>
      <c r="N101" s="482"/>
      <c r="O101" s="483"/>
      <c r="P101" s="483"/>
      <c r="Q101" s="484"/>
      <c r="R101" s="278" t="str">
        <f>VLOOKUP(C101,'Technology MASTER'!$B$3:$Q$107,3,FALSE)</f>
        <v>Email and Web Browser Protections</v>
      </c>
      <c r="S101" s="278" t="str">
        <f>VLOOKUP(C101,'Technology MASTER'!$B$3:$Q$107,4,FALSE)</f>
        <v>Protect</v>
      </c>
      <c r="T101" s="278" t="e">
        <f>HLOOKUP($N$28,'Technology MASTER'!$G$2:$I$107,39,FALSE)</f>
        <v>#N/A</v>
      </c>
      <c r="U101" s="278" t="str">
        <f>VLOOKUP(C101,'Technology MASTER'!$B$3:$Q$107,13,FALSE)</f>
        <v>Unauthorized, malicious code is executed on systems without authorization.</v>
      </c>
      <c r="V101" s="278" t="str">
        <f>VLOOKUP(C101,'Technology MASTER'!$B$3:$Q$107,16,FALSE)</f>
        <v>Cyber Attack</v>
      </c>
      <c r="W101" s="235"/>
    </row>
    <row r="102" spans="1:23" ht="16">
      <c r="A102" s="234"/>
      <c r="B102" s="429"/>
      <c r="C102" s="429"/>
      <c r="D102" s="429"/>
      <c r="E102" s="429"/>
      <c r="F102" s="429"/>
      <c r="G102" s="429"/>
      <c r="H102" s="429"/>
      <c r="I102" s="429"/>
      <c r="J102" s="429"/>
      <c r="K102" s="429"/>
      <c r="L102" s="429"/>
      <c r="M102" s="429"/>
      <c r="N102" s="429"/>
      <c r="O102" s="429"/>
      <c r="P102" s="429"/>
      <c r="Q102" s="429"/>
      <c r="R102" s="216"/>
      <c r="S102" s="216"/>
      <c r="T102" s="216"/>
      <c r="U102" s="216"/>
      <c r="V102" s="216"/>
      <c r="W102" s="235"/>
    </row>
    <row r="103" spans="1:23" ht="48" customHeight="1">
      <c r="A103" s="234"/>
      <c r="B103" s="424" t="s">
        <v>21</v>
      </c>
      <c r="C103" s="50">
        <v>8.1</v>
      </c>
      <c r="D103" s="430" t="str">
        <f>VLOOKUP(C103,'Technology MASTER'!$B$3:$Q$107,5,FALSE)</f>
        <v>Do you have a centrally managed anti-malware software to continously monitor and defend each of the organizations workstations and servers?</v>
      </c>
      <c r="E103" s="430"/>
      <c r="F103" s="430"/>
      <c r="G103" s="430"/>
      <c r="H103" s="430"/>
      <c r="I103" s="430"/>
      <c r="J103" s="430"/>
      <c r="K103" s="430"/>
      <c r="L103" s="431"/>
      <c r="M103" s="431"/>
      <c r="N103" s="482"/>
      <c r="O103" s="483"/>
      <c r="P103" s="483"/>
      <c r="Q103" s="484"/>
      <c r="R103" s="278" t="str">
        <f>VLOOKUP(C103,'Technology MASTER'!$B$3:$Q$107,3,FALSE)</f>
        <v>Malware Defenses</v>
      </c>
      <c r="S103" s="278" t="str">
        <f>VLOOKUP(C103,'Technology MASTER'!$B$3:$Q$107,4,FALSE)</f>
        <v>Protect</v>
      </c>
      <c r="T103" s="278" t="e">
        <f>HLOOKUP($N$28,'Technology MASTER'!$G$2:$I$107,40,FALSE)</f>
        <v>#N/A</v>
      </c>
      <c r="U103" s="278" t="str">
        <f>VLOOKUP(C103,'Technology MASTER'!$B$3:$Q$107,13,FALSE)</f>
        <v>End-users may be victims of phishing over personal email services that they can access from offices and on work computers.</v>
      </c>
      <c r="V103" s="278" t="str">
        <f>VLOOKUP(C103,'Technology MASTER'!$B$3:$Q$107,16,FALSE)</f>
        <v>Cyber Attack</v>
      </c>
      <c r="W103" s="235"/>
    </row>
    <row r="104" spans="1:23" ht="48" customHeight="1">
      <c r="A104" s="234"/>
      <c r="B104" s="425"/>
      <c r="C104" s="50">
        <v>8.1999999999999993</v>
      </c>
      <c r="D104" s="430" t="str">
        <f>VLOOKUP(C104,'Technology MASTER'!$B$3:$Q$107,5,FALSE)</f>
        <v>Does the anti-malware software updates its scanning engine and signature database on a regular basis?</v>
      </c>
      <c r="E104" s="430"/>
      <c r="F104" s="430"/>
      <c r="G104" s="430"/>
      <c r="H104" s="430"/>
      <c r="I104" s="430"/>
      <c r="J104" s="430"/>
      <c r="K104" s="430"/>
      <c r="L104" s="431"/>
      <c r="M104" s="431"/>
      <c r="N104" s="482"/>
      <c r="O104" s="483"/>
      <c r="P104" s="483"/>
      <c r="Q104" s="484"/>
      <c r="R104" s="278" t="str">
        <f>VLOOKUP(C104,'Technology MASTER'!$B$3:$Q$107,3,FALSE)</f>
        <v>Malware Defenses</v>
      </c>
      <c r="S104" s="278" t="str">
        <f>VLOOKUP(C104,'Technology MASTER'!$B$3:$Q$107,4,FALSE)</f>
        <v>Protect</v>
      </c>
      <c r="T104" s="278" t="e">
        <f>HLOOKUP($N$28,'Technology MASTER'!$G$2:$I$107,41,FALSE)</f>
        <v>#N/A</v>
      </c>
      <c r="U104" s="278" t="str">
        <f>VLOOKUP(C104,'Technology MASTER'!$B$3:$Q$107,13,FALSE)</f>
        <v>The lack of processes for system maintenance and support may result in compromise of system security due to latest updates not being made to systems in a timely manner.</v>
      </c>
      <c r="V104" s="278" t="str">
        <f>VLOOKUP(C104,'Technology MASTER'!$B$3:$Q$107,16,FALSE)</f>
        <v>Cyber Attack</v>
      </c>
      <c r="W104" s="235"/>
    </row>
    <row r="105" spans="1:23" ht="48" customHeight="1">
      <c r="A105" s="234"/>
      <c r="B105" s="425"/>
      <c r="C105" s="50">
        <v>8.3000000000000007</v>
      </c>
      <c r="D105" s="430" t="str">
        <f>VLOOKUP(C105,'Technology MASTER'!$B$3:$Q$107,5,FALSE)</f>
        <v>Are devices configured to automatically conduct anti-malware scan of removable media when inserted or connected?</v>
      </c>
      <c r="E105" s="430"/>
      <c r="F105" s="430"/>
      <c r="G105" s="430"/>
      <c r="H105" s="430"/>
      <c r="I105" s="430"/>
      <c r="J105" s="430"/>
      <c r="K105" s="430"/>
      <c r="L105" s="431"/>
      <c r="M105" s="431"/>
      <c r="N105" s="482"/>
      <c r="O105" s="483"/>
      <c r="P105" s="483"/>
      <c r="Q105" s="484"/>
      <c r="R105" s="278" t="str">
        <f>VLOOKUP(C105,'Technology MASTER'!$B$3:$Q$107,3,FALSE)</f>
        <v>Malware Defenses</v>
      </c>
      <c r="S105" s="278" t="str">
        <f>VLOOKUP(C105,'Technology MASTER'!$B$3:$Q$107,4,FALSE)</f>
        <v>Detect</v>
      </c>
      <c r="T105" s="278" t="e">
        <f>HLOOKUP($N$28,'Technology MASTER'!$G$2:$I$107,42,FALSE)</f>
        <v>#N/A</v>
      </c>
      <c r="U105" s="278" t="str">
        <f>VLOOKUP(C105,'Technology MASTER'!$B$3:$Q$107,13,FALSE)</f>
        <v>Information systems are compromised due to the lack of protection from environmental threats and hazards.</v>
      </c>
      <c r="V105" s="278" t="str">
        <f>VLOOKUP(C105,'Technology MASTER'!$B$3:$Q$107,16,FALSE)</f>
        <v>Cyber Attack</v>
      </c>
      <c r="W105" s="235"/>
    </row>
    <row r="106" spans="1:23" ht="48" customHeight="1">
      <c r="A106" s="234"/>
      <c r="B106" s="426"/>
      <c r="C106" s="50">
        <v>8.4</v>
      </c>
      <c r="D106" s="430" t="str">
        <f>VLOOKUP(C106,'Technology MASTER'!$B$3:$Q$107,5,FALSE)</f>
        <v>Is the Auto-Run feature disabled for all portable media (USB, CD/DVD’s, etc.) on systems?</v>
      </c>
      <c r="E106" s="430"/>
      <c r="F106" s="430"/>
      <c r="G106" s="430"/>
      <c r="H106" s="430"/>
      <c r="I106" s="430"/>
      <c r="J106" s="430"/>
      <c r="K106" s="430"/>
      <c r="L106" s="431"/>
      <c r="M106" s="431"/>
      <c r="N106" s="482"/>
      <c r="O106" s="483"/>
      <c r="P106" s="483"/>
      <c r="Q106" s="484"/>
      <c r="R106" s="278" t="str">
        <f>VLOOKUP(C106,'Technology MASTER'!$B$3:$Q$107,3,FALSE)</f>
        <v>Malware Defenses</v>
      </c>
      <c r="S106" s="278" t="str">
        <f>VLOOKUP(C106,'Technology MASTER'!$B$3:$Q$107,4,FALSE)</f>
        <v>Protect</v>
      </c>
      <c r="T106" s="278" t="e">
        <f>HLOOKUP($N$28,'Technology MASTER'!$G$2:$I$107,43,FALSE)</f>
        <v>#N/A</v>
      </c>
      <c r="U106" s="278" t="str">
        <f>VLOOKUP(C106,'Technology MASTER'!$B$3:$Q$107,13,FALSE)</f>
        <v>Unauthorized, malicious code is executed on systems without authorization.</v>
      </c>
      <c r="V106" s="278" t="str">
        <f>VLOOKUP(C106,'Technology MASTER'!$B$3:$Q$107,16,FALSE)</f>
        <v>Cyber Attack</v>
      </c>
      <c r="W106" s="235"/>
    </row>
    <row r="107" spans="1:23" ht="16">
      <c r="A107" s="234"/>
      <c r="B107" s="429"/>
      <c r="C107" s="429"/>
      <c r="D107" s="429"/>
      <c r="E107" s="429"/>
      <c r="F107" s="429"/>
      <c r="G107" s="429"/>
      <c r="H107" s="429"/>
      <c r="I107" s="429"/>
      <c r="J107" s="429"/>
      <c r="K107" s="429"/>
      <c r="L107" s="429"/>
      <c r="M107" s="429"/>
      <c r="N107" s="429"/>
      <c r="O107" s="429"/>
      <c r="P107" s="429"/>
      <c r="Q107" s="429"/>
      <c r="R107" s="216"/>
      <c r="S107" s="216"/>
      <c r="T107" s="216"/>
      <c r="U107" s="216"/>
      <c r="V107" s="216"/>
      <c r="W107" s="235"/>
    </row>
    <row r="108" spans="1:23" ht="48" customHeight="1">
      <c r="A108" s="234"/>
      <c r="B108" s="424" t="s">
        <v>22</v>
      </c>
      <c r="C108" s="50">
        <v>9.1</v>
      </c>
      <c r="D108" s="430" t="str">
        <f>VLOOKUP(C108,'Technology MASTER'!$B$3:$Q$107,5,FALSE)</f>
        <v>Do you have host based firewalls or port filtering tools on end systems, with a default rule that drops all traffic except those services and ports that are explicitly allowed?</v>
      </c>
      <c r="E108" s="430"/>
      <c r="F108" s="430"/>
      <c r="G108" s="430"/>
      <c r="H108" s="430"/>
      <c r="I108" s="430"/>
      <c r="J108" s="430"/>
      <c r="K108" s="430"/>
      <c r="L108" s="431"/>
      <c r="M108" s="431"/>
      <c r="N108" s="482"/>
      <c r="O108" s="483"/>
      <c r="P108" s="483"/>
      <c r="Q108" s="484"/>
      <c r="R108" s="278" t="str">
        <f>VLOOKUP(C108,'Technology MASTER'!$B$3:$Q$107,3,FALSE)</f>
        <v>Limitation and Control of Network Ports, Protocols, and Services</v>
      </c>
      <c r="S108" s="278" t="str">
        <f>VLOOKUP(C108,'Technology MASTER'!$B$3:$Q$107,4,FALSE)</f>
        <v>Protect</v>
      </c>
      <c r="T108" s="278" t="e">
        <f>HLOOKUP($N$28,'Technology MASTER'!$G$2:$I$107,44,FALSE)</f>
        <v>#N/A</v>
      </c>
      <c r="U108" s="278" t="str">
        <f>VLOOKUP(C108,'Technology MASTER'!$B$3:$Q$107,13,FALSE)</f>
        <v>Inadequately managed and controlled networks and supporting infrastructure expose systems and applications.</v>
      </c>
      <c r="V108" s="278" t="str">
        <f>VLOOKUP(C108,'Technology MASTER'!$B$3:$Q$107,16,FALSE)</f>
        <v>Cyber Attack</v>
      </c>
      <c r="W108" s="235"/>
    </row>
    <row r="109" spans="1:23" ht="48" customHeight="1">
      <c r="A109" s="234"/>
      <c r="B109" s="425"/>
      <c r="C109" s="50">
        <v>9.1999999999999993</v>
      </c>
      <c r="D109" s="430" t="str">
        <f>VLOOKUP(C109,'Technology MASTER'!$B$3:$Q$107,5,FALSE)</f>
        <v>Do you ensure that network ports, protocols and services with only a validate business are running on each system?</v>
      </c>
      <c r="E109" s="430"/>
      <c r="F109" s="430"/>
      <c r="G109" s="430"/>
      <c r="H109" s="430"/>
      <c r="I109" s="430"/>
      <c r="J109" s="430"/>
      <c r="K109" s="430"/>
      <c r="L109" s="431"/>
      <c r="M109" s="431"/>
      <c r="N109" s="482"/>
      <c r="O109" s="483"/>
      <c r="P109" s="483"/>
      <c r="Q109" s="484"/>
      <c r="R109" s="278" t="str">
        <f>VLOOKUP(C109,'Technology MASTER'!$B$3:$Q$107,3,FALSE)</f>
        <v>Limitation and Control of Network Ports, Protocols, and Services</v>
      </c>
      <c r="S109" s="278" t="str">
        <f>VLOOKUP(C109,'Technology MASTER'!$B$3:$Q$107,4,FALSE)</f>
        <v>Protect</v>
      </c>
      <c r="T109" s="278" t="e">
        <f>HLOOKUP($N$28,'Technology MASTER'!$G$2:$I$107,45,FALSE)</f>
        <v>#N/A</v>
      </c>
      <c r="U109" s="278" t="str">
        <f>VLOOKUP(C109,'Technology MASTER'!$B$3:$Q$107,13,FALSE)</f>
        <v>Configuration standards do not exist for systems being implemented.</v>
      </c>
      <c r="V109" s="278" t="str">
        <f>VLOOKUP(C109,'Technology MASTER'!$B$3:$Q$107,16,FALSE)</f>
        <v>Cyber Attack</v>
      </c>
      <c r="W109" s="235"/>
    </row>
    <row r="110" spans="1:23" ht="48" customHeight="1">
      <c r="A110" s="234"/>
      <c r="B110" s="425"/>
      <c r="C110" s="50">
        <v>9.3000000000000007</v>
      </c>
      <c r="D110" s="430" t="str">
        <f>VLOOKUP(C110,'Technology MASTER'!$B$3:$Q$107,5,FALSE)</f>
        <v>Do you perform automated port scan on a regular basis against all systems and alert if unauthorized ports are detected?</v>
      </c>
      <c r="E110" s="430"/>
      <c r="F110" s="430"/>
      <c r="G110" s="430"/>
      <c r="H110" s="430"/>
      <c r="I110" s="430"/>
      <c r="J110" s="430"/>
      <c r="K110" s="430"/>
      <c r="L110" s="431"/>
      <c r="M110" s="431"/>
      <c r="N110" s="482"/>
      <c r="O110" s="483"/>
      <c r="P110" s="483"/>
      <c r="Q110" s="484"/>
      <c r="R110" s="278" t="str">
        <f>VLOOKUP(C110,'Technology MASTER'!$B$3:$Q$107,3,FALSE)</f>
        <v>Limitation and Control of Network Ports, Protocols, and Services</v>
      </c>
      <c r="S110" s="278" t="str">
        <f>VLOOKUP(C110,'Technology MASTER'!$B$3:$Q$107,4,FALSE)</f>
        <v>Detect</v>
      </c>
      <c r="T110" s="278" t="e">
        <f>HLOOKUP($N$28,'Technology MASTER'!$G$2:$I$107,46,FALSE)</f>
        <v>#N/A</v>
      </c>
      <c r="U110" s="278" t="str">
        <f>VLOOKUP(C110,'Technology MASTER'!$B$3:$Q$107,13,FALSE)</f>
        <v>Independent reviews of information security are not regularly performed to ensure the continuing suitability, adequacy, and effectiveness of the organization's information security program.</v>
      </c>
      <c r="V110" s="278" t="str">
        <f>VLOOKUP(C110,'Technology MASTER'!$B$3:$Q$107,16,FALSE)</f>
        <v>Cyber Attack</v>
      </c>
      <c r="W110" s="235"/>
    </row>
    <row r="111" spans="1:23" ht="48" customHeight="1">
      <c r="A111" s="234"/>
      <c r="B111" s="426"/>
      <c r="C111" s="50">
        <v>9.4</v>
      </c>
      <c r="D111" s="430" t="str">
        <f>VLOOKUP(C111,'Technology MASTER'!$B$3:$Q$107,5,FALSE)</f>
        <v>Are application firewalls in front of any critical web/application server/s to verify and validate the traffic going to the intended system?</v>
      </c>
      <c r="E111" s="430"/>
      <c r="F111" s="430"/>
      <c r="G111" s="430"/>
      <c r="H111" s="430"/>
      <c r="I111" s="430"/>
      <c r="J111" s="430"/>
      <c r="K111" s="430"/>
      <c r="L111" s="431"/>
      <c r="M111" s="431"/>
      <c r="N111" s="482"/>
      <c r="O111" s="483"/>
      <c r="P111" s="483"/>
      <c r="Q111" s="484"/>
      <c r="R111" s="278" t="str">
        <f>VLOOKUP(C111,'Technology MASTER'!$B$3:$Q$107,3,FALSE)</f>
        <v>Limitation and Control of Network Ports, Protocols, and Services</v>
      </c>
      <c r="S111" s="278" t="str">
        <f>VLOOKUP(C111,'Technology MASTER'!$B$3:$Q$107,4,FALSE)</f>
        <v>Protect</v>
      </c>
      <c r="T111" s="278" t="e">
        <f>HLOOKUP($N$28,'Technology MASTER'!$G$2:$I$107,47,FALSE)</f>
        <v>#N/A</v>
      </c>
      <c r="U111" s="278" t="str">
        <f>VLOOKUP(C111,'Technology MASTER'!$B$3:$Q$107,13,FALSE)</f>
        <v>Unauthenticated and/or unauthorized users access networks by exploiting vulnerabilities in external connections.</v>
      </c>
      <c r="V111" s="278" t="str">
        <f>VLOOKUP(C111,'Technology MASTER'!$B$3:$Q$107,16,FALSE)</f>
        <v>Cyber Attack</v>
      </c>
      <c r="W111" s="235"/>
    </row>
    <row r="112" spans="1:23" ht="16">
      <c r="A112" s="234"/>
      <c r="B112" s="429"/>
      <c r="C112" s="429"/>
      <c r="D112" s="429"/>
      <c r="E112" s="429"/>
      <c r="F112" s="429"/>
      <c r="G112" s="429"/>
      <c r="H112" s="429"/>
      <c r="I112" s="429"/>
      <c r="J112" s="429"/>
      <c r="K112" s="429"/>
      <c r="L112" s="429"/>
      <c r="M112" s="429"/>
      <c r="N112" s="429"/>
      <c r="O112" s="429"/>
      <c r="P112" s="429"/>
      <c r="Q112" s="429"/>
      <c r="R112" s="216"/>
      <c r="S112" s="216"/>
      <c r="T112" s="216"/>
      <c r="U112" s="216"/>
      <c r="V112" s="216"/>
      <c r="W112" s="235"/>
    </row>
    <row r="113" spans="1:23" ht="48" customHeight="1">
      <c r="A113" s="234"/>
      <c r="B113" s="424" t="s">
        <v>28</v>
      </c>
      <c r="C113" s="50">
        <v>10.1</v>
      </c>
      <c r="D113" s="430" t="str">
        <f>VLOOKUP(C113,'Technology MASTER'!$B$3:$Q$107,5,FALSE)</f>
        <v>Do you ensure that all system data is automatically backed up on a regularly basis?</v>
      </c>
      <c r="E113" s="430"/>
      <c r="F113" s="430"/>
      <c r="G113" s="430"/>
      <c r="H113" s="430"/>
      <c r="I113" s="430"/>
      <c r="J113" s="430"/>
      <c r="K113" s="430"/>
      <c r="L113" s="431"/>
      <c r="M113" s="431"/>
      <c r="N113" s="482"/>
      <c r="O113" s="483"/>
      <c r="P113" s="483"/>
      <c r="Q113" s="484"/>
      <c r="R113" s="278" t="str">
        <f>VLOOKUP(C113,'Technology MASTER'!$B$3:$Q$107,3,FALSE)</f>
        <v>Data Recovery Capabilities</v>
      </c>
      <c r="S113" s="278" t="str">
        <f>VLOOKUP(C113,'Technology MASTER'!$B$3:$Q$107,4,FALSE)</f>
        <v>Protect</v>
      </c>
      <c r="T113" s="278" t="e">
        <f>HLOOKUP($N$28,'Technology MASTER'!$G$2:$I$107,48,FALSE)</f>
        <v>#N/A</v>
      </c>
      <c r="U113" s="278" t="str">
        <f>VLOOKUP(C113,'Technology MASTER'!$B$3:$Q$107,13,FALSE)</f>
        <v>Data is not recoverable due to inadequate or undefined backup and restoration procedures.</v>
      </c>
      <c r="V113" s="278" t="str">
        <f>VLOOKUP(C113,'Technology MASTER'!$B$3:$Q$107,16,FALSE)</f>
        <v>System Failure</v>
      </c>
      <c r="W113" s="235"/>
    </row>
    <row r="114" spans="1:23" ht="48" customHeight="1">
      <c r="A114" s="234"/>
      <c r="B114" s="425"/>
      <c r="C114" s="50">
        <v>10.199999999999999</v>
      </c>
      <c r="D114" s="430" t="str">
        <f>VLOOKUP(C114,'Technology MASTER'!$B$3:$Q$107,5,FALSE)</f>
        <v>Are all of the organization's key systems backed up as a complete system, through processes such as imaging, to enable the quick recovery of an entire system?</v>
      </c>
      <c r="E114" s="430"/>
      <c r="F114" s="430"/>
      <c r="G114" s="430"/>
      <c r="H114" s="430"/>
      <c r="I114" s="430"/>
      <c r="J114" s="430"/>
      <c r="K114" s="430"/>
      <c r="L114" s="431"/>
      <c r="M114" s="431"/>
      <c r="N114" s="482"/>
      <c r="O114" s="483"/>
      <c r="P114" s="483"/>
      <c r="Q114" s="484"/>
      <c r="R114" s="278" t="str">
        <f>VLOOKUP(C114,'Technology MASTER'!$B$3:$Q$107,3,FALSE)</f>
        <v>Data Recovery Capabilities</v>
      </c>
      <c r="S114" s="278" t="str">
        <f>VLOOKUP(C114,'Technology MASTER'!$B$3:$Q$107,4,FALSE)</f>
        <v>Protect</v>
      </c>
      <c r="T114" s="278" t="e">
        <f>HLOOKUP($N$28,'Technology MASTER'!$G$2:$I$107,49,FALSE)</f>
        <v>#N/A</v>
      </c>
      <c r="U114" s="278" t="str">
        <f>VLOOKUP(C114,'Technology MASTER'!$B$3:$Q$107,13,FALSE)</f>
        <v>Data is not recoverable due to inadequate or undefined backup and restoration procedures.</v>
      </c>
      <c r="V114" s="278" t="str">
        <f>VLOOKUP(C114,'Technology MASTER'!$B$3:$Q$107,16,FALSE)</f>
        <v>System Failure</v>
      </c>
      <c r="W114" s="235"/>
    </row>
    <row r="115" spans="1:23" ht="48" customHeight="1">
      <c r="A115" s="234"/>
      <c r="B115" s="425"/>
      <c r="C115" s="50">
        <v>10.3</v>
      </c>
      <c r="D115" s="430" t="str">
        <f>VLOOKUP(C115,'Technology MASTER'!$B$3:$Q$107,5,FALSE)</f>
        <v>Are backups properly protected via physical security or encryption when they are stored, as well as when they are moved across the network?</v>
      </c>
      <c r="E115" s="430"/>
      <c r="F115" s="430"/>
      <c r="G115" s="430"/>
      <c r="H115" s="430"/>
      <c r="I115" s="430"/>
      <c r="J115" s="430"/>
      <c r="K115" s="430"/>
      <c r="L115" s="431"/>
      <c r="M115" s="431"/>
      <c r="N115" s="482"/>
      <c r="O115" s="483"/>
      <c r="P115" s="483"/>
      <c r="Q115" s="484"/>
      <c r="R115" s="278" t="str">
        <f>VLOOKUP(C115,'Technology MASTER'!$B$3:$Q$107,3,FALSE)</f>
        <v>Data Recovery Capabilities</v>
      </c>
      <c r="S115" s="278" t="str">
        <f>VLOOKUP(C115,'Technology MASTER'!$B$3:$Q$107,4,FALSE)</f>
        <v>Protect</v>
      </c>
      <c r="T115" s="278" t="e">
        <f>HLOOKUP($N$28,'Technology MASTER'!$G$2:$I$107,50,FALSE)</f>
        <v>#N/A</v>
      </c>
      <c r="U115" s="278" t="str">
        <f>VLOOKUP(C115,'Technology MASTER'!$B$3:$Q$107,13,FALSE)</f>
        <v>Sensitive data may be exposed to unauthorized disclosure or modification while in storage.</v>
      </c>
      <c r="V115" s="278" t="str">
        <f>VLOOKUP(C115,'Technology MASTER'!$B$3:$Q$107,16,FALSE)</f>
        <v>System Failure</v>
      </c>
      <c r="W115" s="235"/>
    </row>
    <row r="116" spans="1:23" ht="48" customHeight="1">
      <c r="A116" s="234"/>
      <c r="B116" s="425"/>
      <c r="C116" s="50">
        <v>10.4</v>
      </c>
      <c r="D116" s="430" t="str">
        <f>VLOOKUP(C116,'Technology MASTER'!$B$3:$Q$107,5,FALSE)</f>
        <v>Are data integrity tests completed on backup media on a regular basis by performing a data restoration process to ensure that the backup is properly working?</v>
      </c>
      <c r="E116" s="430"/>
      <c r="F116" s="430"/>
      <c r="G116" s="430"/>
      <c r="H116" s="430"/>
      <c r="I116" s="430"/>
      <c r="J116" s="430"/>
      <c r="K116" s="430"/>
      <c r="L116" s="431"/>
      <c r="M116" s="431"/>
      <c r="N116" s="482"/>
      <c r="O116" s="483"/>
      <c r="P116" s="483"/>
      <c r="Q116" s="484"/>
      <c r="R116" s="278" t="str">
        <f>VLOOKUP(C116,'Technology MASTER'!$B$3:$Q$107,3,FALSE)</f>
        <v>Data Recovery Capabilities</v>
      </c>
      <c r="S116" s="278" t="str">
        <f>VLOOKUP(C116,'Technology MASTER'!$B$3:$Q$107,4,FALSE)</f>
        <v>Protect</v>
      </c>
      <c r="T116" s="278" t="e">
        <f>HLOOKUP($N$28,'Technology MASTER'!$G$2:$I$107,51,FALSE)</f>
        <v>#N/A</v>
      </c>
      <c r="U116" s="278" t="str">
        <f>VLOOKUP(C116,'Technology MASTER'!$B$3:$Q$107,13,FALSE)</f>
        <v>Disaster recovery plans fail because they were not tested, maintained or re-assessed.</v>
      </c>
      <c r="V116" s="278" t="str">
        <f>VLOOKUP(C116,'Technology MASTER'!$B$3:$Q$107,16,FALSE)</f>
        <v>System Failure</v>
      </c>
      <c r="W116" s="235"/>
    </row>
    <row r="117" spans="1:23" ht="48" customHeight="1">
      <c r="A117" s="234"/>
      <c r="B117" s="426"/>
      <c r="C117" s="50">
        <v>10.5</v>
      </c>
      <c r="D117" s="430" t="str">
        <f>VLOOKUP(C117,'Technology MASTER'!$B$3:$Q$107,5,FALSE)</f>
        <v>Do you ensure that all backups have at least one offline (i.e. not accessible via a network connection) backup destination?</v>
      </c>
      <c r="E117" s="430"/>
      <c r="F117" s="430"/>
      <c r="G117" s="430"/>
      <c r="H117" s="430"/>
      <c r="I117" s="430"/>
      <c r="J117" s="430"/>
      <c r="K117" s="430"/>
      <c r="L117" s="431"/>
      <c r="M117" s="431"/>
      <c r="N117" s="482"/>
      <c r="O117" s="483"/>
      <c r="P117" s="483"/>
      <c r="Q117" s="484"/>
      <c r="R117" s="278" t="str">
        <f>VLOOKUP(C117,'Technology MASTER'!$B$3:$Q$107,3,FALSE)</f>
        <v>Data Recovery Capabilities</v>
      </c>
      <c r="S117" s="278" t="str">
        <f>VLOOKUP(C117,'Technology MASTER'!$B$3:$Q$107,4,FALSE)</f>
        <v>Protect</v>
      </c>
      <c r="T117" s="278" t="e">
        <f>HLOOKUP($N$28,'Technology MASTER'!$G$2:$I$107,52,FALSE)</f>
        <v>#N/A</v>
      </c>
      <c r="U117" s="278" t="str">
        <f>VLOOKUP(C117,'Technology MASTER'!$B$3:$Q$107,13,FALSE)</f>
        <v>Data is not recoverable due to inadequate or undefined backup and restoration procedures.</v>
      </c>
      <c r="V117" s="278" t="str">
        <f>VLOOKUP(C117,'Technology MASTER'!$B$3:$Q$107,16,FALSE)</f>
        <v>System Failure</v>
      </c>
      <c r="W117" s="235"/>
    </row>
    <row r="118" spans="1:23" ht="16">
      <c r="A118" s="234"/>
      <c r="B118" s="429"/>
      <c r="C118" s="429"/>
      <c r="D118" s="429"/>
      <c r="E118" s="429"/>
      <c r="F118" s="429"/>
      <c r="G118" s="429"/>
      <c r="H118" s="429"/>
      <c r="I118" s="429"/>
      <c r="J118" s="429"/>
      <c r="K118" s="429"/>
      <c r="L118" s="429"/>
      <c r="M118" s="429"/>
      <c r="N118" s="429"/>
      <c r="O118" s="429"/>
      <c r="P118" s="429"/>
      <c r="Q118" s="429"/>
      <c r="R118" s="216"/>
      <c r="S118" s="216"/>
      <c r="T118" s="216"/>
      <c r="U118" s="216"/>
      <c r="V118" s="216"/>
      <c r="W118" s="235"/>
    </row>
    <row r="119" spans="1:23" ht="48" customHeight="1">
      <c r="A119" s="234"/>
      <c r="B119" s="424" t="s">
        <v>29</v>
      </c>
      <c r="C119" s="50">
        <v>11.1</v>
      </c>
      <c r="D119" s="430" t="str">
        <f>VLOOKUP(C119,'Technology MASTER'!$B$3:$Q$107,5,FALSE)</f>
        <v>Do you maintain documented security configuration standards for all authorized network devices?</v>
      </c>
      <c r="E119" s="430"/>
      <c r="F119" s="430"/>
      <c r="G119" s="430"/>
      <c r="H119" s="430"/>
      <c r="I119" s="430"/>
      <c r="J119" s="430"/>
      <c r="K119" s="430"/>
      <c r="L119" s="431"/>
      <c r="M119" s="431"/>
      <c r="N119" s="482"/>
      <c r="O119" s="483"/>
      <c r="P119" s="483"/>
      <c r="Q119" s="484"/>
      <c r="R119" s="278" t="str">
        <f>VLOOKUP(C119,'Technology MASTER'!$B$3:$Q$107,3,FALSE)</f>
        <v>Secure Configurations for Network Devices such as Firewalls, Routers, and Switches</v>
      </c>
      <c r="S119" s="278" t="str">
        <f>VLOOKUP(C119,'Technology MASTER'!$B$3:$Q$107,4,FALSE)</f>
        <v>Identify</v>
      </c>
      <c r="T119" s="278" t="e">
        <f>HLOOKUP($N$28,'Technology MASTER'!$G$2:$I$107,53,FALSE)</f>
        <v>#N/A</v>
      </c>
      <c r="U119" s="278" t="str">
        <f>VLOOKUP(C119,'Technology MASTER'!$B$3:$Q$107,13,FALSE)</f>
        <v>Configuration standards do not exist for systems being implemented.</v>
      </c>
      <c r="V119" s="278" t="str">
        <f>VLOOKUP(C119,'Technology MASTER'!$B$3:$Q$107,16,FALSE)</f>
        <v>Unauthorized Access to Systems or Data</v>
      </c>
      <c r="W119" s="235"/>
    </row>
    <row r="120" spans="1:23" ht="48" customHeight="1">
      <c r="A120" s="234"/>
      <c r="B120" s="425"/>
      <c r="C120" s="50">
        <v>11.2</v>
      </c>
      <c r="D120" s="430" t="str">
        <f>VLOOKUP(C120,'Technology MASTER'!$B$3:$Q$107,5,FALSE)</f>
        <v>Compare all network device configurations against approved security configurations defined for each network device in use, and alert when any deviations are discovered?</v>
      </c>
      <c r="E120" s="430"/>
      <c r="F120" s="430"/>
      <c r="G120" s="430"/>
      <c r="H120" s="430"/>
      <c r="I120" s="430"/>
      <c r="J120" s="430"/>
      <c r="K120" s="430"/>
      <c r="L120" s="431"/>
      <c r="M120" s="431"/>
      <c r="N120" s="482"/>
      <c r="O120" s="483"/>
      <c r="P120" s="483"/>
      <c r="Q120" s="484"/>
      <c r="R120" s="278" t="str">
        <f>VLOOKUP(C120,'Technology MASTER'!$B$3:$Q$107,3,FALSE)</f>
        <v>Secure Configurations for Network Devices such as Firewalls, Routers, and Switches</v>
      </c>
      <c r="S120" s="278" t="str">
        <f>VLOOKUP(C120,'Technology MASTER'!$B$3:$Q$107,4,FALSE)</f>
        <v>Detect</v>
      </c>
      <c r="T120" s="278" t="e">
        <f>HLOOKUP($N$28,'Technology MASTER'!$G$2:$I$107,54,FALSE)</f>
        <v>#N/A</v>
      </c>
      <c r="U120" s="278" t="str">
        <f>VLOOKUP(C120,'Technology MASTER'!$B$3:$Q$107,13,FALSE)</f>
        <v>Technical vulnerabilities are exploited to gain inappropriate or unauthorized access to information systems due to lack of controls for those vulnerabilities.</v>
      </c>
      <c r="V120" s="278" t="str">
        <f>VLOOKUP(C120,'Technology MASTER'!$B$3:$Q$107,16,FALSE)</f>
        <v>Unauthorized Access to Systems or Data</v>
      </c>
      <c r="W120" s="235"/>
    </row>
    <row r="121" spans="1:23" ht="48" customHeight="1">
      <c r="A121" s="234"/>
      <c r="B121" s="425"/>
      <c r="C121" s="50">
        <v>11.3</v>
      </c>
      <c r="D121" s="430" t="str">
        <f>VLOOKUP(C121,'Technology MASTER'!$B$3:$Q$107,5,FALSE)</f>
        <v>Do you install the latest stable version of any security-related updates on all supported network devices?</v>
      </c>
      <c r="E121" s="430"/>
      <c r="F121" s="430"/>
      <c r="G121" s="430"/>
      <c r="H121" s="430"/>
      <c r="I121" s="430"/>
      <c r="J121" s="430"/>
      <c r="K121" s="430"/>
      <c r="L121" s="431"/>
      <c r="M121" s="431"/>
      <c r="N121" s="482"/>
      <c r="O121" s="483"/>
      <c r="P121" s="483"/>
      <c r="Q121" s="484"/>
      <c r="R121" s="278" t="str">
        <f>VLOOKUP(C121,'Technology MASTER'!$B$3:$Q$107,3,FALSE)</f>
        <v>Secure Configurations for Network Devices such as Firewalls, Routers, and Switches</v>
      </c>
      <c r="S121" s="278" t="str">
        <f>VLOOKUP(C121,'Technology MASTER'!$B$3:$Q$107,4,FALSE)</f>
        <v>Protect</v>
      </c>
      <c r="T121" s="278" t="e">
        <f>HLOOKUP($N$28,'Technology MASTER'!$G$2:$I$107,55,FALSE)</f>
        <v>#N/A</v>
      </c>
      <c r="U121" s="278" t="str">
        <f>VLOOKUP(C121,'Technology MASTER'!$B$3:$Q$107,13,FALSE)</f>
        <v>Unauthenticated and/or unauthorized users access networks by exploiting vulnerabilities in external connections.</v>
      </c>
      <c r="V121" s="278" t="str">
        <f>VLOOKUP(C121,'Technology MASTER'!$B$3:$Q$107,16,FALSE)</f>
        <v>Unauthorized Access to Systems or Data</v>
      </c>
      <c r="W121" s="235"/>
    </row>
    <row r="122" spans="1:23" ht="48" customHeight="1">
      <c r="A122" s="234"/>
      <c r="B122" s="425"/>
      <c r="C122" s="50">
        <v>11.4</v>
      </c>
      <c r="D122" s="430" t="str">
        <f>VLOOKUP(C122,'Technology MASTER'!$B$3:$Q$107,5,FALSE)</f>
        <v>Where permissible, do you manage all network devices using multi-factor authentication and encrypted sessions?</v>
      </c>
      <c r="E122" s="430"/>
      <c r="F122" s="430"/>
      <c r="G122" s="430"/>
      <c r="H122" s="430"/>
      <c r="I122" s="430"/>
      <c r="J122" s="430"/>
      <c r="K122" s="430"/>
      <c r="L122" s="431"/>
      <c r="M122" s="431"/>
      <c r="N122" s="482"/>
      <c r="O122" s="483"/>
      <c r="P122" s="483"/>
      <c r="Q122" s="484"/>
      <c r="R122" s="278" t="str">
        <f>VLOOKUP(C122,'Technology MASTER'!$B$3:$Q$107,3,FALSE)</f>
        <v>Secure Configurations for Network Devices such as Firewalls, Routers, and Switches</v>
      </c>
      <c r="S122" s="278" t="str">
        <f>VLOOKUP(C122,'Technology MASTER'!$B$3:$Q$107,4,FALSE)</f>
        <v>Protect</v>
      </c>
      <c r="T122" s="278" t="e">
        <f>HLOOKUP($N$28,'Technology MASTER'!$G$2:$I$107,56,FALSE)</f>
        <v>#N/A</v>
      </c>
      <c r="U122" s="278" t="str">
        <f>VLOOKUP(C122,'Technology MASTER'!$B$3:$Q$107,13,FALSE)</f>
        <v xml:space="preserve">Lack of network connection controls over communications sessions may result in unauthorized access to information systems </v>
      </c>
      <c r="V122" s="278" t="str">
        <f>VLOOKUP(C122,'Technology MASTER'!$B$3:$Q$107,16,FALSE)</f>
        <v>Unauthorized Access to Systems or Data</v>
      </c>
      <c r="W122" s="235"/>
    </row>
    <row r="123" spans="1:23" ht="48" customHeight="1">
      <c r="A123" s="234"/>
      <c r="B123" s="426"/>
      <c r="C123" s="50">
        <v>11.5</v>
      </c>
      <c r="D123" s="430" t="str">
        <f>VLOOKUP(C123,'Technology MASTER'!$B$3:$Q$107,5,FALSE)</f>
        <v>Are all configuration rules that allow traffic to flow through network devices documented in a configuration management system with a specific business reason for each rule?</v>
      </c>
      <c r="E123" s="430"/>
      <c r="F123" s="430"/>
      <c r="G123" s="430"/>
      <c r="H123" s="430"/>
      <c r="I123" s="430"/>
      <c r="J123" s="430"/>
      <c r="K123" s="430"/>
      <c r="L123" s="431"/>
      <c r="M123" s="431"/>
      <c r="N123" s="482"/>
      <c r="O123" s="483"/>
      <c r="P123" s="483"/>
      <c r="Q123" s="484"/>
      <c r="R123" s="278" t="str">
        <f>VLOOKUP(C123,'Technology MASTER'!$B$3:$Q$107,3,FALSE)</f>
        <v>Secure Configurations for Network Devices such as Firewalls, Routers, and Switches</v>
      </c>
      <c r="S123" s="278" t="str">
        <f>VLOOKUP(C123,'Technology MASTER'!$B$3:$Q$107,4,FALSE)</f>
        <v>Identify</v>
      </c>
      <c r="T123" s="278" t="e">
        <f>HLOOKUP($N$28,'Technology MASTER'!$G$2:$I$107,57,FALSE)</f>
        <v>#N/A</v>
      </c>
      <c r="U123" s="278" t="str">
        <f>VLOOKUP(C123,'Technology MASTER'!$B$3:$Q$107,13,FALSE)</f>
        <v>Insufficient segregation of communications and interfaces between the system processes, may expose sensitive information resources to unauthorized access.</v>
      </c>
      <c r="V123" s="278" t="str">
        <f>VLOOKUP(C123,'Technology MASTER'!$B$3:$Q$107,16,FALSE)</f>
        <v>Unauthorized Access to Systems or Data</v>
      </c>
      <c r="W123" s="235"/>
    </row>
    <row r="124" spans="1:23" ht="16">
      <c r="A124" s="234"/>
      <c r="B124" s="429"/>
      <c r="C124" s="429"/>
      <c r="D124" s="429"/>
      <c r="E124" s="429"/>
      <c r="F124" s="429"/>
      <c r="G124" s="429"/>
      <c r="H124" s="429"/>
      <c r="I124" s="429"/>
      <c r="J124" s="429"/>
      <c r="K124" s="429"/>
      <c r="L124" s="429"/>
      <c r="M124" s="429"/>
      <c r="N124" s="429"/>
      <c r="O124" s="429"/>
      <c r="P124" s="429"/>
      <c r="Q124" s="429"/>
      <c r="R124" s="216"/>
      <c r="S124" s="216"/>
      <c r="T124" s="216"/>
      <c r="U124" s="216"/>
      <c r="V124" s="216"/>
      <c r="W124" s="235"/>
    </row>
    <row r="125" spans="1:23" ht="48" customHeight="1">
      <c r="A125" s="234"/>
      <c r="B125" s="424" t="s">
        <v>32</v>
      </c>
      <c r="C125" s="50">
        <v>12.1</v>
      </c>
      <c r="D125" s="430" t="str">
        <f>VLOOKUP(C125,'Technology MASTER'!$B$3:$Q$107,5,FALSE)</f>
        <v>Does the organization maintain an up-to-date inventory of all of the organization's network boundaries?</v>
      </c>
      <c r="E125" s="430"/>
      <c r="F125" s="430"/>
      <c r="G125" s="430"/>
      <c r="H125" s="430"/>
      <c r="I125" s="430"/>
      <c r="J125" s="430"/>
      <c r="K125" s="430"/>
      <c r="L125" s="431"/>
      <c r="M125" s="431"/>
      <c r="N125" s="482"/>
      <c r="O125" s="483"/>
      <c r="P125" s="483"/>
      <c r="Q125" s="484"/>
      <c r="R125" s="278" t="str">
        <f>VLOOKUP(C125,'Technology MASTER'!$B$3:$Q$107,3,FALSE)</f>
        <v>Boundary Defense</v>
      </c>
      <c r="S125" s="278" t="str">
        <f>VLOOKUP(C125,'Technology MASTER'!$B$3:$Q$107,4,FALSE)</f>
        <v>Identify</v>
      </c>
      <c r="T125" s="278" t="e">
        <f>HLOOKUP($N$28,'Technology MASTER'!$G$2:$I$107,58,FALSE)</f>
        <v>#N/A</v>
      </c>
      <c r="U125" s="278" t="str">
        <f>VLOOKUP(C125,'Technology MASTER'!$B$3:$Q$107,13,FALSE)</f>
        <v>Inadequately managed and controlled networks and supporting infrastructure expose systems and applications.</v>
      </c>
      <c r="V125" s="278" t="str">
        <f>VLOOKUP(C125,'Technology MASTER'!$B$3:$Q$107,16,FALSE)</f>
        <v>Cyber Attack</v>
      </c>
      <c r="W125" s="235"/>
    </row>
    <row r="126" spans="1:23" ht="48" customHeight="1">
      <c r="A126" s="234"/>
      <c r="B126" s="425"/>
      <c r="C126" s="50">
        <v>12.2</v>
      </c>
      <c r="D126" s="430" t="str">
        <f>VLOOKUP(C126,'Technology MASTER'!$B$3:$Q$107,5,FALSE)</f>
        <v>Are each of the organization's network boundaries configured to deny communications with known malicious or unused Internet IP addresses and limit access only to trusted and necessary IP address ranges?</v>
      </c>
      <c r="E126" s="430"/>
      <c r="F126" s="430"/>
      <c r="G126" s="430"/>
      <c r="H126" s="430"/>
      <c r="I126" s="430"/>
      <c r="J126" s="430"/>
      <c r="K126" s="430"/>
      <c r="L126" s="431"/>
      <c r="M126" s="431"/>
      <c r="N126" s="482"/>
      <c r="O126" s="483"/>
      <c r="P126" s="483"/>
      <c r="Q126" s="484"/>
      <c r="R126" s="278" t="str">
        <f>VLOOKUP(C126,'Technology MASTER'!$B$3:$Q$107,3,FALSE)</f>
        <v>Boundary Defense</v>
      </c>
      <c r="S126" s="278" t="str">
        <f>VLOOKUP(C126,'Technology MASTER'!$B$3:$Q$107,4,FALSE)</f>
        <v>Protect</v>
      </c>
      <c r="T126" s="278" t="e">
        <f>HLOOKUP($N$28,'Technology MASTER'!$G$2:$I$107,59,FALSE)</f>
        <v>#N/A</v>
      </c>
      <c r="U126" s="278" t="str">
        <f>VLOOKUP(C126,'Technology MASTER'!$B$3:$Q$107,13,FALSE)</f>
        <v xml:space="preserve">Lack of network connection controls over communications sessions may result in unauthorized access to information systems </v>
      </c>
      <c r="V126" s="278" t="str">
        <f>VLOOKUP(C126,'Technology MASTER'!$B$3:$Q$107,16,FALSE)</f>
        <v>Cyber Attack</v>
      </c>
      <c r="W126" s="235"/>
    </row>
    <row r="127" spans="1:23" ht="48" customHeight="1">
      <c r="A127" s="234"/>
      <c r="B127" s="425"/>
      <c r="C127" s="50">
        <v>12.3</v>
      </c>
      <c r="D127" s="430" t="str">
        <f>VLOOKUP(C127,'Technology MASTER'!$B$3:$Q$107,5,FALSE)</f>
        <v>Does all network traffic to or from the internet pass through an authenticated applciation layer proxy that is configured to filter unauthorized connections?</v>
      </c>
      <c r="E127" s="430"/>
      <c r="F127" s="430"/>
      <c r="G127" s="430"/>
      <c r="H127" s="430"/>
      <c r="I127" s="430"/>
      <c r="J127" s="430"/>
      <c r="K127" s="430"/>
      <c r="L127" s="431"/>
      <c r="M127" s="431"/>
      <c r="N127" s="482"/>
      <c r="O127" s="483"/>
      <c r="P127" s="483"/>
      <c r="Q127" s="484"/>
      <c r="R127" s="278" t="str">
        <f>VLOOKUP(C127,'Technology MASTER'!$B$3:$Q$107,3,FALSE)</f>
        <v>Boundary Defense</v>
      </c>
      <c r="S127" s="278" t="str">
        <f>VLOOKUP(C127,'Technology MASTER'!$B$3:$Q$107,4,FALSE)</f>
        <v>Detect</v>
      </c>
      <c r="T127" s="278" t="e">
        <f>HLOOKUP($N$28,'Technology MASTER'!$G$2:$I$107,60,FALSE)</f>
        <v>#N/A</v>
      </c>
      <c r="U127" s="278" t="str">
        <f>VLOOKUP(C127,'Technology MASTER'!$B$3:$Q$107,13,FALSE)</f>
        <v xml:space="preserve">Lack of network connection controls over communications sessions may result in unauthorized access to information systems </v>
      </c>
      <c r="V127" s="278" t="str">
        <f>VLOOKUP(C127,'Technology MASTER'!$B$3:$Q$107,16,FALSE)</f>
        <v>Cyber Attack</v>
      </c>
      <c r="W127" s="235"/>
    </row>
    <row r="128" spans="1:23" ht="48" customHeight="1">
      <c r="A128" s="234"/>
      <c r="B128" s="425"/>
      <c r="C128" s="50">
        <v>12.4</v>
      </c>
      <c r="D128" s="430" t="str">
        <f>VLOOKUP(C128,'Technology MASTER'!$B$3:$Q$107,5,FALSE)</f>
        <v>Do you have a network-based Intrusion Prevention System/s (IPS) deployed to inspect and block malicious traffic entering the company's network?</v>
      </c>
      <c r="E128" s="430"/>
      <c r="F128" s="430"/>
      <c r="G128" s="430"/>
      <c r="H128" s="430"/>
      <c r="I128" s="430"/>
      <c r="J128" s="430"/>
      <c r="K128" s="430"/>
      <c r="L128" s="431"/>
      <c r="M128" s="431"/>
      <c r="N128" s="482"/>
      <c r="O128" s="483"/>
      <c r="P128" s="483"/>
      <c r="Q128" s="484"/>
      <c r="R128" s="278" t="str">
        <f>VLOOKUP(C128,'Technology MASTER'!$B$3:$Q$107,3,FALSE)</f>
        <v>Boundary Defense</v>
      </c>
      <c r="S128" s="278" t="str">
        <f>VLOOKUP(C128,'Technology MASTER'!$B$3:$Q$107,4,FALSE)</f>
        <v>Detect</v>
      </c>
      <c r="T128" s="278" t="e">
        <f>HLOOKUP($N$28,'Technology MASTER'!$G$2:$I$107,61,FALSE)</f>
        <v>#N/A</v>
      </c>
      <c r="U128" s="278" t="str">
        <f>VLOOKUP(C128,'Technology MASTER'!$B$3:$Q$107,13,FALSE)</f>
        <v xml:space="preserve">Lack of network connection controls over communications sessions may result in unauthorized access to information systems </v>
      </c>
      <c r="V128" s="278" t="str">
        <f>VLOOKUP(C128,'Technology MASTER'!$B$3:$Q$107,16,FALSE)</f>
        <v>Cyber Attack</v>
      </c>
      <c r="W128" s="235"/>
    </row>
    <row r="129" spans="1:23" ht="48" customHeight="1">
      <c r="A129" s="234"/>
      <c r="B129" s="425"/>
      <c r="C129" s="50">
        <v>12.5</v>
      </c>
      <c r="D129" s="430" t="str">
        <f>VLOOKUP(C129,'Technology MASTER'!$B$3:$Q$107,5,FALSE)</f>
        <v>Are each of the organization's network boundaries configured to deny communication over unauthorized TCP or UDP ports or application traffic to ensure that only authorized protocols are allowed to cross the network boundary in or out of the network?</v>
      </c>
      <c r="E129" s="430"/>
      <c r="F129" s="430"/>
      <c r="G129" s="430"/>
      <c r="H129" s="430"/>
      <c r="I129" s="430"/>
      <c r="J129" s="430"/>
      <c r="K129" s="430"/>
      <c r="L129" s="431"/>
      <c r="M129" s="431"/>
      <c r="N129" s="482"/>
      <c r="O129" s="483"/>
      <c r="P129" s="483"/>
      <c r="Q129" s="484"/>
      <c r="R129" s="278" t="str">
        <f>VLOOKUP(C129,'Technology MASTER'!$B$3:$Q$107,3,FALSE)</f>
        <v>Boundary Defense</v>
      </c>
      <c r="S129" s="278" t="str">
        <f>VLOOKUP(C129,'Technology MASTER'!$B$3:$Q$107,4,FALSE)</f>
        <v>Protect</v>
      </c>
      <c r="T129" s="278" t="e">
        <f>HLOOKUP($N$28,'Technology MASTER'!$G$2:$I$107,62,FALSE)</f>
        <v>#N/A</v>
      </c>
      <c r="U129" s="278" t="str">
        <f>VLOOKUP(C129,'Technology MASTER'!$B$3:$Q$107,13,FALSE)</f>
        <v>Information is disclosed due to lack of protection based on the need, priorities and expected degree of protection.</v>
      </c>
      <c r="V129" s="278" t="str">
        <f>VLOOKUP(C129,'Technology MASTER'!$B$3:$Q$107,16,FALSE)</f>
        <v>Cyber Attack</v>
      </c>
      <c r="W129" s="235"/>
    </row>
    <row r="130" spans="1:23" ht="48" customHeight="1">
      <c r="A130" s="234"/>
      <c r="B130" s="426"/>
      <c r="C130" s="50">
        <v>12.6</v>
      </c>
      <c r="D130" s="430" t="str">
        <f>VLOOKUP(C130,'Technology MASTER'!$B$3:$Q$107,5,FALSE)</f>
        <v>Do you require all remote log-in access to require multi-factor authentication?</v>
      </c>
      <c r="E130" s="430"/>
      <c r="F130" s="430"/>
      <c r="G130" s="430"/>
      <c r="H130" s="430"/>
      <c r="I130" s="430"/>
      <c r="J130" s="430"/>
      <c r="K130" s="430"/>
      <c r="L130" s="431"/>
      <c r="M130" s="431"/>
      <c r="N130" s="482"/>
      <c r="O130" s="483"/>
      <c r="P130" s="483"/>
      <c r="Q130" s="484"/>
      <c r="R130" s="278" t="str">
        <f>VLOOKUP(C130,'Technology MASTER'!$B$3:$Q$107,3,FALSE)</f>
        <v>Boundary Defense</v>
      </c>
      <c r="S130" s="278" t="str">
        <f>VLOOKUP(C130,'Technology MASTER'!$B$3:$Q$107,4,FALSE)</f>
        <v>Protect</v>
      </c>
      <c r="T130" s="278" t="e">
        <f>HLOOKUP($N$28,'Technology MASTER'!$G$2:$I$107,63,FALSE)</f>
        <v>#N/A</v>
      </c>
      <c r="U130" s="278" t="str">
        <f>VLOOKUP(C130,'Technology MASTER'!$B$3:$Q$107,13,FALSE)</f>
        <v xml:space="preserve">Lack of network connection controls over communications sessions may result in unauthorized access to information systems </v>
      </c>
      <c r="V130" s="278" t="str">
        <f>VLOOKUP(C130,'Technology MASTER'!$B$3:$Q$107,16,FALSE)</f>
        <v>Cyber Attack</v>
      </c>
      <c r="W130" s="235"/>
    </row>
    <row r="131" spans="1:23" ht="16">
      <c r="A131" s="234"/>
      <c r="B131" s="429"/>
      <c r="C131" s="429"/>
      <c r="D131" s="429"/>
      <c r="E131" s="429"/>
      <c r="F131" s="429"/>
      <c r="G131" s="429"/>
      <c r="H131" s="429"/>
      <c r="I131" s="429"/>
      <c r="J131" s="429"/>
      <c r="K131" s="429"/>
      <c r="L131" s="429"/>
      <c r="M131" s="429"/>
      <c r="N131" s="429"/>
      <c r="O131" s="429"/>
      <c r="P131" s="429"/>
      <c r="Q131" s="429"/>
      <c r="R131" s="216"/>
      <c r="S131" s="216"/>
      <c r="T131" s="216"/>
      <c r="U131" s="216"/>
      <c r="V131" s="216"/>
      <c r="W131" s="235"/>
    </row>
    <row r="132" spans="1:23" ht="48.75" customHeight="1">
      <c r="A132" s="234"/>
      <c r="B132" s="424" t="s">
        <v>33</v>
      </c>
      <c r="C132" s="50">
        <v>13.1</v>
      </c>
      <c r="D132" s="430" t="str">
        <f>VLOOKUP(C132,'Technology MASTER'!$B$3:$Q$107,5,FALSE)</f>
        <v>Are safeguards in place that ensure any data stored on removable media (i.e. thumb drives, portable hard drives, etc.) is encrypted?</v>
      </c>
      <c r="E132" s="430"/>
      <c r="F132" s="430"/>
      <c r="G132" s="430"/>
      <c r="H132" s="430"/>
      <c r="I132" s="430"/>
      <c r="J132" s="430"/>
      <c r="K132" s="430"/>
      <c r="L132" s="431"/>
      <c r="M132" s="431"/>
      <c r="N132" s="482"/>
      <c r="O132" s="483"/>
      <c r="P132" s="483"/>
      <c r="Q132" s="484"/>
      <c r="R132" s="278" t="str">
        <f>VLOOKUP(C132,'Technology MASTER'!$B$3:$Q$107,3,FALSE)</f>
        <v>Data Protection</v>
      </c>
      <c r="S132" s="278" t="str">
        <f>VLOOKUP(C132,'Technology MASTER'!$B$3:$Q$107,4,FALSE)</f>
        <v>Protect</v>
      </c>
      <c r="T132" s="278" t="e">
        <f>HLOOKUP($N$28,'Technology MASTER'!$G$2:$I$107,64,FALSE)</f>
        <v>#N/A</v>
      </c>
      <c r="U132" s="278" t="str">
        <f>VLOOKUP(C132,'Technology MASTER'!$B$3:$Q$107,13,FALSE)</f>
        <v>Information stored in physical media may be disclosed to or altered by unauthorized parties while being physically transported.</v>
      </c>
      <c r="V132" s="278" t="str">
        <f>VLOOKUP(C132,'Technology MASTER'!$B$3:$Q$107,16,FALSE)</f>
        <v>Human Error</v>
      </c>
      <c r="W132" s="235"/>
    </row>
    <row r="133" spans="1:23" ht="48.75" customHeight="1">
      <c r="A133" s="234"/>
      <c r="B133" s="425"/>
      <c r="C133" s="50">
        <v>13.2</v>
      </c>
      <c r="D133" s="430" t="str">
        <f>VLOOKUP(C133,'Technology MASTER'!$B$3:$Q$107,5,FALSE)</f>
        <v>Do you deploy appropriate encryption software to protect enterprise data stored on all mobile devices?</v>
      </c>
      <c r="E133" s="430"/>
      <c r="F133" s="430"/>
      <c r="G133" s="430"/>
      <c r="H133" s="430"/>
      <c r="I133" s="430"/>
      <c r="J133" s="430"/>
      <c r="K133" s="430"/>
      <c r="L133" s="431"/>
      <c r="M133" s="431"/>
      <c r="N133" s="482"/>
      <c r="O133" s="483"/>
      <c r="P133" s="483"/>
      <c r="Q133" s="484"/>
      <c r="R133" s="278" t="str">
        <f>VLOOKUP(C133,'Technology MASTER'!$B$3:$Q$107,3,FALSE)</f>
        <v>Data Protection</v>
      </c>
      <c r="S133" s="278" t="str">
        <f>VLOOKUP(C133,'Technology MASTER'!$B$3:$Q$107,4,FALSE)</f>
        <v>Protect</v>
      </c>
      <c r="T133" s="278" t="e">
        <f>HLOOKUP($N$28,'Technology MASTER'!$G$2:$I$107,65,FALSE)</f>
        <v>#N/A</v>
      </c>
      <c r="U133" s="278" t="str">
        <f>VLOOKUP(C133,'Technology MASTER'!$B$3:$Q$107,13,FALSE)</f>
        <v>Encryption and other cryptographic controls are inconsistently used to protect information assets and deviate with policy.</v>
      </c>
      <c r="V133" s="278" t="str">
        <f>VLOOKUP(C133,'Technology MASTER'!$B$3:$Q$107,16,FALSE)</f>
        <v>Human Error</v>
      </c>
      <c r="W133" s="235"/>
    </row>
    <row r="134" spans="1:23" ht="48.75" customHeight="1">
      <c r="A134" s="234"/>
      <c r="B134" s="425"/>
      <c r="C134" s="50">
        <v>13.3</v>
      </c>
      <c r="D134" s="430" t="str">
        <f>VLOOKUP(C134,'Technology MASTER'!$B$3:$Q$107,5,FALSE)</f>
        <v>Does the organization maintain an inventory of all sensitive information stored, processed, or transmitted by the organization's technology systems, including those located onsite or at a remote service provider?</v>
      </c>
      <c r="E134" s="430"/>
      <c r="F134" s="430"/>
      <c r="G134" s="430"/>
      <c r="H134" s="430"/>
      <c r="I134" s="430"/>
      <c r="J134" s="430"/>
      <c r="K134" s="430"/>
      <c r="L134" s="431"/>
      <c r="M134" s="431"/>
      <c r="N134" s="482"/>
      <c r="O134" s="483"/>
      <c r="P134" s="483"/>
      <c r="Q134" s="484"/>
      <c r="R134" s="278" t="str">
        <f>VLOOKUP(C134,'Technology MASTER'!$B$3:$Q$107,3,FALSE)</f>
        <v>Data Protection</v>
      </c>
      <c r="S134" s="278" t="str">
        <f>VLOOKUP(C134,'Technology MASTER'!$B$3:$Q$107,4,FALSE)</f>
        <v>Identify</v>
      </c>
      <c r="T134" s="278" t="e">
        <f>HLOOKUP($N$28,'Technology MASTER'!$G$2:$I$107,66,FALSE)</f>
        <v>#N/A</v>
      </c>
      <c r="U134" s="278" t="str">
        <f>VLOOKUP(C134,'Technology MASTER'!$B$3:$Q$107,13,FALSE)</f>
        <v>The lack of formal procedures for handling, processing, storing and communicating information consistent with its classification scheme, may result in potential mishandling or misuse of information by unauthorized parties.</v>
      </c>
      <c r="V134" s="278" t="str">
        <f>VLOOKUP(C134,'Technology MASTER'!$B$3:$Q$107,16,FALSE)</f>
        <v>Human Error</v>
      </c>
      <c r="W134" s="235"/>
    </row>
    <row r="135" spans="1:23" ht="48.75" customHeight="1">
      <c r="A135" s="234"/>
      <c r="B135" s="425"/>
      <c r="C135" s="50">
        <v>13.4</v>
      </c>
      <c r="D135" s="430" t="str">
        <f>VLOOKUP(C135,'Technology MASTER'!$B$3:$Q$107,5,FALSE)</f>
        <v>Does the organization only allow access to authorized cloud storage or email providers?</v>
      </c>
      <c r="E135" s="430"/>
      <c r="F135" s="430"/>
      <c r="G135" s="430"/>
      <c r="H135" s="430"/>
      <c r="I135" s="430"/>
      <c r="J135" s="430"/>
      <c r="K135" s="430"/>
      <c r="L135" s="431"/>
      <c r="M135" s="431"/>
      <c r="N135" s="482"/>
      <c r="O135" s="483"/>
      <c r="P135" s="483"/>
      <c r="Q135" s="484"/>
      <c r="R135" s="278" t="str">
        <f>VLOOKUP(C135,'Technology MASTER'!$B$3:$Q$107,3,FALSE)</f>
        <v>Data Protection</v>
      </c>
      <c r="S135" s="278" t="str">
        <f>VLOOKUP(C135,'Technology MASTER'!$B$3:$Q$107,4,FALSE)</f>
        <v>Protect</v>
      </c>
      <c r="T135" s="278" t="e">
        <f>HLOOKUP($N$28,'Technology MASTER'!$G$2:$I$107,67,FALSE)</f>
        <v>#N/A</v>
      </c>
      <c r="U135" s="278" t="str">
        <f>VLOOKUP(C135,'Technology MASTER'!$B$3:$Q$107,13,FALSE)</f>
        <v>Sensitive data has not been clearly identified and inventoried.</v>
      </c>
      <c r="V135" s="278" t="str">
        <f>VLOOKUP(C135,'Technology MASTER'!$B$3:$Q$107,16,FALSE)</f>
        <v>Human Error</v>
      </c>
      <c r="W135" s="235"/>
    </row>
    <row r="136" spans="1:23" ht="48.75" customHeight="1">
      <c r="A136" s="234"/>
      <c r="B136" s="426"/>
      <c r="C136" s="50">
        <v>13.5</v>
      </c>
      <c r="D136" s="430" t="str">
        <f>VLOOKUP(C136,'Technology MASTER'!$B$3:$Q$107,5,FALSE)</f>
        <v>Has the organization deployed an automated tool on network perimeters that monitors for sensitive information and blocks such transfers while alerting information security professionals?</v>
      </c>
      <c r="E136" s="430"/>
      <c r="F136" s="430"/>
      <c r="G136" s="430"/>
      <c r="H136" s="430"/>
      <c r="I136" s="430"/>
      <c r="J136" s="430"/>
      <c r="K136" s="430"/>
      <c r="L136" s="431"/>
      <c r="M136" s="431"/>
      <c r="N136" s="482"/>
      <c r="O136" s="483"/>
      <c r="P136" s="483"/>
      <c r="Q136" s="484"/>
      <c r="R136" s="278" t="str">
        <f>VLOOKUP(C136,'Technology MASTER'!$B$3:$Q$107,3,FALSE)</f>
        <v>Data Protection</v>
      </c>
      <c r="S136" s="278" t="str">
        <f>VLOOKUP(C136,'Technology MASTER'!$B$3:$Q$107,4,FALSE)</f>
        <v>Detect</v>
      </c>
      <c r="T136" s="278" t="e">
        <f>HLOOKUP($N$28,'Technology MASTER'!$G$2:$I$107,68,FALSE)</f>
        <v>#N/A</v>
      </c>
      <c r="U136" s="278" t="str">
        <f>VLOOKUP(C136,'Technology MASTER'!$B$3:$Q$107,13,FALSE)</f>
        <v>The organization does not have  staff or resources responsible for responding to information spillage.</v>
      </c>
      <c r="V136" s="278" t="str">
        <f>VLOOKUP(C136,'Technology MASTER'!$B$3:$Q$107,16,FALSE)</f>
        <v>Human Error</v>
      </c>
      <c r="W136" s="235"/>
    </row>
    <row r="137" spans="1:23" ht="16">
      <c r="A137" s="234"/>
      <c r="B137" s="429"/>
      <c r="C137" s="429"/>
      <c r="D137" s="429"/>
      <c r="E137" s="429"/>
      <c r="F137" s="429"/>
      <c r="G137" s="429"/>
      <c r="H137" s="429"/>
      <c r="I137" s="429"/>
      <c r="J137" s="429"/>
      <c r="K137" s="429"/>
      <c r="L137" s="429"/>
      <c r="M137" s="429"/>
      <c r="N137" s="429"/>
      <c r="O137" s="429"/>
      <c r="P137" s="429"/>
      <c r="Q137" s="429"/>
      <c r="R137" s="216"/>
      <c r="S137" s="216"/>
      <c r="T137" s="216"/>
      <c r="U137" s="216"/>
      <c r="V137" s="216"/>
      <c r="W137" s="235"/>
    </row>
    <row r="138" spans="1:23" ht="48" customHeight="1">
      <c r="A138" s="234"/>
      <c r="B138" s="424" t="s">
        <v>34</v>
      </c>
      <c r="C138" s="50">
        <v>14.1</v>
      </c>
      <c r="D138" s="430" t="str">
        <f>VLOOKUP(C138,'Technology MASTER'!$B$3:$Q$107,5,FALSE)</f>
        <v>Do you protect all information stored on systems with file system, network share, claims, application or database specific access control lists?</v>
      </c>
      <c r="E138" s="430"/>
      <c r="F138" s="430"/>
      <c r="G138" s="430"/>
      <c r="H138" s="430"/>
      <c r="I138" s="430"/>
      <c r="J138" s="430"/>
      <c r="K138" s="430"/>
      <c r="L138" s="431"/>
      <c r="M138" s="431"/>
      <c r="N138" s="482"/>
      <c r="O138" s="483"/>
      <c r="P138" s="483"/>
      <c r="Q138" s="484"/>
      <c r="R138" s="278" t="str">
        <f>VLOOKUP(C138,'Technology MASTER'!$B$3:$Q$107,3,FALSE)</f>
        <v>Controlled Access Based on the Need to Know</v>
      </c>
      <c r="S138" s="278" t="str">
        <f>VLOOKUP(C138,'Technology MASTER'!$B$3:$Q$107,4,FALSE)</f>
        <v>Protect</v>
      </c>
      <c r="T138" s="278" t="e">
        <f>HLOOKUP($N$28,'Technology MASTER'!$G$2:$I$107,69,FALSE)</f>
        <v>#N/A</v>
      </c>
      <c r="U138" s="278" t="str">
        <f>VLOOKUP(C138,'Technology MASTER'!$B$3:$Q$107,13,FALSE)</f>
        <v>Information is disclosed due to mislabeled, unlabeled or mishandled physical or electronic media.</v>
      </c>
      <c r="V138" s="278" t="str">
        <f>VLOOKUP(C138,'Technology MASTER'!$B$3:$Q$107,16,FALSE)</f>
        <v>Unauthorized Access to Systems or Data</v>
      </c>
      <c r="W138" s="235"/>
    </row>
    <row r="139" spans="1:23" ht="48" customHeight="1">
      <c r="A139" s="234"/>
      <c r="B139" s="425"/>
      <c r="C139" s="50">
        <v>14.2</v>
      </c>
      <c r="D139" s="430" t="str">
        <f>VLOOKUP(C139,'Technology MASTER'!$B$3:$Q$107,5,FALSE)</f>
        <v>Do you encrypt all sensitive information in transit?</v>
      </c>
      <c r="E139" s="430"/>
      <c r="F139" s="430"/>
      <c r="G139" s="430"/>
      <c r="H139" s="430"/>
      <c r="I139" s="430"/>
      <c r="J139" s="430"/>
      <c r="K139" s="430"/>
      <c r="L139" s="431"/>
      <c r="M139" s="431"/>
      <c r="N139" s="482"/>
      <c r="O139" s="483"/>
      <c r="P139" s="483"/>
      <c r="Q139" s="484"/>
      <c r="R139" s="278" t="str">
        <f>VLOOKUP(C139,'Technology MASTER'!$B$3:$Q$107,3,FALSE)</f>
        <v>Controlled Access Based on the Need to Know</v>
      </c>
      <c r="S139" s="278" t="str">
        <f>VLOOKUP(C139,'Technology MASTER'!$B$3:$Q$107,4,FALSE)</f>
        <v>Protect</v>
      </c>
      <c r="T139" s="278" t="e">
        <f>HLOOKUP($N$28,'Technology MASTER'!$G$2:$I$107,70,FALSE)</f>
        <v>#N/A</v>
      </c>
      <c r="U139" s="278" t="str">
        <f>VLOOKUP(C139,'Technology MASTER'!$B$3:$Q$107,13,FALSE)</f>
        <v>Sensitive data is exposed to unauthorized disclosure or modification while in transit.</v>
      </c>
      <c r="V139" s="278" t="str">
        <f>VLOOKUP(C139,'Technology MASTER'!$B$3:$Q$107,16,FALSE)</f>
        <v>Unauthorized Access to Systems or Data</v>
      </c>
      <c r="W139" s="235"/>
    </row>
    <row r="140" spans="1:23" ht="48" customHeight="1">
      <c r="A140" s="234"/>
      <c r="B140" s="425"/>
      <c r="C140" s="50">
        <v>14.3</v>
      </c>
      <c r="D140" s="430" t="str">
        <f>VLOOKUP(C140,'Technology MASTER'!$B$3:$Q$107,5,FALSE)</f>
        <v>Do you segment the network based on the label or classification level of the information stored on the servers, locate all sensitive information on separated Virtual Local Area Networks (VLANs).</v>
      </c>
      <c r="E140" s="430"/>
      <c r="F140" s="430"/>
      <c r="G140" s="430"/>
      <c r="H140" s="430"/>
      <c r="I140" s="430"/>
      <c r="J140" s="430"/>
      <c r="K140" s="430"/>
      <c r="L140" s="431"/>
      <c r="M140" s="431"/>
      <c r="N140" s="482"/>
      <c r="O140" s="483"/>
      <c r="P140" s="483"/>
      <c r="Q140" s="484"/>
      <c r="R140" s="278" t="str">
        <f>VLOOKUP(C140,'Technology MASTER'!$B$3:$Q$107,3,FALSE)</f>
        <v>Controlled Access Based on the Need to Know</v>
      </c>
      <c r="S140" s="278" t="str">
        <f>VLOOKUP(C140,'Technology MASTER'!$B$3:$Q$107,4,FALSE)</f>
        <v>Protect</v>
      </c>
      <c r="T140" s="278" t="e">
        <f>HLOOKUP($N$28,'Technology MASTER'!$G$2:$I$107,71,FALSE)</f>
        <v>#N/A</v>
      </c>
      <c r="U140" s="278" t="str">
        <f>VLOOKUP(C140,'Technology MASTER'!$B$3:$Q$107,13,FALSE)</f>
        <v>Sensitive systems co-located with less sensitive systems are accessed by unauthorized parties.</v>
      </c>
      <c r="V140" s="278" t="str">
        <f>VLOOKUP(C140,'Technology MASTER'!$B$3:$Q$107,16,FALSE)</f>
        <v>Unauthorized Access to Systems or Data</v>
      </c>
      <c r="W140" s="235"/>
    </row>
    <row r="141" spans="1:23" ht="48" customHeight="1">
      <c r="A141" s="234"/>
      <c r="B141" s="426"/>
      <c r="C141" s="50">
        <v>14.4</v>
      </c>
      <c r="D141" s="430" t="str">
        <f>VLOOKUP(C141,'Technology MASTER'!$B$3:$Q$107,5,FALSE)</f>
        <v>Do you enforce detailed audit logging for access to sensitive data or changes to sensitive data (utilizing tools such as File Integrity Monitoring or Security Information and Event Monitoring)?</v>
      </c>
      <c r="E141" s="430"/>
      <c r="F141" s="430"/>
      <c r="G141" s="430"/>
      <c r="H141" s="430"/>
      <c r="I141" s="430"/>
      <c r="J141" s="430"/>
      <c r="K141" s="430"/>
      <c r="L141" s="431"/>
      <c r="M141" s="431"/>
      <c r="N141" s="482"/>
      <c r="O141" s="483"/>
      <c r="P141" s="483"/>
      <c r="Q141" s="484"/>
      <c r="R141" s="278" t="str">
        <f>VLOOKUP(C141,'Technology MASTER'!$B$3:$Q$107,3,FALSE)</f>
        <v>Controlled Access Based on the Need to Know</v>
      </c>
      <c r="S141" s="278" t="str">
        <f>VLOOKUP(C141,'Technology MASTER'!$B$3:$Q$107,4,FALSE)</f>
        <v>Detect</v>
      </c>
      <c r="T141" s="278" t="e">
        <f>HLOOKUP($N$28,'Technology MASTER'!$G$2:$I$107,72,FALSE)</f>
        <v>#N/A</v>
      </c>
      <c r="U141" s="278" t="str">
        <f>VLOOKUP(C141,'Technology MASTER'!$B$3:$Q$107,13,FALSE)</f>
        <v>Unauthorized tampering of system and/or configuration files is undetected due to the absence of file integrity mechanisms.</v>
      </c>
      <c r="V141" s="278" t="str">
        <f>VLOOKUP(C141,'Technology MASTER'!$B$3:$Q$107,16,FALSE)</f>
        <v>Unauthorized Access to Systems or Data</v>
      </c>
      <c r="W141" s="235"/>
    </row>
    <row r="142" spans="1:23" ht="16">
      <c r="A142" s="234"/>
      <c r="B142" s="429"/>
      <c r="C142" s="429"/>
      <c r="D142" s="429"/>
      <c r="E142" s="429"/>
      <c r="F142" s="429"/>
      <c r="G142" s="429"/>
      <c r="H142" s="429"/>
      <c r="I142" s="429"/>
      <c r="J142" s="429"/>
      <c r="K142" s="429"/>
      <c r="L142" s="429"/>
      <c r="M142" s="429"/>
      <c r="N142" s="429"/>
      <c r="O142" s="429"/>
      <c r="P142" s="429"/>
      <c r="Q142" s="429"/>
      <c r="R142" s="216"/>
      <c r="S142" s="216"/>
      <c r="T142" s="216"/>
      <c r="U142" s="216"/>
      <c r="V142" s="216"/>
      <c r="W142" s="235"/>
    </row>
    <row r="143" spans="1:23" ht="48" customHeight="1">
      <c r="A143" s="234"/>
      <c r="B143" s="424" t="s">
        <v>35</v>
      </c>
      <c r="C143" s="50">
        <v>15.1</v>
      </c>
      <c r="D143" s="430" t="str">
        <f>VLOOKUP(C143,'Technology MASTER'!$B$3:$Q$107,5,FALSE)</f>
        <v>Do you have an inventory of authorized wireless access points connected to the wired network?</v>
      </c>
      <c r="E143" s="430"/>
      <c r="F143" s="430"/>
      <c r="G143" s="430"/>
      <c r="H143" s="430"/>
      <c r="I143" s="430"/>
      <c r="J143" s="430"/>
      <c r="K143" s="430"/>
      <c r="L143" s="431"/>
      <c r="M143" s="431"/>
      <c r="N143" s="482"/>
      <c r="O143" s="483"/>
      <c r="P143" s="483"/>
      <c r="Q143" s="484"/>
      <c r="R143" s="278" t="str">
        <f>VLOOKUP(C143,'Technology MASTER'!$B$3:$Q$107,3,FALSE)</f>
        <v>Wireless Access Control</v>
      </c>
      <c r="S143" s="278" t="str">
        <f>VLOOKUP(C143,'Technology MASTER'!$B$3:$Q$107,4,FALSE)</f>
        <v>Identify</v>
      </c>
      <c r="T143" s="278" t="e">
        <f>HLOOKUP($N$28,'Technology MASTER'!$G$2:$I$107,73,FALSE)</f>
        <v>#N/A</v>
      </c>
      <c r="U143" s="278" t="str">
        <f>VLOOKUP(C143,'Technology MASTER'!$B$3:$Q$107,13,FALSE)</f>
        <v>Inadequately managed and controlled networks and supporting infrastructure expose systems and applications.</v>
      </c>
      <c r="V143" s="278" t="str">
        <f>VLOOKUP(C143,'Technology MASTER'!$B$3:$Q$107,16,FALSE)</f>
        <v>Unauthorized Access to Systems or Data</v>
      </c>
      <c r="W143" s="235"/>
    </row>
    <row r="144" spans="1:23" ht="48" customHeight="1">
      <c r="A144" s="234"/>
      <c r="B144" s="425"/>
      <c r="C144" s="50">
        <v>15.2</v>
      </c>
      <c r="D144" s="430" t="str">
        <f>VLOOKUP(C144,'Technology MASTER'!$B$3:$Q$107,5,FALSE)</f>
        <v>Do you have a tool or mechanisms in place to detect and alert on unauthorized wireless access points connected to the network?</v>
      </c>
      <c r="E144" s="430"/>
      <c r="F144" s="430"/>
      <c r="G144" s="430"/>
      <c r="H144" s="430"/>
      <c r="I144" s="430"/>
      <c r="J144" s="430"/>
      <c r="K144" s="430"/>
      <c r="L144" s="431"/>
      <c r="M144" s="431"/>
      <c r="N144" s="482"/>
      <c r="O144" s="483"/>
      <c r="P144" s="483"/>
      <c r="Q144" s="484"/>
      <c r="R144" s="278" t="str">
        <f>VLOOKUP(C144,'Technology MASTER'!$B$3:$Q$107,3,FALSE)</f>
        <v>Wireless Access Control</v>
      </c>
      <c r="S144" s="278" t="str">
        <f>VLOOKUP(C144,'Technology MASTER'!$B$3:$Q$107,4,FALSE)</f>
        <v>Detect</v>
      </c>
      <c r="T144" s="278" t="e">
        <f>HLOOKUP($N$28,'Technology MASTER'!$G$2:$I$107,74,FALSE)</f>
        <v>#N/A</v>
      </c>
      <c r="U144" s="278" t="str">
        <f>VLOOKUP(C144,'Technology MASTER'!$B$3:$Q$107,13,FALSE)</f>
        <v>Unauthorized parties gain access to resources by exploiting vulnerabilities in unsecured wireless networks.</v>
      </c>
      <c r="V144" s="278" t="str">
        <f>VLOOKUP(C144,'Technology MASTER'!$B$3:$Q$107,16,FALSE)</f>
        <v>Unauthorized Access to Systems or Data</v>
      </c>
      <c r="W144" s="235"/>
    </row>
    <row r="145" spans="1:23" ht="48" customHeight="1">
      <c r="A145" s="234"/>
      <c r="B145" s="425"/>
      <c r="C145" s="50">
        <v>15.3</v>
      </c>
      <c r="D145" s="430" t="str">
        <f>VLOOKUP(C145,'Technology MASTER'!$B$3:$Q$107,5,FALSE)</f>
        <v>Do you disable wireless access on devices that do not have a business purpose for wireless access?</v>
      </c>
      <c r="E145" s="430"/>
      <c r="F145" s="430"/>
      <c r="G145" s="430"/>
      <c r="H145" s="430"/>
      <c r="I145" s="430"/>
      <c r="J145" s="430"/>
      <c r="K145" s="430"/>
      <c r="L145" s="431"/>
      <c r="M145" s="431"/>
      <c r="N145" s="482"/>
      <c r="O145" s="483"/>
      <c r="P145" s="483"/>
      <c r="Q145" s="484"/>
      <c r="R145" s="278" t="str">
        <f>VLOOKUP(C145,'Technology MASTER'!$B$3:$Q$107,3,FALSE)</f>
        <v>Wireless Access Control</v>
      </c>
      <c r="S145" s="278" t="str">
        <f>VLOOKUP(C145,'Technology MASTER'!$B$3:$Q$107,4,FALSE)</f>
        <v>Protect</v>
      </c>
      <c r="T145" s="278" t="e">
        <f>HLOOKUP($N$28,'Technology MASTER'!$G$2:$I$107,75,FALSE)</f>
        <v>#N/A</v>
      </c>
      <c r="U145" s="278" t="str">
        <f>VLOOKUP(C145,'Technology MASTER'!$B$3:$Q$107,13,FALSE)</f>
        <v>Unauthorized parties gain access to resources by exploiting vulnerabilities in unsecured wireless networks.</v>
      </c>
      <c r="V145" s="278" t="str">
        <f>VLOOKUP(C145,'Technology MASTER'!$B$3:$Q$107,16,FALSE)</f>
        <v>Unauthorized Access to Systems or Data</v>
      </c>
      <c r="W145" s="235"/>
    </row>
    <row r="146" spans="1:23" ht="48" customHeight="1">
      <c r="A146" s="234"/>
      <c r="B146" s="425"/>
      <c r="C146" s="50">
        <v>15.4</v>
      </c>
      <c r="D146" s="430" t="str">
        <f>VLOOKUP(C146,'Technology MASTER'!$B$3:$Q$107,5,FALSE)</f>
        <v>Does the organization leverage the Advanced Encryption Standard (AES) to encrypt wireless data in transit?</v>
      </c>
      <c r="E146" s="430"/>
      <c r="F146" s="430"/>
      <c r="G146" s="430"/>
      <c r="H146" s="430"/>
      <c r="I146" s="430"/>
      <c r="J146" s="430"/>
      <c r="K146" s="430"/>
      <c r="L146" s="431"/>
      <c r="M146" s="431"/>
      <c r="N146" s="482"/>
      <c r="O146" s="483"/>
      <c r="P146" s="483"/>
      <c r="Q146" s="484"/>
      <c r="R146" s="278" t="str">
        <f>VLOOKUP(C146,'Technology MASTER'!$B$3:$Q$107,3,FALSE)</f>
        <v>Wireless Access Control</v>
      </c>
      <c r="S146" s="278" t="str">
        <f>VLOOKUP(C146,'Technology MASTER'!$B$3:$Q$107,4,FALSE)</f>
        <v>Protect</v>
      </c>
      <c r="T146" s="278" t="e">
        <f>HLOOKUP($N$28,'Technology MASTER'!$G$2:$I$107,76,FALSE)</f>
        <v>#N/A</v>
      </c>
      <c r="U146" s="278" t="str">
        <f>VLOOKUP(C146,'Technology MASTER'!$B$3:$Q$107,13,FALSE)</f>
        <v>Encryption and other cryptographic controls are inconsistently used to protect information assets and deviate with policy.</v>
      </c>
      <c r="V146" s="278" t="str">
        <f>VLOOKUP(C146,'Technology MASTER'!$B$3:$Q$107,16,FALSE)</f>
        <v>Unauthorized Access to Systems or Data</v>
      </c>
      <c r="W146" s="235"/>
    </row>
    <row r="147" spans="1:23" ht="48" customHeight="1">
      <c r="A147" s="234"/>
      <c r="B147" s="426"/>
      <c r="C147" s="50">
        <v>15.5</v>
      </c>
      <c r="D147" s="430" t="str">
        <f>VLOOKUP(C147,'Technology MASTER'!$B$3:$Q$107,5,FALSE)</f>
        <v>Does the organization utilize a separate a wireless network for personal or untrusted devices?</v>
      </c>
      <c r="E147" s="430"/>
      <c r="F147" s="430"/>
      <c r="G147" s="430"/>
      <c r="H147" s="430"/>
      <c r="I147" s="430"/>
      <c r="J147" s="430"/>
      <c r="K147" s="430"/>
      <c r="L147" s="431"/>
      <c r="M147" s="431"/>
      <c r="N147" s="482"/>
      <c r="O147" s="483"/>
      <c r="P147" s="483"/>
      <c r="Q147" s="484"/>
      <c r="R147" s="278" t="str">
        <f>VLOOKUP(C147,'Technology MASTER'!$B$3:$Q$107,3,FALSE)</f>
        <v>Wireless Access Control</v>
      </c>
      <c r="S147" s="278" t="str">
        <f>VLOOKUP(C147,'Technology MASTER'!$B$3:$Q$107,4,FALSE)</f>
        <v>Protect</v>
      </c>
      <c r="T147" s="278" t="e">
        <f>HLOOKUP($N$28,'Technology MASTER'!$G$2:$I$107,77,FALSE)</f>
        <v>#N/A</v>
      </c>
      <c r="U147" s="278" t="str">
        <f>VLOOKUP(C147,'Technology MASTER'!$B$3:$Q$107,13,FALSE)</f>
        <v>Insufficient segregation of communications and interfaces between the system processes, may expose sensitive information resources to unauthorized access.</v>
      </c>
      <c r="V147" s="278" t="str">
        <f>VLOOKUP(C147,'Technology MASTER'!$B$3:$Q$107,16,FALSE)</f>
        <v>Unauthorized Access to Systems or Data</v>
      </c>
      <c r="W147" s="235"/>
    </row>
    <row r="148" spans="1:23" ht="16">
      <c r="A148" s="234"/>
      <c r="B148" s="429"/>
      <c r="C148" s="429"/>
      <c r="D148" s="429"/>
      <c r="E148" s="429"/>
      <c r="F148" s="429"/>
      <c r="G148" s="429"/>
      <c r="H148" s="429"/>
      <c r="I148" s="429"/>
      <c r="J148" s="429"/>
      <c r="K148" s="429"/>
      <c r="L148" s="429"/>
      <c r="M148" s="429"/>
      <c r="N148" s="429"/>
      <c r="O148" s="429"/>
      <c r="P148" s="429"/>
      <c r="Q148" s="429"/>
      <c r="R148" s="216"/>
      <c r="S148" s="216"/>
      <c r="T148" s="216"/>
      <c r="U148" s="216"/>
      <c r="V148" s="216"/>
      <c r="W148" s="235"/>
    </row>
    <row r="149" spans="1:23" ht="48" customHeight="1">
      <c r="A149" s="234"/>
      <c r="B149" s="424" t="s">
        <v>36</v>
      </c>
      <c r="C149" s="50">
        <v>16.100000000000001</v>
      </c>
      <c r="D149" s="430" t="str">
        <f>VLOOKUP(C149,'Technology MASTER'!$B$3:$Q$107,5,FALSE)</f>
        <v>Does the organization maintain a inventory of all the accounts managed by authentication systems?</v>
      </c>
      <c r="E149" s="430"/>
      <c r="F149" s="430"/>
      <c r="G149" s="430"/>
      <c r="H149" s="430"/>
      <c r="I149" s="430"/>
      <c r="J149" s="430"/>
      <c r="K149" s="430"/>
      <c r="L149" s="431"/>
      <c r="M149" s="431"/>
      <c r="N149" s="482"/>
      <c r="O149" s="483"/>
      <c r="P149" s="483"/>
      <c r="Q149" s="484"/>
      <c r="R149" s="278" t="str">
        <f>VLOOKUP(C149,'Technology MASTER'!$B$3:$Q$107,3,FALSE)</f>
        <v>Account Monitoring and Control</v>
      </c>
      <c r="S149" s="278" t="str">
        <f>VLOOKUP(C149,'Technology MASTER'!$B$3:$Q$107,4,FALSE)</f>
        <v>Identify</v>
      </c>
      <c r="T149" s="278" t="e">
        <f>HLOOKUP($N$28,'Technology MASTER'!$G$2:$I$107,78,FALSE)</f>
        <v>#N/A</v>
      </c>
      <c r="U149" s="278" t="str">
        <f>VLOOKUP(C149,'Technology MASTER'!$B$3:$Q$107,13,FALSE)</f>
        <v>Failure to assign unique user identification and a relevant authentication mechanisms to confirm the claimed identity of an user may result in potential fraud and/or falsification of user identities.</v>
      </c>
      <c r="V149" s="278" t="str">
        <f>VLOOKUP(C149,'Technology MASTER'!$B$3:$Q$107,16,FALSE)</f>
        <v>Unauthorized Access to Systems or Data</v>
      </c>
      <c r="W149" s="235"/>
    </row>
    <row r="150" spans="1:23" ht="48" customHeight="1">
      <c r="A150" s="234"/>
      <c r="B150" s="425"/>
      <c r="C150" s="50">
        <v>16.2</v>
      </c>
      <c r="D150" s="430" t="str">
        <f>VLOOKUP(C150,'Technology MASTER'!$B$3:$Q$107,5,FALSE)</f>
        <v>Does the organization require multi-factor authenication for all user accounts, on all systems, whether managed on-site or by a third-party provider?</v>
      </c>
      <c r="E150" s="430"/>
      <c r="F150" s="430"/>
      <c r="G150" s="430"/>
      <c r="H150" s="430"/>
      <c r="I150" s="430"/>
      <c r="J150" s="430"/>
      <c r="K150" s="430"/>
      <c r="L150" s="431"/>
      <c r="M150" s="431"/>
      <c r="N150" s="482"/>
      <c r="O150" s="483"/>
      <c r="P150" s="483"/>
      <c r="Q150" s="484"/>
      <c r="R150" s="278" t="str">
        <f>VLOOKUP(C150,'Technology MASTER'!$B$3:$Q$107,3,FALSE)</f>
        <v>Account Monitoring and Control</v>
      </c>
      <c r="S150" s="278" t="str">
        <f>VLOOKUP(C150,'Technology MASTER'!$B$3:$Q$107,4,FALSE)</f>
        <v>Protect</v>
      </c>
      <c r="T150" s="278" t="e">
        <f>HLOOKUP($N$28,'Technology MASTER'!$G$2:$I$107,79,FALSE)</f>
        <v>#N/A</v>
      </c>
      <c r="U150" s="278" t="str">
        <f>VLOOKUP(C150,'Technology MASTER'!$B$3:$Q$107,13,FALSE)</f>
        <v>Configuration standards are not met for systems being implemented.</v>
      </c>
      <c r="V150" s="278" t="str">
        <f>VLOOKUP(C150,'Technology MASTER'!$B$3:$Q$107,16,FALSE)</f>
        <v>Unauthorized Access to Systems or Data</v>
      </c>
      <c r="W150" s="235"/>
    </row>
    <row r="151" spans="1:23" ht="48" customHeight="1">
      <c r="A151" s="234"/>
      <c r="B151" s="425"/>
      <c r="C151" s="50">
        <v>16.3</v>
      </c>
      <c r="D151" s="430" t="str">
        <f>VLOOKUP(C151,'Technology MASTER'!$B$3:$Q$107,5,FALSE)</f>
        <v>Does the organization encrypt or hash with a salt all authentication credentials when stored?</v>
      </c>
      <c r="E151" s="430"/>
      <c r="F151" s="430"/>
      <c r="G151" s="430"/>
      <c r="H151" s="430"/>
      <c r="I151" s="430"/>
      <c r="J151" s="430"/>
      <c r="K151" s="430"/>
      <c r="L151" s="431"/>
      <c r="M151" s="431"/>
      <c r="N151" s="482"/>
      <c r="O151" s="483"/>
      <c r="P151" s="483"/>
      <c r="Q151" s="484"/>
      <c r="R151" s="278" t="str">
        <f>VLOOKUP(C151,'Technology MASTER'!$B$3:$Q$107,3,FALSE)</f>
        <v>Account Monitoring and Control</v>
      </c>
      <c r="S151" s="278" t="str">
        <f>VLOOKUP(C151,'Technology MASTER'!$B$3:$Q$107,4,FALSE)</f>
        <v>Protect</v>
      </c>
      <c r="T151" s="278" t="e">
        <f>HLOOKUP($N$28,'Technology MASTER'!$G$2:$I$107,80,FALSE)</f>
        <v>#N/A</v>
      </c>
      <c r="U151" s="278" t="str">
        <f>VLOOKUP(C151,'Technology MASTER'!$B$3:$Q$107,13,FALSE)</f>
        <v>Configuration standards are not met for systems being implemented.</v>
      </c>
      <c r="V151" s="278" t="str">
        <f>VLOOKUP(C151,'Technology MASTER'!$B$3:$Q$107,16,FALSE)</f>
        <v>Unauthorized Access to Systems or Data</v>
      </c>
      <c r="W151" s="235"/>
    </row>
    <row r="152" spans="1:23" ht="48" customHeight="1">
      <c r="A152" s="234"/>
      <c r="B152" s="425"/>
      <c r="C152" s="50">
        <v>16.399999999999999</v>
      </c>
      <c r="D152" s="430" t="str">
        <f>VLOOKUP(C152,'Technology MASTER'!$B$3:$Q$107,5,FALSE)</f>
        <v>Does the organization automatically disable dormant accounts after a set period of inactivity?</v>
      </c>
      <c r="E152" s="430"/>
      <c r="F152" s="430"/>
      <c r="G152" s="430"/>
      <c r="H152" s="430"/>
      <c r="I152" s="430"/>
      <c r="J152" s="430"/>
      <c r="K152" s="430"/>
      <c r="L152" s="431"/>
      <c r="M152" s="431"/>
      <c r="N152" s="482"/>
      <c r="O152" s="483"/>
      <c r="P152" s="483"/>
      <c r="Q152" s="484"/>
      <c r="R152" s="278" t="str">
        <f>VLOOKUP(C152,'Technology MASTER'!$B$3:$Q$107,3,FALSE)</f>
        <v>Account Monitoring and Control</v>
      </c>
      <c r="S152" s="278" t="str">
        <f>VLOOKUP(C152,'Technology MASTER'!$B$3:$Q$107,4,FALSE)</f>
        <v>Protect</v>
      </c>
      <c r="T152" s="278" t="e">
        <f>HLOOKUP($N$28,'Technology MASTER'!$G$2:$I$107,81,FALSE)</f>
        <v>#N/A</v>
      </c>
      <c r="U152" s="278" t="str">
        <f>VLOOKUP(C152,'Technology MASTER'!$B$3:$Q$107,13,FALSE)</f>
        <v>Unauthorized users access operating systems by physically or logically accessing valid inactive and/or unattended sessions.</v>
      </c>
      <c r="V152" s="278" t="str">
        <f>VLOOKUP(C152,'Technology MASTER'!$B$3:$Q$107,16,FALSE)</f>
        <v>Unauthorized Access to Systems or Data</v>
      </c>
      <c r="W152" s="235"/>
    </row>
    <row r="153" spans="1:23" ht="48" customHeight="1">
      <c r="A153" s="234"/>
      <c r="B153" s="425"/>
      <c r="C153" s="50">
        <v>16.5</v>
      </c>
      <c r="D153" s="430" t="str">
        <f>VLOOKUP(C153,'Technology MASTER'!$B$3:$Q$107,5,FALSE)</f>
        <v>Does the organization automatically lock workstation sessions after a standard period of inactivity?</v>
      </c>
      <c r="E153" s="430"/>
      <c r="F153" s="430"/>
      <c r="G153" s="430"/>
      <c r="H153" s="430"/>
      <c r="I153" s="430"/>
      <c r="J153" s="430"/>
      <c r="K153" s="430"/>
      <c r="L153" s="431"/>
      <c r="M153" s="431"/>
      <c r="N153" s="482"/>
      <c r="O153" s="483"/>
      <c r="P153" s="483"/>
      <c r="Q153" s="484"/>
      <c r="R153" s="278" t="str">
        <f>VLOOKUP(C153,'Technology MASTER'!$B$3:$Q$107,3,FALSE)</f>
        <v>Account Monitoring and Control</v>
      </c>
      <c r="S153" s="278" t="str">
        <f>VLOOKUP(C153,'Technology MASTER'!$B$3:$Q$107,4,FALSE)</f>
        <v>Protect</v>
      </c>
      <c r="T153" s="278" t="e">
        <f>HLOOKUP($N$28,'Technology MASTER'!$G$2:$I$107,82,FALSE)</f>
        <v>#N/A</v>
      </c>
      <c r="U153" s="278" t="str">
        <f>VLOOKUP(C153,'Technology MASTER'!$B$3:$Q$107,13,FALSE)</f>
        <v>Unauthorized users access operating systems by physically or logically accessing valid inactive and/or unattended sessions.</v>
      </c>
      <c r="V153" s="278" t="str">
        <f>VLOOKUP(C153,'Technology MASTER'!$B$3:$Q$107,16,FALSE)</f>
        <v>Unauthorized Access to Systems or Data</v>
      </c>
      <c r="W153" s="235"/>
    </row>
    <row r="154" spans="1:23" ht="48" customHeight="1">
      <c r="A154" s="234"/>
      <c r="B154" s="425"/>
      <c r="C154" s="50">
        <v>16.600000000000001</v>
      </c>
      <c r="D154" s="430" t="str">
        <f>VLOOKUP(C154,'Technology MASTER'!$B$3:$Q$107,5,FALSE)</f>
        <v>Does the organization have a process that is documented &amp; followed for revoking system access by disabling account immediately upon termination?</v>
      </c>
      <c r="E154" s="430"/>
      <c r="F154" s="430"/>
      <c r="G154" s="430"/>
      <c r="H154" s="430"/>
      <c r="I154" s="430"/>
      <c r="J154" s="430"/>
      <c r="K154" s="430"/>
      <c r="L154" s="431"/>
      <c r="M154" s="431"/>
      <c r="N154" s="482"/>
      <c r="O154" s="483"/>
      <c r="P154" s="483"/>
      <c r="Q154" s="484"/>
      <c r="R154" s="278" t="str">
        <f>VLOOKUP(C154,'Technology MASTER'!$B$3:$Q$107,3,FALSE)</f>
        <v>Account Monitoring and Control</v>
      </c>
      <c r="S154" s="278" t="str">
        <f>VLOOKUP(C154,'Technology MASTER'!$B$3:$Q$107,4,FALSE)</f>
        <v>Protect</v>
      </c>
      <c r="T154" s="278" t="e">
        <f>HLOOKUP($N$28,'Technology MASTER'!$G$2:$I$107,83,FALSE)</f>
        <v>#N/A</v>
      </c>
      <c r="U154" s="278" t="str">
        <f>VLOOKUP(C154,'Technology MASTER'!$B$3:$Q$107,13,FALSE)</f>
        <v>Security is breached by employees, contractors or third party users that leverage access given after termination or change of their employment, contract or agreement.</v>
      </c>
      <c r="V154" s="278" t="str">
        <f>VLOOKUP(C154,'Technology MASTER'!$B$3:$Q$107,16,FALSE)</f>
        <v>Unauthorized Access to Systems or Data</v>
      </c>
      <c r="W154" s="235"/>
    </row>
    <row r="155" spans="1:23" ht="48" customHeight="1">
      <c r="A155" s="234"/>
      <c r="B155" s="425"/>
      <c r="C155" s="50">
        <v>16.7</v>
      </c>
      <c r="D155" s="430" t="str">
        <f>VLOOKUP(C155,'Technology MASTER'!$B$3:$Q$107,5,FALSE)</f>
        <v>Do you periodically review all system accounts and disable any account that is not linked to a business process/owner?</v>
      </c>
      <c r="E155" s="430"/>
      <c r="F155" s="430"/>
      <c r="G155" s="430"/>
      <c r="H155" s="430"/>
      <c r="I155" s="430"/>
      <c r="J155" s="430"/>
      <c r="K155" s="430"/>
      <c r="L155" s="431"/>
      <c r="M155" s="431"/>
      <c r="N155" s="482"/>
      <c r="O155" s="483"/>
      <c r="P155" s="483"/>
      <c r="Q155" s="484"/>
      <c r="R155" s="278" t="str">
        <f>VLOOKUP(C155,'Technology MASTER'!$B$3:$Q$107,3,FALSE)</f>
        <v>Account Monitoring and Control</v>
      </c>
      <c r="S155" s="278" t="str">
        <f>VLOOKUP(C155,'Technology MASTER'!$B$3:$Q$107,4,FALSE)</f>
        <v>Protect</v>
      </c>
      <c r="T155" s="278" t="e">
        <f>HLOOKUP($N$28,'Technology MASTER'!$G$2:$I$107,84,FALSE)</f>
        <v>#N/A</v>
      </c>
      <c r="U155" s="278" t="str">
        <f>VLOOKUP(C155,'Technology MASTER'!$B$3:$Q$107,13,FALSE)</f>
        <v>Independent reviews of information security are not regularly performed to ensure the continuing suitability, adequacy, and effectiveness of the organization's information security program.</v>
      </c>
      <c r="V155" s="278" t="str">
        <f>VLOOKUP(C155,'Technology MASTER'!$B$3:$Q$107,16,FALSE)</f>
        <v>Unauthorized Access to Systems or Data</v>
      </c>
      <c r="W155" s="235"/>
    </row>
    <row r="156" spans="1:23" ht="48" customHeight="1">
      <c r="A156" s="234"/>
      <c r="B156" s="425"/>
      <c r="C156" s="50">
        <v>16.8</v>
      </c>
      <c r="D156" s="430" t="str">
        <f>VLOOKUP(C156,'Technology MASTER'!$B$3:$Q$107,5,FALSE)</f>
        <v>Does the organization monitor attempts to access deactivated accounts through audit logging?</v>
      </c>
      <c r="E156" s="430"/>
      <c r="F156" s="430"/>
      <c r="G156" s="430"/>
      <c r="H156" s="430"/>
      <c r="I156" s="430"/>
      <c r="J156" s="430"/>
      <c r="K156" s="430"/>
      <c r="L156" s="431"/>
      <c r="M156" s="431"/>
      <c r="N156" s="482"/>
      <c r="O156" s="483"/>
      <c r="P156" s="483"/>
      <c r="Q156" s="484"/>
      <c r="R156" s="278" t="str">
        <f>VLOOKUP(C156,'Technology MASTER'!$B$3:$Q$107,3,FALSE)</f>
        <v>Account Monitoring and Control</v>
      </c>
      <c r="S156" s="278" t="str">
        <f>VLOOKUP(C156,'Technology MASTER'!$B$3:$Q$107,4,FALSE)</f>
        <v>Detect</v>
      </c>
      <c r="T156" s="278" t="e">
        <f>HLOOKUP($N$28,'Technology MASTER'!$G$2:$I$107,85,FALSE)</f>
        <v>#N/A</v>
      </c>
      <c r="U156" s="278" t="str">
        <f>VLOOKUP(C156,'Technology MASTER'!$B$3:$Q$107,13,FALSE)</f>
        <v>Independent reviews of information security are not regularly performed to ensure the continuing suitability, adequacy, and effectiveness of the organization's information security program.</v>
      </c>
      <c r="V156" s="278" t="str">
        <f>VLOOKUP(C156,'Technology MASTER'!$B$3:$Q$107,16,FALSE)</f>
        <v>Unauthorized Access to Systems or Data</v>
      </c>
      <c r="W156" s="235"/>
    </row>
    <row r="157" spans="1:23" ht="48" customHeight="1">
      <c r="A157" s="234"/>
      <c r="B157" s="425"/>
      <c r="C157" s="50">
        <v>16.899999999999999</v>
      </c>
      <c r="D157" s="430" t="str">
        <f>VLOOKUP(C157,'Technology MASTER'!$B$3:$Q$107,5,FALSE)</f>
        <v>Does the organization alert when users deviate from normal login behavior, such as time-of-day, workstation location and duration?</v>
      </c>
      <c r="E157" s="430"/>
      <c r="F157" s="430"/>
      <c r="G157" s="430"/>
      <c r="H157" s="430"/>
      <c r="I157" s="430"/>
      <c r="J157" s="430"/>
      <c r="K157" s="430"/>
      <c r="L157" s="431"/>
      <c r="M157" s="431"/>
      <c r="N157" s="482"/>
      <c r="O157" s="483"/>
      <c r="P157" s="483"/>
      <c r="Q157" s="484"/>
      <c r="R157" s="278" t="str">
        <f>VLOOKUP(C157,'Technology MASTER'!$B$3:$Q$107,3,FALSE)</f>
        <v>Account Monitoring and Control</v>
      </c>
      <c r="S157" s="278" t="str">
        <f>VLOOKUP(C157,'Technology MASTER'!$B$3:$Q$107,4,FALSE)</f>
        <v>Detect</v>
      </c>
      <c r="T157" s="278" t="e">
        <f>HLOOKUP($N$28,'Technology MASTER'!$G$2:$I$107,86,FALSE)</f>
        <v>#N/A</v>
      </c>
      <c r="U157" s="278" t="str">
        <f>VLOOKUP(C157,'Technology MASTER'!$B$3:$Q$107,13,FALSE)</f>
        <v>The lack of logging mechanisms to record and store user activities, exceptions, and information security events may result in unauthorized access or activity going undetected.</v>
      </c>
      <c r="V157" s="278" t="str">
        <f>VLOOKUP(C157,'Technology MASTER'!$B$3:$Q$107,16,FALSE)</f>
        <v>Unauthorized Access to Systems or Data</v>
      </c>
      <c r="W157" s="235"/>
    </row>
    <row r="158" spans="1:23" ht="48" customHeight="1">
      <c r="A158" s="234"/>
      <c r="B158" s="426"/>
      <c r="C158" s="377" t="s">
        <v>167</v>
      </c>
      <c r="D158" s="430" t="str">
        <f>VLOOKUP(C158,'Technology MASTER'!$B$3:$Q$107,5,FALSE)</f>
        <v>Do you ensure that all account usernames and authentication credentials are transmitted across networks using encrypted channels?</v>
      </c>
      <c r="E158" s="430"/>
      <c r="F158" s="430"/>
      <c r="G158" s="430"/>
      <c r="H158" s="430"/>
      <c r="I158" s="430"/>
      <c r="J158" s="430"/>
      <c r="K158" s="430"/>
      <c r="L158" s="431"/>
      <c r="M158" s="431"/>
      <c r="N158" s="482"/>
      <c r="O158" s="483"/>
      <c r="P158" s="483"/>
      <c r="Q158" s="484"/>
      <c r="R158" s="278" t="str">
        <f>VLOOKUP(C158,'Technology MASTER'!$B$3:$Q$107,3,FALSE)</f>
        <v>Account Monitoring and Control</v>
      </c>
      <c r="S158" s="278" t="str">
        <f>VLOOKUP(C158,'Technology MASTER'!$B$3:$Q$107,4,FALSE)</f>
        <v>Protect</v>
      </c>
      <c r="T158" s="278" t="e">
        <f>HLOOKUP($N$28,'Technology MASTER'!$G$2:$I$107,87,FALSE)</f>
        <v>#N/A</v>
      </c>
      <c r="U158" s="278" t="str">
        <f>VLOOKUP(C158,'Technology MASTER'!$B$3:$Q$107,13,FALSE)</f>
        <v>Unauthorized users gain access through user accounts based on a password that was disclosed during communication to the authorized users.</v>
      </c>
      <c r="V158" s="278" t="str">
        <f>VLOOKUP(C158,'Technology MASTER'!$B$3:$Q$107,16,FALSE)</f>
        <v>Unauthorized Access to Systems or Data</v>
      </c>
      <c r="W158" s="235"/>
    </row>
    <row r="159" spans="1:23" ht="16">
      <c r="A159" s="234"/>
      <c r="B159" s="429"/>
      <c r="C159" s="429"/>
      <c r="D159" s="429"/>
      <c r="E159" s="429"/>
      <c r="F159" s="429"/>
      <c r="G159" s="429"/>
      <c r="H159" s="429"/>
      <c r="I159" s="429"/>
      <c r="J159" s="429"/>
      <c r="K159" s="429"/>
      <c r="L159" s="429"/>
      <c r="M159" s="429"/>
      <c r="N159" s="429"/>
      <c r="O159" s="429"/>
      <c r="P159" s="429"/>
      <c r="Q159" s="429"/>
      <c r="R159" s="219"/>
      <c r="S159" s="219"/>
      <c r="T159" s="219"/>
      <c r="U159" s="219"/>
      <c r="V159" s="219"/>
      <c r="W159" s="235"/>
    </row>
    <row r="160" spans="1:23" ht="48" customHeight="1">
      <c r="A160" s="234"/>
      <c r="B160" s="424" t="s">
        <v>37</v>
      </c>
      <c r="C160" s="50">
        <v>17.100000000000001</v>
      </c>
      <c r="D160" s="430" t="str">
        <f>VLOOKUP(C160,'Technology MASTER'!$B$3:$Q$107,5,FALSE)</f>
        <v>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v>
      </c>
      <c r="E160" s="430"/>
      <c r="F160" s="430"/>
      <c r="G160" s="430"/>
      <c r="H160" s="430"/>
      <c r="I160" s="430"/>
      <c r="J160" s="430"/>
      <c r="K160" s="430"/>
      <c r="L160" s="431"/>
      <c r="M160" s="431"/>
      <c r="N160" s="482"/>
      <c r="O160" s="483"/>
      <c r="P160" s="483"/>
      <c r="Q160" s="484"/>
      <c r="R160" s="278" t="str">
        <f>VLOOKUP(C160,'Technology MASTER'!$B$3:$Q$107,3,FALSE)</f>
        <v>Implement a Security Awareness and Training Program</v>
      </c>
      <c r="S160" s="278" t="str">
        <f>VLOOKUP(C160,'Technology MASTER'!$B$3:$Q$107,4,FALSE)</f>
        <v>N/A</v>
      </c>
      <c r="T160" s="278" t="e">
        <f>HLOOKUP($N$28,'Technology MASTER'!$G$2:$I$107,88,FALSE)</f>
        <v>#N/A</v>
      </c>
      <c r="U160" s="278" t="str">
        <f>VLOOKUP(C160,'Technology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0" s="278" t="str">
        <f>VLOOKUP(C160,'Technology MASTER'!$B$3:$Q$107,16,FALSE)</f>
        <v>Human Error</v>
      </c>
      <c r="W160" s="235"/>
    </row>
    <row r="161" spans="1:23" ht="48" customHeight="1">
      <c r="A161" s="234"/>
      <c r="B161" s="425"/>
      <c r="C161" s="50">
        <v>17.2</v>
      </c>
      <c r="D161" s="430" t="str">
        <f>VLOOKUP(C161,'Technology MASTER'!$B$3:$Q$107,5,FALSE)</f>
        <v>Has the organization trained workforce members on the importance of enabling and utilizing secure authentication?</v>
      </c>
      <c r="E161" s="430"/>
      <c r="F161" s="430"/>
      <c r="G161" s="430"/>
      <c r="H161" s="430"/>
      <c r="I161" s="430"/>
      <c r="J161" s="430"/>
      <c r="K161" s="430"/>
      <c r="L161" s="431"/>
      <c r="M161" s="431"/>
      <c r="N161" s="482"/>
      <c r="O161" s="483"/>
      <c r="P161" s="483"/>
      <c r="Q161" s="484"/>
      <c r="R161" s="278" t="str">
        <f>VLOOKUP(C161,'Technology MASTER'!$B$3:$Q$107,3,FALSE)</f>
        <v>Implement a Security Awareness and Training Program</v>
      </c>
      <c r="S161" s="278" t="str">
        <f>VLOOKUP(C161,'Technology MASTER'!$B$3:$Q$107,4,FALSE)</f>
        <v>N/A</v>
      </c>
      <c r="T161" s="278" t="e">
        <f>HLOOKUP($N$28,'Technology MASTER'!$G$2:$I$107,89,FALSE)</f>
        <v>#N/A</v>
      </c>
      <c r="U161" s="278" t="str">
        <f>VLOOKUP(C161,'Technology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1" s="278" t="str">
        <f>VLOOKUP(C161,'Technology MASTER'!$B$3:$Q$107,16,FALSE)</f>
        <v>Human Error</v>
      </c>
      <c r="W161" s="235"/>
    </row>
    <row r="162" spans="1:23" ht="48" customHeight="1">
      <c r="A162" s="234"/>
      <c r="B162" s="425"/>
      <c r="C162" s="50">
        <v>17.3</v>
      </c>
      <c r="D162" s="430" t="str">
        <f>VLOOKUP(C162,'Technology MASTER'!$B$3:$Q$107,5,FALSE)</f>
        <v>Has the organization trained the workforce on how to identify different forms of social engineering attacks, such as phishing, phone scams and impersonation calls?</v>
      </c>
      <c r="E162" s="430"/>
      <c r="F162" s="430"/>
      <c r="G162" s="430"/>
      <c r="H162" s="430"/>
      <c r="I162" s="430"/>
      <c r="J162" s="430"/>
      <c r="K162" s="430"/>
      <c r="L162" s="431"/>
      <c r="M162" s="431"/>
      <c r="N162" s="482"/>
      <c r="O162" s="483"/>
      <c r="P162" s="483"/>
      <c r="Q162" s="484"/>
      <c r="R162" s="278" t="str">
        <f>VLOOKUP(C162,'Technology MASTER'!$B$3:$Q$107,3,FALSE)</f>
        <v>Implement a Security Awareness and Training Program</v>
      </c>
      <c r="S162" s="278" t="str">
        <f>VLOOKUP(C162,'Technology MASTER'!$B$3:$Q$107,4,FALSE)</f>
        <v>N/A</v>
      </c>
      <c r="T162" s="278" t="e">
        <f>HLOOKUP($N$28,'Technology MASTER'!$G$2:$I$107,90,FALSE)</f>
        <v>#N/A</v>
      </c>
      <c r="U162" s="278" t="str">
        <f>VLOOKUP(C162,'Technology MASTER'!$B$3:$Q$107,13,FALSE)</f>
        <v>Social engineering tests show that personnel are still susceptible to being fooled into acting on content presented in phishing emails.</v>
      </c>
      <c r="V162" s="278" t="str">
        <f>VLOOKUP(C162,'Technology MASTER'!$B$3:$Q$107,16,FALSE)</f>
        <v>Human Error</v>
      </c>
      <c r="W162" s="235"/>
    </row>
    <row r="163" spans="1:23" ht="48" customHeight="1">
      <c r="A163" s="234"/>
      <c r="B163" s="425"/>
      <c r="C163" s="50">
        <v>17.399999999999999</v>
      </c>
      <c r="D163" s="430" t="str">
        <f>VLOOKUP(C163,'Technology MASTER'!$B$3:$Q$107,5,FALSE)</f>
        <v>Has the organization trained workforce on how to identify and properly store, transfer, archive and destroy sensitive information?</v>
      </c>
      <c r="E163" s="430"/>
      <c r="F163" s="430"/>
      <c r="G163" s="430"/>
      <c r="H163" s="430"/>
      <c r="I163" s="430"/>
      <c r="J163" s="430"/>
      <c r="K163" s="430"/>
      <c r="L163" s="431"/>
      <c r="M163" s="431"/>
      <c r="N163" s="482"/>
      <c r="O163" s="483"/>
      <c r="P163" s="483"/>
      <c r="Q163" s="484"/>
      <c r="R163" s="278" t="str">
        <f>VLOOKUP(C163,'Technology MASTER'!$B$3:$Q$107,3,FALSE)</f>
        <v>Implement a Security Awareness and Training Program</v>
      </c>
      <c r="S163" s="278" t="str">
        <f>VLOOKUP(C163,'Technology MASTER'!$B$3:$Q$107,4,FALSE)</f>
        <v>N/A</v>
      </c>
      <c r="T163" s="278" t="e">
        <f>HLOOKUP($N$28,'Technology MASTER'!$G$2:$I$107,91,FALSE)</f>
        <v>#N/A</v>
      </c>
      <c r="U163" s="278" t="str">
        <f>VLOOKUP(C163,'Technology MASTER'!$B$3:$Q$107,13,FALSE)</f>
        <v>Information is disclosed due to mislabeled, unlabeled or mishandled physical or electronic media.</v>
      </c>
      <c r="V163" s="278" t="str">
        <f>VLOOKUP(C163,'Technology MASTER'!$B$3:$Q$107,16,FALSE)</f>
        <v>Human Error</v>
      </c>
      <c r="W163" s="235"/>
    </row>
    <row r="164" spans="1:23" ht="48" customHeight="1">
      <c r="A164" s="234"/>
      <c r="B164" s="425"/>
      <c r="C164" s="50">
        <v>17.5</v>
      </c>
      <c r="D164" s="430" t="str">
        <f>VLOOKUP(C164,'Technology MASTER'!$B$3:$Q$107,5,FALSE)</f>
        <v>Has the organization trained workforce members to be aware of causes for unintentional data exposures, such as losing their mobile devices or emailing the wrong person due to autocomplete in email?</v>
      </c>
      <c r="E164" s="430"/>
      <c r="F164" s="430"/>
      <c r="G164" s="430"/>
      <c r="H164" s="430"/>
      <c r="I164" s="430"/>
      <c r="J164" s="430"/>
      <c r="K164" s="430"/>
      <c r="L164" s="431"/>
      <c r="M164" s="431"/>
      <c r="N164" s="482"/>
      <c r="O164" s="483"/>
      <c r="P164" s="483"/>
      <c r="Q164" s="484"/>
      <c r="R164" s="278" t="str">
        <f>VLOOKUP(C164,'Technology MASTER'!$B$3:$Q$107,3,FALSE)</f>
        <v>Implement a Security Awareness and Training Program</v>
      </c>
      <c r="S164" s="278" t="str">
        <f>VLOOKUP(C164,'Technology MASTER'!$B$3:$Q$107,4,FALSE)</f>
        <v>N/A</v>
      </c>
      <c r="T164" s="278" t="e">
        <f>HLOOKUP($N$28,'Technology MASTER'!$G$2:$I$107,92,FALSE)</f>
        <v>#N/A</v>
      </c>
      <c r="U164" s="278" t="str">
        <f>VLOOKUP(C164,'Technology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4" s="278" t="str">
        <f>VLOOKUP(C164,'Technology MASTER'!$B$3:$Q$107,16,FALSE)</f>
        <v>Human Error</v>
      </c>
      <c r="W164" s="235"/>
    </row>
    <row r="165" spans="1:23" ht="48" customHeight="1">
      <c r="A165" s="234"/>
      <c r="B165" s="426"/>
      <c r="C165" s="50">
        <v>17.600000000000001</v>
      </c>
      <c r="D165" s="430" t="str">
        <f>VLOOKUP(C165,'Technology MASTER'!$B$3:$Q$107,5,FALSE)</f>
        <v>Has the organization trained employees to be able to identify the most common indicators of an incident and be able to report such an incident?</v>
      </c>
      <c r="E165" s="430"/>
      <c r="F165" s="430"/>
      <c r="G165" s="430"/>
      <c r="H165" s="430"/>
      <c r="I165" s="430"/>
      <c r="J165" s="430"/>
      <c r="K165" s="430"/>
      <c r="L165" s="431"/>
      <c r="M165" s="431"/>
      <c r="N165" s="482"/>
      <c r="O165" s="483"/>
      <c r="P165" s="483"/>
      <c r="Q165" s="484"/>
      <c r="R165" s="278" t="str">
        <f>VLOOKUP(C165,'Technology MASTER'!$B$3:$Q$107,3,FALSE)</f>
        <v>Implement a Security Awareness and Training Program</v>
      </c>
      <c r="S165" s="278" t="str">
        <f>VLOOKUP(C165,'Technology MASTER'!$B$3:$Q$107,4,FALSE)</f>
        <v>N/A</v>
      </c>
      <c r="T165" s="278" t="e">
        <f>HLOOKUP($N$28,'Technology MASTER'!$G$2:$I$107,93,FALSE)</f>
        <v>#N/A</v>
      </c>
      <c r="U165" s="278" t="str">
        <f>VLOOKUP(C165,'Technology MASTER'!$B$3:$Q$107,13,FALSE)</f>
        <v>Employees, contractors or third party users breach security because they are not aware or trained on information security requirements.</v>
      </c>
      <c r="V165" s="278" t="str">
        <f>VLOOKUP(C165,'Technology MASTER'!$B$3:$Q$107,16,FALSE)</f>
        <v>Human Error</v>
      </c>
      <c r="W165" s="235"/>
    </row>
    <row r="166" spans="1:23" ht="16">
      <c r="A166" s="234"/>
      <c r="B166" s="429"/>
      <c r="C166" s="429"/>
      <c r="D166" s="429"/>
      <c r="E166" s="429"/>
      <c r="F166" s="429"/>
      <c r="G166" s="429"/>
      <c r="H166" s="429"/>
      <c r="I166" s="429"/>
      <c r="J166" s="429"/>
      <c r="K166" s="429"/>
      <c r="L166" s="429"/>
      <c r="M166" s="429"/>
      <c r="N166" s="429"/>
      <c r="O166" s="429"/>
      <c r="P166" s="429"/>
      <c r="Q166" s="429"/>
      <c r="R166" s="216"/>
      <c r="S166" s="216"/>
      <c r="T166" s="216"/>
      <c r="U166" s="216"/>
      <c r="V166" s="216"/>
      <c r="W166" s="235"/>
    </row>
    <row r="167" spans="1:23" ht="48" customHeight="1">
      <c r="A167" s="234"/>
      <c r="B167" s="424" t="s">
        <v>38</v>
      </c>
      <c r="C167" s="50">
        <v>18.100000000000001</v>
      </c>
      <c r="D167" s="430" t="str">
        <f>VLOOKUP(C167,'Technology MASTER'!$B$3:$Q$107,5,FALSE)</f>
        <v>Has the organization maintained separate environments for production and nonproduction systems?</v>
      </c>
      <c r="E167" s="430"/>
      <c r="F167" s="430"/>
      <c r="G167" s="430"/>
      <c r="H167" s="430"/>
      <c r="I167" s="430"/>
      <c r="J167" s="430"/>
      <c r="K167" s="430"/>
      <c r="L167" s="431"/>
      <c r="M167" s="431"/>
      <c r="N167" s="438"/>
      <c r="O167" s="438"/>
      <c r="P167" s="438"/>
      <c r="Q167" s="438"/>
      <c r="R167" s="278" t="str">
        <f>VLOOKUP(C167,'Technology MASTER'!$B$3:$Q$107,3,FALSE)</f>
        <v>Application Software Security</v>
      </c>
      <c r="S167" s="278" t="str">
        <f>VLOOKUP(C167,'Technology MASTER'!$B$3:$Q$107,4,FALSE)</f>
        <v>N/A</v>
      </c>
      <c r="T167" s="278" t="e">
        <f>HLOOKUP($N$28,'Technology MASTER'!$G$2:$I$107,94,FALSE)</f>
        <v>#N/A</v>
      </c>
      <c r="U167" s="278" t="str">
        <f>VLOOKUP(C167,'Technology MASTER'!$B$3:$Q$107,13,FALSE)</f>
        <v>Changes to the production environment that are inadequately tested disrupt production environment. Management does not approve changes to the operating environment prior to implementation into production.</v>
      </c>
      <c r="V167" s="278" t="str">
        <f>VLOOKUP(C167,'Technology MASTER'!$B$3:$Q$107,16,FALSE)</f>
        <v>Human Error</v>
      </c>
      <c r="W167" s="235"/>
    </row>
    <row r="168" spans="1:23" ht="48" customHeight="1">
      <c r="A168" s="234"/>
      <c r="B168" s="425"/>
      <c r="C168" s="50">
        <v>18.2</v>
      </c>
      <c r="D168" s="430" t="str">
        <f>VLOOKUP(C168,'Technology MASTER'!$B$3:$Q$107,5,FALSE)</f>
        <v>Has the organization only used up-to-date and trusted third-party components for the software developed by the organization?</v>
      </c>
      <c r="E168" s="430"/>
      <c r="F168" s="430"/>
      <c r="G168" s="430"/>
      <c r="H168" s="430"/>
      <c r="I168" s="430"/>
      <c r="J168" s="430"/>
      <c r="K168" s="430"/>
      <c r="L168" s="431"/>
      <c r="M168" s="431"/>
      <c r="N168" s="438"/>
      <c r="O168" s="438"/>
      <c r="P168" s="438"/>
      <c r="Q168" s="438"/>
      <c r="R168" s="278" t="str">
        <f>VLOOKUP(C168,'Technology MASTER'!$B$3:$Q$107,3,FALSE)</f>
        <v>Application Software Security</v>
      </c>
      <c r="S168" s="278" t="str">
        <f>VLOOKUP(C168,'Technology MASTER'!$B$3:$Q$107,4,FALSE)</f>
        <v>N/A</v>
      </c>
      <c r="T168" s="278" t="e">
        <f>HLOOKUP($N$28,'Technology MASTER'!$G$2:$I$107,95,FALSE)</f>
        <v>#N/A</v>
      </c>
      <c r="U168" s="278" t="str">
        <f>VLOOKUP(C168,'Technology MASTER'!$B$3:$Q$107,13,FALSE)</f>
        <v>Networks and supporting infrastructure are exposed to unauthorized parties due to lack of defined network security and administration policies, procedures and standards.</v>
      </c>
      <c r="V168" s="278" t="str">
        <f>VLOOKUP(C168,'Technology MASTER'!$B$3:$Q$107,16,FALSE)</f>
        <v>Cyber Attack</v>
      </c>
      <c r="W168" s="235"/>
    </row>
    <row r="169" spans="1:23" ht="48" customHeight="1">
      <c r="A169" s="234"/>
      <c r="B169" s="425"/>
      <c r="C169" s="50">
        <v>18.3</v>
      </c>
      <c r="D169" s="430" t="str">
        <f>VLOOKUP(C169,'Technology MASTER'!$B$3:$Q$107,5,FALSE)</f>
        <v>Do all software development personnel receive training in writing secure code for their specific development environment and responsibilities?</v>
      </c>
      <c r="E169" s="430"/>
      <c r="F169" s="430"/>
      <c r="G169" s="430"/>
      <c r="H169" s="430"/>
      <c r="I169" s="430"/>
      <c r="J169" s="430"/>
      <c r="K169" s="430"/>
      <c r="L169" s="431"/>
      <c r="M169" s="431"/>
      <c r="N169" s="438"/>
      <c r="O169" s="438"/>
      <c r="P169" s="438"/>
      <c r="Q169" s="438"/>
      <c r="R169" s="278" t="str">
        <f>VLOOKUP(C169,'Technology MASTER'!$B$3:$Q$107,3,FALSE)</f>
        <v>Application Software Security</v>
      </c>
      <c r="S169" s="278" t="str">
        <f>VLOOKUP(C169,'Technology MASTER'!$B$3:$Q$107,4,FALSE)</f>
        <v>N/A</v>
      </c>
      <c r="T169" s="278" t="e">
        <f>HLOOKUP($N$28,'Technology MASTER'!$G$2:$I$107,96,FALSE)</f>
        <v>#N/A</v>
      </c>
      <c r="U169" s="278" t="str">
        <f>VLOOKUP(C169,'Technology MASTER'!$B$3:$Q$107,13,FALSE)</f>
        <v>Applications and technology solutions are not effectively and efficiently used since a training curriculum for employees has not been established or regularly updated.</v>
      </c>
      <c r="V169" s="278" t="str">
        <f>VLOOKUP(C169,'Technology MASTER'!$B$3:$Q$107,16,FALSE)</f>
        <v>Human Error</v>
      </c>
      <c r="W169" s="235"/>
    </row>
    <row r="170" spans="1:23" ht="48" customHeight="1">
      <c r="A170" s="234"/>
      <c r="B170" s="425"/>
      <c r="C170" s="50">
        <v>18.399999999999999</v>
      </c>
      <c r="D170" s="430" t="str">
        <f>VLOOKUP(C170,'Technology MASTER'!$B$3:$Q$107,5,FALSE)</f>
        <v>Does your organization protect its web applications by deploying Web Application Firewalls (WAFs) that inspect all traffic flowing to the application for common web appliation attacks?</v>
      </c>
      <c r="E170" s="430"/>
      <c r="F170" s="430"/>
      <c r="G170" s="430"/>
      <c r="H170" s="430"/>
      <c r="I170" s="430"/>
      <c r="J170" s="430"/>
      <c r="K170" s="430"/>
      <c r="L170" s="431"/>
      <c r="M170" s="431"/>
      <c r="N170" s="438"/>
      <c r="O170" s="438"/>
      <c r="P170" s="438"/>
      <c r="Q170" s="438"/>
      <c r="R170" s="278" t="str">
        <f>VLOOKUP(C170,'Technology MASTER'!$B$3:$Q$107,3,FALSE)</f>
        <v>Application Software Security</v>
      </c>
      <c r="S170" s="278" t="str">
        <f>VLOOKUP(C170,'Technology MASTER'!$B$3:$Q$107,4,FALSE)</f>
        <v>N/A</v>
      </c>
      <c r="T170" s="278" t="e">
        <f>HLOOKUP($N$28,'Technology MASTER'!$G$2:$I$107,97,FALSE)</f>
        <v>#N/A</v>
      </c>
      <c r="U170" s="278" t="str">
        <f>VLOOKUP(C170,'Technology MASTER'!$B$3:$Q$107,13,FALSE)</f>
        <v>Programming errors or misconfiguration leads to vulnerabilities that can be exploited.</v>
      </c>
      <c r="V170" s="278" t="str">
        <f>VLOOKUP(C170,'Technology MASTER'!$B$3:$Q$107,16,FALSE)</f>
        <v>Cyber Attack</v>
      </c>
      <c r="W170" s="235"/>
    </row>
    <row r="171" spans="1:23" ht="48" customHeight="1">
      <c r="A171" s="234"/>
      <c r="B171" s="425"/>
      <c r="C171" s="50">
        <v>18.5</v>
      </c>
      <c r="D171" s="430" t="str">
        <f>VLOOKUP(C171,'Technology MASTER'!$B$3:$Q$107,5,FALSE)</f>
        <v>Has the organization applied static and dynamic analysis tools to verify that secure coding practices are being adhered to for internally developed software??</v>
      </c>
      <c r="E171" s="430"/>
      <c r="F171" s="430"/>
      <c r="G171" s="430"/>
      <c r="H171" s="430"/>
      <c r="I171" s="430"/>
      <c r="J171" s="430"/>
      <c r="K171" s="430"/>
      <c r="L171" s="431"/>
      <c r="M171" s="431"/>
      <c r="N171" s="438"/>
      <c r="O171" s="438"/>
      <c r="P171" s="438"/>
      <c r="Q171" s="438"/>
      <c r="R171" s="278" t="str">
        <f>VLOOKUP(C171,'Technology MASTER'!$B$3:$Q$107,3,FALSE)</f>
        <v>Application Software Security</v>
      </c>
      <c r="S171" s="278" t="str">
        <f>VLOOKUP(C171,'Technology MASTER'!$B$3:$Q$107,4,FALSE)</f>
        <v>N/A</v>
      </c>
      <c r="T171" s="278" t="e">
        <f>HLOOKUP($N$28,'Technology MASTER'!$G$2:$I$107,98,FALSE)</f>
        <v>#N/A</v>
      </c>
      <c r="U171" s="278" t="str">
        <f>VLOOKUP(C171,'Technology MASTER'!$B$3:$Q$107,13,FALSE)</f>
        <v>Security vulnerabilities may not be identified timely.</v>
      </c>
      <c r="V171" s="278" t="str">
        <f>VLOOKUP(C171,'Technology MASTER'!$B$3:$Q$107,16,FALSE)</f>
        <v>Human Error</v>
      </c>
      <c r="W171" s="235"/>
    </row>
    <row r="172" spans="1:23" ht="48" customHeight="1">
      <c r="A172" s="234"/>
      <c r="B172" s="426"/>
      <c r="C172" s="50">
        <v>18.600000000000001</v>
      </c>
      <c r="D172" s="430" t="str">
        <f>VLOOKUP(C172,'Technology MASTER'!$B$3:$Q$107,5,FALSE)</f>
        <v>Has the organization established a process to accept and address reports of software vulnerabilities, including providing a means for external entities to contact your security group?</v>
      </c>
      <c r="E172" s="430"/>
      <c r="F172" s="430"/>
      <c r="G172" s="430"/>
      <c r="H172" s="430"/>
      <c r="I172" s="430"/>
      <c r="J172" s="430"/>
      <c r="K172" s="430"/>
      <c r="L172" s="431"/>
      <c r="M172" s="431"/>
      <c r="N172" s="438"/>
      <c r="O172" s="438"/>
      <c r="P172" s="438"/>
      <c r="Q172" s="438"/>
      <c r="R172" s="278" t="str">
        <f>VLOOKUP(C172,'Technology MASTER'!$B$3:$Q$107,3,FALSE)</f>
        <v>Application Software Security</v>
      </c>
      <c r="S172" s="278" t="str">
        <f>VLOOKUP(C172,'Technology MASTER'!$B$3:$Q$107,4,FALSE)</f>
        <v>N/A</v>
      </c>
      <c r="T172" s="278" t="e">
        <f>HLOOKUP($N$28,'Technology MASTER'!$G$2:$I$107,99,FALSE)</f>
        <v>#N/A</v>
      </c>
      <c r="U172" s="278" t="str">
        <f>VLOOKUP(C172,'Technology MASTER'!$B$3:$Q$107,13,FALSE)</f>
        <v>Security vulnerabilities may not be identified timely.</v>
      </c>
      <c r="V172" s="278" t="str">
        <f>VLOOKUP(C172,'Technology MASTER'!$B$3:$Q$107,16,FALSE)</f>
        <v>Human Error</v>
      </c>
      <c r="W172" s="235"/>
    </row>
    <row r="173" spans="1:23" ht="16">
      <c r="A173" s="234"/>
      <c r="B173" s="429"/>
      <c r="C173" s="429"/>
      <c r="D173" s="429"/>
      <c r="E173" s="429"/>
      <c r="F173" s="429"/>
      <c r="G173" s="429"/>
      <c r="H173" s="429"/>
      <c r="I173" s="429"/>
      <c r="J173" s="429"/>
      <c r="K173" s="429"/>
      <c r="L173" s="429"/>
      <c r="M173" s="429"/>
      <c r="N173" s="429"/>
      <c r="O173" s="429"/>
      <c r="P173" s="429"/>
      <c r="Q173" s="429"/>
      <c r="R173" s="219"/>
      <c r="S173" s="219"/>
      <c r="T173" s="219"/>
      <c r="U173" s="219"/>
      <c r="V173" s="219"/>
      <c r="W173" s="235"/>
    </row>
    <row r="174" spans="1:23" ht="48" customHeight="1">
      <c r="A174" s="234"/>
      <c r="B174" s="424" t="s">
        <v>39</v>
      </c>
      <c r="C174" s="50">
        <v>19.100000000000001</v>
      </c>
      <c r="D174" s="430" t="str">
        <f>VLOOKUP(C174,'Technology MASTER'!$B$3:$Q$107,5,FALSE)</f>
        <v>Has the organization ensured that there are written incident response plans that defines roles of personnel as well as phases of incident handling/management?</v>
      </c>
      <c r="E174" s="430"/>
      <c r="F174" s="430"/>
      <c r="G174" s="430"/>
      <c r="H174" s="430"/>
      <c r="I174" s="430"/>
      <c r="J174" s="430"/>
      <c r="K174" s="430"/>
      <c r="L174" s="431"/>
      <c r="M174" s="431"/>
      <c r="N174" s="438"/>
      <c r="O174" s="438"/>
      <c r="P174" s="438"/>
      <c r="Q174" s="438"/>
      <c r="R174" s="278" t="str">
        <f>VLOOKUP(C174,'Technology MASTER'!$B$3:$Q$107,3,FALSE)</f>
        <v>Incident Response and Management</v>
      </c>
      <c r="S174" s="278" t="str">
        <f>VLOOKUP(C174,'Technology MASTER'!$B$3:$Q$107,4,FALSE)</f>
        <v>N/A</v>
      </c>
      <c r="T174" s="278" t="e">
        <f>HLOOKUP($N$28,'Technology MASTER'!$G$2:$I$107,100,FALSE)</f>
        <v>#N/A</v>
      </c>
      <c r="U174" s="278" t="str">
        <f>VLOOKUP(C174,'Technology MASTER'!$B$3:$Q$107,13,FALSE)</f>
        <v>Lack of a Security Incident Response Program may result in improper identification and handling of security events.</v>
      </c>
      <c r="V174" s="278" t="str">
        <f>VLOOKUP(C174,'Technology MASTER'!$B$3:$Q$107,16,FALSE)</f>
        <v>Environmental Disaster</v>
      </c>
      <c r="W174" s="235"/>
    </row>
    <row r="175" spans="1:23" ht="48" customHeight="1">
      <c r="A175" s="234"/>
      <c r="B175" s="425"/>
      <c r="C175" s="50">
        <v>19.2</v>
      </c>
      <c r="D175" s="430" t="str">
        <f>VLOOKUP(C175,'Technology MASTER'!$B$3:$Q$107,5,FALSE)</f>
        <v>Has the organization assigned job titles and duties for handling computer and network incidents to specific individuals and ensure tracking and documentation throughout the incident through resolution?</v>
      </c>
      <c r="E175" s="430"/>
      <c r="F175" s="430"/>
      <c r="G175" s="430"/>
      <c r="H175" s="430"/>
      <c r="I175" s="430"/>
      <c r="J175" s="430"/>
      <c r="K175" s="430"/>
      <c r="L175" s="431"/>
      <c r="M175" s="431"/>
      <c r="N175" s="438"/>
      <c r="O175" s="438"/>
      <c r="P175" s="438"/>
      <c r="Q175" s="438"/>
      <c r="R175" s="278" t="str">
        <f>VLOOKUP(C175,'Technology MASTER'!$B$3:$Q$107,3,FALSE)</f>
        <v>Incident Response and Management</v>
      </c>
      <c r="S175" s="278" t="str">
        <f>VLOOKUP(C175,'Technology MASTER'!$B$3:$Q$107,4,FALSE)</f>
        <v>N/A</v>
      </c>
      <c r="T175" s="278" t="e">
        <f>HLOOKUP($N$28,'Technology MASTER'!$G$2:$I$107,101,FALSE)</f>
        <v>#N/A</v>
      </c>
      <c r="U175" s="278" t="str">
        <f>VLOOKUP(C175,'Technology MASTER'!$B$3:$Q$107,13,FALSE)</f>
        <v>The organization is unable to manage the initial phase of an incident since the plan is not well designed and documented.</v>
      </c>
      <c r="V175" s="278" t="str">
        <f>VLOOKUP(C175,'Technology MASTER'!$B$3:$Q$107,16,FALSE)</f>
        <v>Environmental Disaster</v>
      </c>
      <c r="W175" s="235"/>
    </row>
    <row r="176" spans="1:23" ht="48" customHeight="1">
      <c r="A176" s="234"/>
      <c r="B176" s="425"/>
      <c r="C176" s="50">
        <v>19.3</v>
      </c>
      <c r="D176" s="430" t="str">
        <f>VLOOKUP(C176,'Technology MASTER'!$B$3:$Q$107,5,FALSE)</f>
        <v>Has the organization designated management personnel, as well as backups, who will support the incident handling process by acting in key decision-making roles?</v>
      </c>
      <c r="E176" s="430"/>
      <c r="F176" s="430"/>
      <c r="G176" s="430"/>
      <c r="H176" s="430"/>
      <c r="I176" s="430"/>
      <c r="J176" s="430"/>
      <c r="K176" s="430"/>
      <c r="L176" s="431"/>
      <c r="M176" s="431"/>
      <c r="N176" s="438"/>
      <c r="O176" s="438"/>
      <c r="P176" s="438"/>
      <c r="Q176" s="438"/>
      <c r="R176" s="278" t="str">
        <f>VLOOKUP(C176,'Technology MASTER'!$B$3:$Q$107,3,FALSE)</f>
        <v>Incident Response and Management</v>
      </c>
      <c r="S176" s="278" t="str">
        <f>VLOOKUP(C176,'Technology MASTER'!$B$3:$Q$107,4,FALSE)</f>
        <v>N/A</v>
      </c>
      <c r="T176" s="278" t="e">
        <f>HLOOKUP($N$28,'Technology MASTER'!$G$2:$I$107,102,FALSE)</f>
        <v>#N/A</v>
      </c>
      <c r="U176" s="278" t="str">
        <f>VLOOKUP(C176,'Technology MASTER'!$B$3:$Q$107,13,FALSE)</f>
        <v>Incidents are mishandled due to lack of defined and tested incident management plans.</v>
      </c>
      <c r="V176" s="278" t="str">
        <f>VLOOKUP(C176,'Technology MASTER'!$B$3:$Q$107,16,FALSE)</f>
        <v>Environmental Disaster</v>
      </c>
      <c r="W176" s="235"/>
    </row>
    <row r="177" spans="1:23" ht="48" customHeight="1">
      <c r="A177" s="234"/>
      <c r="B177" s="425"/>
      <c r="C177" s="50">
        <v>19.399999999999999</v>
      </c>
      <c r="D177" s="430" t="str">
        <f>VLOOKUP(C177,'Technology MASTER'!$B$3:$Q$107,5,FALSE)</f>
        <v>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v>
      </c>
      <c r="E177" s="430"/>
      <c r="F177" s="430"/>
      <c r="G177" s="430"/>
      <c r="H177" s="430"/>
      <c r="I177" s="430"/>
      <c r="J177" s="430"/>
      <c r="K177" s="430"/>
      <c r="L177" s="431"/>
      <c r="M177" s="431"/>
      <c r="N177" s="438"/>
      <c r="O177" s="438"/>
      <c r="P177" s="438"/>
      <c r="Q177" s="438"/>
      <c r="R177" s="278" t="str">
        <f>VLOOKUP(C177,'Technology MASTER'!$B$3:$Q$107,3,FALSE)</f>
        <v>Incident Response and Management</v>
      </c>
      <c r="S177" s="278" t="str">
        <f>VLOOKUP(C177,'Technology MASTER'!$B$3:$Q$107,4,FALSE)</f>
        <v>N/A</v>
      </c>
      <c r="T177" s="278" t="e">
        <f>HLOOKUP($N$28,'Technology MASTER'!$G$2:$I$107,103,FALSE)</f>
        <v>#N/A</v>
      </c>
      <c r="U177" s="278" t="str">
        <f>VLOOKUP(C177,'Technology MASTER'!$B$3:$Q$107,13,FALSE)</f>
        <v>Failure to train personnel on the incident response roles and responsibilities may result in inadequately coordinated processes in response to a security incident.</v>
      </c>
      <c r="V177" s="278" t="str">
        <f>VLOOKUP(C177,'Technology MASTER'!$B$3:$Q$107,16,FALSE)</f>
        <v>Environmental Disaster</v>
      </c>
      <c r="W177" s="235"/>
    </row>
    <row r="178" spans="1:23" ht="48" customHeight="1">
      <c r="A178" s="234"/>
      <c r="B178" s="426"/>
      <c r="C178" s="50">
        <v>19.5</v>
      </c>
      <c r="D178" s="430" t="str">
        <f>VLOOKUP(C178,'Technology MASTER'!$B$3:$Q$107,5,FALSE)</f>
        <v>Has the organization published information for all workforce members, regarding reporting computer anomalies and incidents to the incident handling team? Such information should be included in routine employee awareness activities.</v>
      </c>
      <c r="E178" s="430"/>
      <c r="F178" s="430"/>
      <c r="G178" s="430"/>
      <c r="H178" s="430"/>
      <c r="I178" s="430"/>
      <c r="J178" s="430"/>
      <c r="K178" s="430"/>
      <c r="L178" s="431"/>
      <c r="M178" s="431"/>
      <c r="N178" s="438"/>
      <c r="O178" s="438"/>
      <c r="P178" s="438"/>
      <c r="Q178" s="438"/>
      <c r="R178" s="278" t="str">
        <f>VLOOKUP(C178,'Technology MASTER'!$B$3:$Q$107,3,FALSE)</f>
        <v>Incident Response and Management</v>
      </c>
      <c r="S178" s="278" t="str">
        <f>VLOOKUP(C178,'Technology MASTER'!$B$3:$Q$107,4,FALSE)</f>
        <v>N/A</v>
      </c>
      <c r="T178" s="278" t="e">
        <f>HLOOKUP($N$28,'Technology MASTER'!$G$2:$I$107,104,FALSE)</f>
        <v>#N/A</v>
      </c>
      <c r="U178" s="278" t="str">
        <f>VLOOKUP(C178,'Technology MASTER'!$B$3:$Q$107,13,FALSE)</f>
        <v>Security events and weaknesses are not detected and corrected due to lack of users reporting the events or weaknesses.</v>
      </c>
      <c r="V178" s="278" t="str">
        <f>VLOOKUP(C178,'Technology MASTER'!$B$3:$Q$107,16,FALSE)</f>
        <v>Environmental Disaster</v>
      </c>
      <c r="W178" s="235"/>
    </row>
    <row r="179" spans="1:23" ht="16">
      <c r="A179" s="234"/>
      <c r="B179" s="429"/>
      <c r="C179" s="429"/>
      <c r="D179" s="429"/>
      <c r="E179" s="429"/>
      <c r="F179" s="429"/>
      <c r="G179" s="429"/>
      <c r="H179" s="429"/>
      <c r="I179" s="429"/>
      <c r="J179" s="429"/>
      <c r="K179" s="429"/>
      <c r="L179" s="429"/>
      <c r="M179" s="429"/>
      <c r="N179" s="429"/>
      <c r="O179" s="429"/>
      <c r="P179" s="429"/>
      <c r="Q179" s="429"/>
      <c r="R179" s="216"/>
      <c r="S179" s="216"/>
      <c r="T179" s="216"/>
      <c r="U179" s="216"/>
      <c r="V179" s="216"/>
      <c r="W179" s="235"/>
    </row>
    <row r="180" spans="1:23" ht="48" customHeight="1">
      <c r="A180" s="234"/>
      <c r="B180" s="424" t="s">
        <v>40</v>
      </c>
      <c r="C180" s="50">
        <v>20.100000000000001</v>
      </c>
      <c r="D180" s="430" t="str">
        <f>VLOOKUP(C180,'Technology MASTER'!$B$3:$Q$107,5,FALSE)</f>
        <v>Has the organization conducted regular external and internal penetration tests to identify vulnerabilities and attack vectors that can be used to exploit enterprise systems successfully?</v>
      </c>
      <c r="E180" s="430"/>
      <c r="F180" s="430"/>
      <c r="G180" s="430"/>
      <c r="H180" s="430"/>
      <c r="I180" s="430"/>
      <c r="J180" s="430"/>
      <c r="K180" s="430"/>
      <c r="L180" s="431"/>
      <c r="M180" s="431"/>
      <c r="N180" s="438"/>
      <c r="O180" s="438"/>
      <c r="P180" s="438"/>
      <c r="Q180" s="438"/>
      <c r="R180" s="278" t="str">
        <f>VLOOKUP(C180,'Technology MASTER'!$B$3:$Q$107,3,FALSE)</f>
        <v>Penetration Tests and Red Team Exercises</v>
      </c>
      <c r="S180" s="278" t="str">
        <f>VLOOKUP(C180,'Technology MASTER'!$B$3:$Q$107,4,FALSE)</f>
        <v>N/A</v>
      </c>
      <c r="T180" s="278" t="e">
        <f>HLOOKUP($N$28,'Technology MASTER'!$G$2:$I$107,105,FALSE)</f>
        <v>#N/A</v>
      </c>
      <c r="U180" s="278" t="str">
        <f>VLOOKUP(C180,'Technology MASTER'!$B$3:$Q$107,13,FALSE)</f>
        <v xml:space="preserve">Do not conduct penetration testing or employ independent penetration testing </v>
      </c>
      <c r="V180" s="278" t="str">
        <f>VLOOKUP(C180,'Technology MASTER'!$B$3:$Q$107,16,FALSE)</f>
        <v>Cyber Attack</v>
      </c>
      <c r="W180" s="235"/>
    </row>
    <row r="181" spans="1:23" ht="48" customHeight="1">
      <c r="A181" s="234"/>
      <c r="B181" s="426"/>
      <c r="C181" s="50">
        <v>20.2</v>
      </c>
      <c r="D181" s="430" t="str">
        <f>VLOOKUP(C181,'Technology MASTER'!$B$3:$Q$107,5,FALSE)</f>
        <v>Has the organization performed periodic Red Team exercises to test organizational readiness to identify and stop attacks or to respond quickly and effectively?</v>
      </c>
      <c r="E181" s="430"/>
      <c r="F181" s="430"/>
      <c r="G181" s="430"/>
      <c r="H181" s="430"/>
      <c r="I181" s="430"/>
      <c r="J181" s="430"/>
      <c r="K181" s="430"/>
      <c r="L181" s="431"/>
      <c r="M181" s="431"/>
      <c r="N181" s="438"/>
      <c r="O181" s="438"/>
      <c r="P181" s="438"/>
      <c r="Q181" s="438"/>
      <c r="R181" s="278" t="str">
        <f>VLOOKUP(C181,'Technology MASTER'!$B$3:$Q$107,3,FALSE)</f>
        <v>Penetration Tests and Red Team Exercises</v>
      </c>
      <c r="S181" s="278" t="str">
        <f>VLOOKUP(C181,'Technology MASTER'!$B$3:$Q$107,4,FALSE)</f>
        <v>N/A</v>
      </c>
      <c r="T181" s="278" t="e">
        <f>HLOOKUP($N$28,'Technology MASTER'!$G$2:$I$107,106,FALSE)</f>
        <v>#N/A</v>
      </c>
      <c r="U181" s="278" t="str">
        <f>VLOOKUP(C181,'Technology MASTER'!$B$3:$Q$107,13,FALSE)</f>
        <v>Failure to train personnel on the incident response roles and responsibilities may result in inadequately coordinated processes in response to a security incident.</v>
      </c>
      <c r="V181" s="278" t="str">
        <f>VLOOKUP(C181,'Technology MASTER'!$B$3:$Q$107,16,FALSE)</f>
        <v>Cyber Attack</v>
      </c>
      <c r="W181" s="235"/>
    </row>
    <row r="182" spans="1:23" ht="17" thickBot="1">
      <c r="A182" s="234"/>
      <c r="B182" s="429"/>
      <c r="C182" s="429"/>
      <c r="D182" s="429"/>
      <c r="E182" s="429"/>
      <c r="F182" s="429"/>
      <c r="G182" s="429"/>
      <c r="H182" s="429"/>
      <c r="I182" s="429"/>
      <c r="J182" s="429"/>
      <c r="K182" s="429"/>
      <c r="L182" s="429"/>
      <c r="M182" s="429"/>
      <c r="N182" s="429"/>
      <c r="O182" s="429"/>
      <c r="P182" s="429"/>
      <c r="Q182" s="429"/>
      <c r="R182" s="429"/>
      <c r="S182" s="429"/>
      <c r="T182" s="429"/>
      <c r="U182" s="429"/>
      <c r="V182" s="429"/>
      <c r="W182" s="235"/>
    </row>
    <row r="183" spans="1:23" s="222" customFormat="1" ht="48" customHeight="1" thickTop="1" thickBot="1">
      <c r="A183" s="238"/>
      <c r="B183" s="435" t="str">
        <f>IF(P1=0,"You have completed the assessment, please return your responses so we may evaluate.  Thank You!","There are questions above missing a response, please review and respond before sending us your reply.  Thank You!")</f>
        <v>There are questions above missing a response, please review and respond before sending us your reply.  Thank You!</v>
      </c>
      <c r="C183" s="436"/>
      <c r="D183" s="436"/>
      <c r="E183" s="436"/>
      <c r="F183" s="436"/>
      <c r="G183" s="436"/>
      <c r="H183" s="436"/>
      <c r="I183" s="436"/>
      <c r="J183" s="436"/>
      <c r="K183" s="436"/>
      <c r="L183" s="436"/>
      <c r="M183" s="436"/>
      <c r="N183" s="436"/>
      <c r="O183" s="436"/>
      <c r="P183" s="436"/>
      <c r="Q183" s="437"/>
      <c r="R183" s="272"/>
      <c r="S183" s="273"/>
      <c r="T183" s="273"/>
      <c r="U183" s="273"/>
      <c r="V183" s="273"/>
      <c r="W183" s="239"/>
    </row>
    <row r="184" spans="1:23" ht="23" thickTop="1" thickBot="1">
      <c r="A184" s="240"/>
      <c r="B184" s="241"/>
      <c r="C184" s="242"/>
      <c r="D184" s="243"/>
      <c r="E184" s="244"/>
      <c r="F184" s="244"/>
      <c r="G184" s="244"/>
      <c r="H184" s="244"/>
      <c r="I184" s="244"/>
      <c r="J184" s="244"/>
      <c r="K184" s="244"/>
      <c r="L184" s="245"/>
      <c r="M184" s="245"/>
      <c r="N184" s="244"/>
      <c r="O184" s="246"/>
      <c r="P184" s="246"/>
      <c r="Q184" s="246"/>
      <c r="R184" s="279"/>
      <c r="S184" s="279"/>
      <c r="T184" s="279"/>
      <c r="U184" s="279"/>
      <c r="V184" s="279"/>
      <c r="W184" s="247"/>
    </row>
    <row r="185" spans="1:23" ht="27" thickTop="1">
      <c r="A185" s="476" t="s">
        <v>1717</v>
      </c>
      <c r="B185" s="477"/>
      <c r="C185" s="477"/>
      <c r="D185" s="477"/>
      <c r="E185" s="477"/>
      <c r="F185" s="477"/>
      <c r="G185" s="477"/>
      <c r="H185" s="477"/>
      <c r="I185" s="477"/>
      <c r="J185" s="477"/>
      <c r="K185" s="477"/>
      <c r="L185" s="477"/>
      <c r="M185" s="477"/>
      <c r="N185" s="477"/>
      <c r="O185" s="477"/>
      <c r="P185" s="477"/>
      <c r="Q185" s="477"/>
      <c r="R185" s="477"/>
      <c r="S185" s="477"/>
      <c r="T185" s="477"/>
      <c r="U185" s="477"/>
      <c r="V185" s="477"/>
      <c r="W185" s="478"/>
    </row>
    <row r="186" spans="1:23">
      <c r="A186" s="259"/>
      <c r="B186" s="228"/>
      <c r="C186" s="229"/>
      <c r="D186" s="230"/>
      <c r="E186" s="231"/>
      <c r="F186" s="231"/>
      <c r="G186" s="231"/>
      <c r="H186" s="231"/>
      <c r="I186" s="231"/>
      <c r="J186" s="231"/>
      <c r="K186" s="231"/>
      <c r="L186" s="232"/>
      <c r="M186" s="232"/>
      <c r="N186" s="231"/>
      <c r="O186" s="233"/>
      <c r="P186" s="233"/>
      <c r="Q186" s="233"/>
      <c r="R186" s="277"/>
      <c r="S186" s="277"/>
      <c r="T186" s="277"/>
      <c r="U186" s="277"/>
      <c r="V186" s="277"/>
      <c r="W186" s="235"/>
    </row>
    <row r="187" spans="1:23">
      <c r="A187" s="259"/>
      <c r="B187" s="228"/>
      <c r="C187" s="229"/>
      <c r="D187" s="230"/>
      <c r="E187" s="231"/>
      <c r="F187" s="231"/>
      <c r="G187" s="231"/>
      <c r="H187" s="231"/>
      <c r="I187" s="231"/>
      <c r="J187" s="231"/>
      <c r="K187" s="231"/>
      <c r="L187" s="232"/>
      <c r="M187" s="232"/>
      <c r="N187" s="486" t="s">
        <v>1556</v>
      </c>
      <c r="O187" s="486"/>
      <c r="P187" s="487"/>
      <c r="Q187" s="487"/>
      <c r="R187" s="277"/>
      <c r="S187" s="277"/>
      <c r="T187" s="277"/>
      <c r="U187" s="277"/>
      <c r="V187" s="277"/>
      <c r="W187" s="235"/>
    </row>
    <row r="188" spans="1:23" ht="37.5" customHeight="1">
      <c r="A188" s="259"/>
      <c r="B188" s="420" t="s">
        <v>1521</v>
      </c>
      <c r="C188" s="420"/>
      <c r="D188" s="420"/>
      <c r="E188" s="420"/>
      <c r="F188" s="420"/>
      <c r="G188" s="420"/>
      <c r="H188" s="420"/>
      <c r="I188" s="420"/>
      <c r="J188" s="420" t="s">
        <v>1522</v>
      </c>
      <c r="K188" s="420"/>
      <c r="L188" s="420"/>
      <c r="M188" s="420"/>
      <c r="N188" s="420" t="s">
        <v>1523</v>
      </c>
      <c r="O188" s="420"/>
      <c r="P188" s="420"/>
      <c r="Q188" s="420"/>
      <c r="R188" s="274"/>
      <c r="S188" s="274"/>
      <c r="T188" s="274"/>
      <c r="U188" s="274"/>
      <c r="V188" s="274"/>
      <c r="W188" s="260"/>
    </row>
    <row r="189" spans="1:23" ht="21" customHeight="1">
      <c r="A189" s="259"/>
      <c r="B189" s="413" t="s">
        <v>1364</v>
      </c>
      <c r="C189" s="413"/>
      <c r="D189" s="413"/>
      <c r="E189" s="413"/>
      <c r="F189" s="413"/>
      <c r="G189" s="413"/>
      <c r="H189" s="413"/>
      <c r="I189" s="413"/>
      <c r="J189" s="407" t="e">
        <f>'Risk Calc'!$I$57</f>
        <v>#N/A</v>
      </c>
      <c r="K189" s="402"/>
      <c r="L189" s="402"/>
      <c r="M189" s="403"/>
      <c r="N189" s="401" t="e">
        <f>'Risk Calc'!AE40</f>
        <v>#DIV/0!</v>
      </c>
      <c r="O189" s="402"/>
      <c r="P189" s="402"/>
      <c r="Q189" s="403"/>
      <c r="R189" s="275"/>
      <c r="S189" s="275"/>
      <c r="T189" s="275"/>
      <c r="U189" s="275"/>
      <c r="V189" s="275"/>
      <c r="W189" s="235"/>
    </row>
    <row r="190" spans="1:23" ht="30.75" customHeight="1">
      <c r="A190" s="259"/>
      <c r="B190" s="400" t="s">
        <v>1363</v>
      </c>
      <c r="C190" s="400"/>
      <c r="D190" s="400"/>
      <c r="E190" s="400"/>
      <c r="F190" s="400"/>
      <c r="G190" s="400"/>
      <c r="H190" s="400"/>
      <c r="I190" s="400"/>
      <c r="J190" s="404"/>
      <c r="K190" s="405"/>
      <c r="L190" s="405"/>
      <c r="M190" s="406"/>
      <c r="N190" s="404"/>
      <c r="O190" s="405"/>
      <c r="P190" s="405"/>
      <c r="Q190" s="406"/>
      <c r="R190" s="275"/>
      <c r="S190" s="275"/>
      <c r="T190" s="275"/>
      <c r="U190" s="275"/>
      <c r="V190" s="275"/>
      <c r="W190" s="235"/>
    </row>
    <row r="191" spans="1:23" ht="18.75" customHeight="1">
      <c r="A191" s="259"/>
      <c r="B191" s="413" t="s">
        <v>1365</v>
      </c>
      <c r="C191" s="413"/>
      <c r="D191" s="413"/>
      <c r="E191" s="413"/>
      <c r="F191" s="413"/>
      <c r="G191" s="413"/>
      <c r="H191" s="413"/>
      <c r="I191" s="413"/>
      <c r="J191" s="407" t="e">
        <f>'Risk Calc'!$I$57</f>
        <v>#N/A</v>
      </c>
      <c r="K191" s="402"/>
      <c r="L191" s="402"/>
      <c r="M191" s="403"/>
      <c r="N191" s="401" t="e">
        <f>'Risk Calc'!AE41</f>
        <v>#DIV/0!</v>
      </c>
      <c r="O191" s="402"/>
      <c r="P191" s="402"/>
      <c r="Q191" s="403"/>
      <c r="R191" s="275"/>
      <c r="S191" s="275"/>
      <c r="T191" s="275"/>
      <c r="U191" s="275"/>
      <c r="V191" s="275"/>
      <c r="W191" s="235"/>
    </row>
    <row r="192" spans="1:23" ht="30.75" customHeight="1">
      <c r="A192" s="259"/>
      <c r="B192" s="400" t="s">
        <v>1366</v>
      </c>
      <c r="C192" s="400"/>
      <c r="D192" s="400"/>
      <c r="E192" s="400"/>
      <c r="F192" s="400"/>
      <c r="G192" s="400"/>
      <c r="H192" s="400"/>
      <c r="I192" s="400"/>
      <c r="J192" s="404"/>
      <c r="K192" s="405"/>
      <c r="L192" s="405"/>
      <c r="M192" s="406"/>
      <c r="N192" s="404"/>
      <c r="O192" s="405"/>
      <c r="P192" s="405"/>
      <c r="Q192" s="406"/>
      <c r="R192" s="275"/>
      <c r="S192" s="275"/>
      <c r="T192" s="275"/>
      <c r="U192" s="275"/>
      <c r="V192" s="275"/>
      <c r="W192" s="235"/>
    </row>
    <row r="193" spans="1:23" ht="18.75" customHeight="1">
      <c r="A193" s="259"/>
      <c r="B193" s="413" t="s">
        <v>1310</v>
      </c>
      <c r="C193" s="413"/>
      <c r="D193" s="413"/>
      <c r="E193" s="413"/>
      <c r="F193" s="413"/>
      <c r="G193" s="413"/>
      <c r="H193" s="413"/>
      <c r="I193" s="413"/>
      <c r="J193" s="407" t="e">
        <f>'Risk Calc'!$I$57</f>
        <v>#N/A</v>
      </c>
      <c r="K193" s="402"/>
      <c r="L193" s="402"/>
      <c r="M193" s="403"/>
      <c r="N193" s="401" t="e">
        <f>'Risk Calc'!AE42</f>
        <v>#DIV/0!</v>
      </c>
      <c r="O193" s="402"/>
      <c r="P193" s="402"/>
      <c r="Q193" s="403"/>
      <c r="R193" s="275"/>
      <c r="S193" s="275"/>
      <c r="T193" s="275"/>
      <c r="U193" s="275"/>
      <c r="V193" s="275"/>
      <c r="W193" s="235"/>
    </row>
    <row r="194" spans="1:23" ht="30.75" customHeight="1">
      <c r="A194" s="259"/>
      <c r="B194" s="400" t="s">
        <v>1385</v>
      </c>
      <c r="C194" s="400"/>
      <c r="D194" s="400"/>
      <c r="E194" s="400"/>
      <c r="F194" s="400"/>
      <c r="G194" s="400"/>
      <c r="H194" s="400"/>
      <c r="I194" s="400"/>
      <c r="J194" s="404"/>
      <c r="K194" s="405"/>
      <c r="L194" s="405"/>
      <c r="M194" s="406"/>
      <c r="N194" s="404"/>
      <c r="O194" s="405"/>
      <c r="P194" s="405"/>
      <c r="Q194" s="406"/>
      <c r="R194" s="275"/>
      <c r="S194" s="275"/>
      <c r="T194" s="275"/>
      <c r="U194" s="275"/>
      <c r="V194" s="275"/>
      <c r="W194" s="235"/>
    </row>
    <row r="195" spans="1:23" ht="18.75" customHeight="1">
      <c r="A195" s="259"/>
      <c r="B195" s="413" t="s">
        <v>1311</v>
      </c>
      <c r="C195" s="413"/>
      <c r="D195" s="413"/>
      <c r="E195" s="413"/>
      <c r="F195" s="413"/>
      <c r="G195" s="413"/>
      <c r="H195" s="413"/>
      <c r="I195" s="413"/>
      <c r="J195" s="407" t="e">
        <f>'Risk Calc'!$I$57</f>
        <v>#N/A</v>
      </c>
      <c r="K195" s="402"/>
      <c r="L195" s="402"/>
      <c r="M195" s="403"/>
      <c r="N195" s="401" t="e">
        <f>'Risk Calc'!AE43</f>
        <v>#DIV/0!</v>
      </c>
      <c r="O195" s="402"/>
      <c r="P195" s="402"/>
      <c r="Q195" s="403"/>
      <c r="R195" s="275"/>
      <c r="S195" s="275"/>
      <c r="T195" s="275"/>
      <c r="U195" s="275"/>
      <c r="V195" s="275"/>
      <c r="W195" s="235"/>
    </row>
    <row r="196" spans="1:23" ht="30.75" customHeight="1">
      <c r="A196" s="259"/>
      <c r="B196" s="400" t="s">
        <v>1367</v>
      </c>
      <c r="C196" s="400"/>
      <c r="D196" s="400"/>
      <c r="E196" s="400"/>
      <c r="F196" s="400"/>
      <c r="G196" s="400"/>
      <c r="H196" s="400"/>
      <c r="I196" s="400"/>
      <c r="J196" s="404"/>
      <c r="K196" s="405"/>
      <c r="L196" s="405"/>
      <c r="M196" s="406"/>
      <c r="N196" s="404"/>
      <c r="O196" s="405"/>
      <c r="P196" s="405"/>
      <c r="Q196" s="406"/>
      <c r="R196" s="275"/>
      <c r="S196" s="275"/>
      <c r="T196" s="275"/>
      <c r="U196" s="275"/>
      <c r="V196" s="275"/>
      <c r="W196" s="235"/>
    </row>
    <row r="197" spans="1:23" ht="18.75" customHeight="1">
      <c r="A197" s="259"/>
      <c r="B197" s="413" t="s">
        <v>1312</v>
      </c>
      <c r="C197" s="413"/>
      <c r="D197" s="413"/>
      <c r="E197" s="413"/>
      <c r="F197" s="413"/>
      <c r="G197" s="413"/>
      <c r="H197" s="413"/>
      <c r="I197" s="413"/>
      <c r="J197" s="407" t="e">
        <f>'Risk Calc'!$I$57</f>
        <v>#N/A</v>
      </c>
      <c r="K197" s="402"/>
      <c r="L197" s="402"/>
      <c r="M197" s="403"/>
      <c r="N197" s="401" t="e">
        <f>'Risk Calc'!AE44</f>
        <v>#DIV/0!</v>
      </c>
      <c r="O197" s="402"/>
      <c r="P197" s="402"/>
      <c r="Q197" s="403"/>
      <c r="R197" s="275"/>
      <c r="S197" s="275"/>
      <c r="T197" s="275"/>
      <c r="U197" s="275"/>
      <c r="V197" s="275"/>
      <c r="W197" s="235"/>
    </row>
    <row r="198" spans="1:23" ht="30.75" customHeight="1">
      <c r="A198" s="259"/>
      <c r="B198" s="400" t="s">
        <v>1368</v>
      </c>
      <c r="C198" s="400"/>
      <c r="D198" s="400"/>
      <c r="E198" s="400"/>
      <c r="F198" s="400"/>
      <c r="G198" s="400"/>
      <c r="H198" s="400"/>
      <c r="I198" s="400"/>
      <c r="J198" s="404"/>
      <c r="K198" s="405"/>
      <c r="L198" s="405"/>
      <c r="M198" s="406"/>
      <c r="N198" s="404"/>
      <c r="O198" s="405"/>
      <c r="P198" s="405"/>
      <c r="Q198" s="406"/>
      <c r="R198" s="275"/>
      <c r="S198" s="275"/>
      <c r="T198" s="275"/>
      <c r="U198" s="275"/>
      <c r="V198" s="275"/>
      <c r="W198" s="235"/>
    </row>
    <row r="199" spans="1:23" ht="48" customHeight="1">
      <c r="A199" s="259"/>
      <c r="B199" s="228"/>
      <c r="C199" s="229"/>
      <c r="D199" s="230"/>
      <c r="E199" s="231"/>
      <c r="F199" s="384" t="s">
        <v>1524</v>
      </c>
      <c r="G199" s="384"/>
      <c r="H199" s="384"/>
      <c r="I199" s="384"/>
      <c r="J199" s="408" t="str">
        <f>'Risk Calc'!AD58</f>
        <v>Unknown</v>
      </c>
      <c r="K199" s="409"/>
      <c r="L199" s="409"/>
      <c r="M199" s="409"/>
      <c r="N199" s="409"/>
      <c r="O199" s="409"/>
      <c r="P199" s="409"/>
      <c r="Q199" s="410"/>
      <c r="R199" s="276"/>
      <c r="S199" s="276"/>
      <c r="T199" s="276"/>
      <c r="U199" s="276"/>
      <c r="V199" s="276"/>
      <c r="W199" s="235"/>
    </row>
    <row r="200" spans="1:23" ht="21" customHeight="1">
      <c r="A200" s="259"/>
      <c r="B200" s="228"/>
      <c r="C200" s="229"/>
      <c r="D200" s="230"/>
      <c r="E200" s="231"/>
      <c r="F200" s="411" t="s">
        <v>1397</v>
      </c>
      <c r="G200" s="411"/>
      <c r="H200" s="411"/>
      <c r="I200" s="411"/>
      <c r="J200" s="411"/>
      <c r="K200" s="411"/>
      <c r="L200" s="411"/>
      <c r="M200" s="411"/>
      <c r="N200" s="411"/>
      <c r="O200" s="411"/>
      <c r="P200" s="411"/>
      <c r="Q200" s="411"/>
      <c r="R200" s="277"/>
      <c r="S200" s="277"/>
      <c r="T200" s="277"/>
      <c r="U200" s="277"/>
      <c r="V200" s="277"/>
      <c r="W200" s="235"/>
    </row>
    <row r="201" spans="1:23" ht="16">
      <c r="A201" s="259"/>
      <c r="B201" s="391" t="s">
        <v>1526</v>
      </c>
      <c r="C201" s="392"/>
      <c r="D201" s="392"/>
      <c r="E201" s="392"/>
      <c r="F201" s="392"/>
      <c r="G201" s="392"/>
      <c r="H201" s="392"/>
      <c r="I201" s="392"/>
      <c r="J201" s="393" t="s">
        <v>1525</v>
      </c>
      <c r="K201" s="394"/>
      <c r="L201" s="394"/>
      <c r="M201" s="394"/>
      <c r="N201" s="394"/>
      <c r="O201" s="394"/>
      <c r="P201" s="394"/>
      <c r="Q201" s="395"/>
      <c r="R201" s="266"/>
      <c r="S201" s="266"/>
      <c r="T201" s="266"/>
      <c r="U201" s="266"/>
      <c r="V201" s="266"/>
      <c r="W201" s="235"/>
    </row>
    <row r="202" spans="1:23" ht="16">
      <c r="A202" s="259"/>
      <c r="B202" s="396" t="s">
        <v>1308</v>
      </c>
      <c r="C202" s="397"/>
      <c r="D202" s="397" t="s">
        <v>1224</v>
      </c>
      <c r="E202" s="397"/>
      <c r="F202" s="397"/>
      <c r="G202" s="397" t="s">
        <v>1378</v>
      </c>
      <c r="H202" s="397"/>
      <c r="I202" s="397"/>
      <c r="J202" s="398" t="s">
        <v>1309</v>
      </c>
      <c r="K202" s="399"/>
      <c r="L202" s="399" t="s">
        <v>1224</v>
      </c>
      <c r="M202" s="399"/>
      <c r="N202" s="399"/>
      <c r="O202" s="399" t="s">
        <v>1378</v>
      </c>
      <c r="P202" s="399"/>
      <c r="Q202" s="412"/>
      <c r="R202" s="265"/>
      <c r="S202" s="265"/>
      <c r="T202" s="265"/>
      <c r="U202" s="265"/>
      <c r="V202" s="265"/>
      <c r="W202" s="235"/>
    </row>
    <row r="203" spans="1:23" ht="51" customHeight="1">
      <c r="A203" s="259"/>
      <c r="B203" s="378" t="s">
        <v>1372</v>
      </c>
      <c r="C203" s="379"/>
      <c r="D203" s="380" t="s">
        <v>1528</v>
      </c>
      <c r="E203" s="380"/>
      <c r="F203" s="380"/>
      <c r="G203" s="380"/>
      <c r="H203" s="380"/>
      <c r="I203" s="381"/>
      <c r="J203" s="382" t="s">
        <v>1373</v>
      </c>
      <c r="K203" s="379"/>
      <c r="L203" s="380" t="s">
        <v>1531</v>
      </c>
      <c r="M203" s="380"/>
      <c r="N203" s="380"/>
      <c r="O203" s="380"/>
      <c r="P203" s="380"/>
      <c r="Q203" s="383"/>
      <c r="R203" s="269"/>
      <c r="S203" s="269"/>
      <c r="T203" s="269"/>
      <c r="U203" s="269"/>
      <c r="V203" s="269"/>
      <c r="W203" s="235"/>
    </row>
    <row r="204" spans="1:23" ht="51" customHeight="1">
      <c r="A204" s="259"/>
      <c r="B204" s="378" t="s">
        <v>1375</v>
      </c>
      <c r="C204" s="379"/>
      <c r="D204" s="380" t="s">
        <v>1529</v>
      </c>
      <c r="E204" s="380"/>
      <c r="F204" s="380"/>
      <c r="G204" s="380"/>
      <c r="H204" s="380"/>
      <c r="I204" s="381"/>
      <c r="J204" s="382" t="s">
        <v>1377</v>
      </c>
      <c r="K204" s="379"/>
      <c r="L204" s="380" t="s">
        <v>1532</v>
      </c>
      <c r="M204" s="380"/>
      <c r="N204" s="380"/>
      <c r="O204" s="380"/>
      <c r="P204" s="380"/>
      <c r="Q204" s="383"/>
      <c r="R204" s="269"/>
      <c r="S204" s="269"/>
      <c r="T204" s="269"/>
      <c r="U204" s="269"/>
      <c r="V204" s="269"/>
      <c r="W204" s="235"/>
    </row>
    <row r="205" spans="1:23" ht="51" customHeight="1">
      <c r="A205" s="259"/>
      <c r="B205" s="385" t="s">
        <v>1376</v>
      </c>
      <c r="C205" s="386"/>
      <c r="D205" s="387" t="s">
        <v>1530</v>
      </c>
      <c r="E205" s="387"/>
      <c r="F205" s="387"/>
      <c r="G205" s="387"/>
      <c r="H205" s="387"/>
      <c r="I205" s="388"/>
      <c r="J205" s="389" t="s">
        <v>1374</v>
      </c>
      <c r="K205" s="386"/>
      <c r="L205" s="387" t="s">
        <v>1533</v>
      </c>
      <c r="M205" s="387"/>
      <c r="N205" s="387"/>
      <c r="O205" s="387"/>
      <c r="P205" s="387"/>
      <c r="Q205" s="390"/>
      <c r="R205" s="269"/>
      <c r="S205" s="269"/>
      <c r="T205" s="269"/>
      <c r="U205" s="269"/>
      <c r="V205" s="269"/>
      <c r="W205" s="235"/>
    </row>
    <row r="206" spans="1:23" ht="22" thickBot="1">
      <c r="A206" s="252"/>
      <c r="B206" s="261"/>
      <c r="C206" s="242"/>
      <c r="D206" s="243"/>
      <c r="E206" s="262"/>
      <c r="F206" s="262"/>
      <c r="G206" s="262"/>
      <c r="H206" s="262"/>
      <c r="I206" s="262"/>
      <c r="J206" s="262"/>
      <c r="K206" s="262"/>
      <c r="L206" s="245"/>
      <c r="M206" s="245"/>
      <c r="N206" s="262"/>
      <c r="O206" s="263"/>
      <c r="P206" s="263"/>
      <c r="Q206" s="263"/>
      <c r="R206" s="279"/>
      <c r="S206" s="279"/>
      <c r="T206" s="279"/>
      <c r="U206" s="279"/>
      <c r="V206" s="279"/>
      <c r="W206" s="247"/>
    </row>
    <row r="207" spans="1:23" ht="22" thickTop="1"/>
  </sheetData>
  <mergeCells count="568">
    <mergeCell ref="N187:O187"/>
    <mergeCell ref="P187:Q187"/>
    <mergeCell ref="N6:O6"/>
    <mergeCell ref="P6:Q6"/>
    <mergeCell ref="A41:W41"/>
    <mergeCell ref="D87:K87"/>
    <mergeCell ref="B119:B123"/>
    <mergeCell ref="B58:B62"/>
    <mergeCell ref="B64:B67"/>
    <mergeCell ref="B69:B74"/>
    <mergeCell ref="B76:B83"/>
    <mergeCell ref="B85:B88"/>
    <mergeCell ref="B102:Q102"/>
    <mergeCell ref="B107:Q107"/>
    <mergeCell ref="B112:Q112"/>
    <mergeCell ref="B118:Q118"/>
    <mergeCell ref="L58:M58"/>
    <mergeCell ref="L64:M64"/>
    <mergeCell ref="N67:Q67"/>
    <mergeCell ref="A185:W185"/>
    <mergeCell ref="B42:Q42"/>
    <mergeCell ref="B43:Q43"/>
    <mergeCell ref="B56:Q56"/>
    <mergeCell ref="B124:Q124"/>
    <mergeCell ref="B137:Q137"/>
    <mergeCell ref="B142:Q142"/>
    <mergeCell ref="B148:Q148"/>
    <mergeCell ref="B159:Q159"/>
    <mergeCell ref="B166:Q166"/>
    <mergeCell ref="B63:Q63"/>
    <mergeCell ref="L65:M65"/>
    <mergeCell ref="D66:K66"/>
    <mergeCell ref="B68:Q68"/>
    <mergeCell ref="N64:Q64"/>
    <mergeCell ref="D65:K65"/>
    <mergeCell ref="D74:K74"/>
    <mergeCell ref="D73:K73"/>
    <mergeCell ref="D72:K72"/>
    <mergeCell ref="D71:K71"/>
    <mergeCell ref="D70:K70"/>
    <mergeCell ref="D69:K69"/>
    <mergeCell ref="L67:M67"/>
    <mergeCell ref="L66:M66"/>
    <mergeCell ref="B95:Q95"/>
    <mergeCell ref="B90:B94"/>
    <mergeCell ref="B96:B101"/>
    <mergeCell ref="B103:B106"/>
    <mergeCell ref="B108:B111"/>
    <mergeCell ref="L57:M57"/>
    <mergeCell ref="N57:Q57"/>
    <mergeCell ref="N62:Q62"/>
    <mergeCell ref="N61:Q61"/>
    <mergeCell ref="N60:Q60"/>
    <mergeCell ref="N59:Q59"/>
    <mergeCell ref="N58:Q58"/>
    <mergeCell ref="D58:K58"/>
    <mergeCell ref="D59:K59"/>
    <mergeCell ref="D60:K60"/>
    <mergeCell ref="D61:K61"/>
    <mergeCell ref="D62:K62"/>
    <mergeCell ref="D57:K57"/>
    <mergeCell ref="L62:M62"/>
    <mergeCell ref="L61:M61"/>
    <mergeCell ref="L60:M60"/>
    <mergeCell ref="L59:M59"/>
    <mergeCell ref="B113:B117"/>
    <mergeCell ref="D88:K88"/>
    <mergeCell ref="N66:Q66"/>
    <mergeCell ref="N65:Q65"/>
    <mergeCell ref="N82:Q82"/>
    <mergeCell ref="N81:Q81"/>
    <mergeCell ref="N80:Q80"/>
    <mergeCell ref="B167:B172"/>
    <mergeCell ref="D78:K78"/>
    <mergeCell ref="D77:K77"/>
    <mergeCell ref="D76:K76"/>
    <mergeCell ref="L76:M76"/>
    <mergeCell ref="N77:Q77"/>
    <mergeCell ref="N76:Q76"/>
    <mergeCell ref="L78:M78"/>
    <mergeCell ref="L77:M77"/>
    <mergeCell ref="B75:Q75"/>
    <mergeCell ref="N79:Q79"/>
    <mergeCell ref="N78:Q78"/>
    <mergeCell ref="D81:K81"/>
    <mergeCell ref="D80:K80"/>
    <mergeCell ref="D79:K79"/>
    <mergeCell ref="D83:K83"/>
    <mergeCell ref="D82:K82"/>
    <mergeCell ref="B174:B178"/>
    <mergeCell ref="B180:B181"/>
    <mergeCell ref="B125:B130"/>
    <mergeCell ref="B132:B136"/>
    <mergeCell ref="B138:B141"/>
    <mergeCell ref="B143:B147"/>
    <mergeCell ref="B149:B158"/>
    <mergeCell ref="B160:B165"/>
    <mergeCell ref="B173:Q173"/>
    <mergeCell ref="B179:Q179"/>
    <mergeCell ref="N130:Q130"/>
    <mergeCell ref="N129:Q129"/>
    <mergeCell ref="N128:Q128"/>
    <mergeCell ref="N127:Q127"/>
    <mergeCell ref="N126:Q126"/>
    <mergeCell ref="N125:Q125"/>
    <mergeCell ref="L130:M130"/>
    <mergeCell ref="L129:M129"/>
    <mergeCell ref="L128:M128"/>
    <mergeCell ref="L127:M127"/>
    <mergeCell ref="L126:M126"/>
    <mergeCell ref="L125:M125"/>
    <mergeCell ref="D130:K130"/>
    <mergeCell ref="D129:K129"/>
    <mergeCell ref="D64:K64"/>
    <mergeCell ref="D67:K67"/>
    <mergeCell ref="N74:Q74"/>
    <mergeCell ref="N73:Q73"/>
    <mergeCell ref="N72:Q72"/>
    <mergeCell ref="N71:Q71"/>
    <mergeCell ref="N70:Q70"/>
    <mergeCell ref="N69:Q69"/>
    <mergeCell ref="L74:M74"/>
    <mergeCell ref="L73:M73"/>
    <mergeCell ref="L72:M72"/>
    <mergeCell ref="L71:M71"/>
    <mergeCell ref="L70:M70"/>
    <mergeCell ref="L69:M69"/>
    <mergeCell ref="L83:M83"/>
    <mergeCell ref="L82:M82"/>
    <mergeCell ref="L81:M81"/>
    <mergeCell ref="L80:M80"/>
    <mergeCell ref="L79:M79"/>
    <mergeCell ref="N83:Q83"/>
    <mergeCell ref="L91:M91"/>
    <mergeCell ref="L90:M90"/>
    <mergeCell ref="N88:Q88"/>
    <mergeCell ref="N87:Q87"/>
    <mergeCell ref="N86:Q86"/>
    <mergeCell ref="N85:Q85"/>
    <mergeCell ref="L88:M88"/>
    <mergeCell ref="L87:M87"/>
    <mergeCell ref="L86:M86"/>
    <mergeCell ref="L85:M85"/>
    <mergeCell ref="B84:Q84"/>
    <mergeCell ref="D86:K86"/>
    <mergeCell ref="D85:K85"/>
    <mergeCell ref="B89:Q89"/>
    <mergeCell ref="D94:K94"/>
    <mergeCell ref="D93:K93"/>
    <mergeCell ref="D92:K92"/>
    <mergeCell ref="D91:K91"/>
    <mergeCell ref="D90:K90"/>
    <mergeCell ref="N94:Q94"/>
    <mergeCell ref="N93:Q93"/>
    <mergeCell ref="N92:Q92"/>
    <mergeCell ref="N91:Q91"/>
    <mergeCell ref="N90:Q90"/>
    <mergeCell ref="L94:M94"/>
    <mergeCell ref="L93:M93"/>
    <mergeCell ref="L92:M92"/>
    <mergeCell ref="L98:M98"/>
    <mergeCell ref="L97:M97"/>
    <mergeCell ref="L96:M96"/>
    <mergeCell ref="N101:Q101"/>
    <mergeCell ref="N100:Q100"/>
    <mergeCell ref="N99:Q99"/>
    <mergeCell ref="N98:Q98"/>
    <mergeCell ref="N97:Q97"/>
    <mergeCell ref="N96:Q96"/>
    <mergeCell ref="N106:Q106"/>
    <mergeCell ref="N105:Q105"/>
    <mergeCell ref="N104:Q104"/>
    <mergeCell ref="N103:Q103"/>
    <mergeCell ref="L106:M106"/>
    <mergeCell ref="L105:M105"/>
    <mergeCell ref="L101:M101"/>
    <mergeCell ref="L100:M100"/>
    <mergeCell ref="L99:M99"/>
    <mergeCell ref="D101:K101"/>
    <mergeCell ref="D100:K100"/>
    <mergeCell ref="D99:K99"/>
    <mergeCell ref="D98:K98"/>
    <mergeCell ref="D97:K97"/>
    <mergeCell ref="D96:K96"/>
    <mergeCell ref="N111:Q111"/>
    <mergeCell ref="N110:Q110"/>
    <mergeCell ref="N109:Q109"/>
    <mergeCell ref="N108:Q108"/>
    <mergeCell ref="L111:M111"/>
    <mergeCell ref="L110:M110"/>
    <mergeCell ref="L109:M109"/>
    <mergeCell ref="L108:M108"/>
    <mergeCell ref="L104:M104"/>
    <mergeCell ref="D111:K111"/>
    <mergeCell ref="D110:K110"/>
    <mergeCell ref="D109:K109"/>
    <mergeCell ref="D108:K108"/>
    <mergeCell ref="L103:M103"/>
    <mergeCell ref="D106:K106"/>
    <mergeCell ref="D105:K105"/>
    <mergeCell ref="D104:K104"/>
    <mergeCell ref="D103:K103"/>
    <mergeCell ref="D117:K117"/>
    <mergeCell ref="D116:K116"/>
    <mergeCell ref="D115:K115"/>
    <mergeCell ref="D114:K114"/>
    <mergeCell ref="D113:K113"/>
    <mergeCell ref="N117:Q117"/>
    <mergeCell ref="N116:Q116"/>
    <mergeCell ref="N115:Q115"/>
    <mergeCell ref="N114:Q114"/>
    <mergeCell ref="N113:Q113"/>
    <mergeCell ref="L117:M117"/>
    <mergeCell ref="L116:M116"/>
    <mergeCell ref="L115:M115"/>
    <mergeCell ref="L114:M114"/>
    <mergeCell ref="L113:M113"/>
    <mergeCell ref="D123:K123"/>
    <mergeCell ref="D122:K122"/>
    <mergeCell ref="D121:K121"/>
    <mergeCell ref="D120:K120"/>
    <mergeCell ref="D119:K119"/>
    <mergeCell ref="N123:Q123"/>
    <mergeCell ref="N122:Q122"/>
    <mergeCell ref="N121:Q121"/>
    <mergeCell ref="N120:Q120"/>
    <mergeCell ref="N119:Q119"/>
    <mergeCell ref="L123:M123"/>
    <mergeCell ref="L122:M122"/>
    <mergeCell ref="L121:M121"/>
    <mergeCell ref="L120:M120"/>
    <mergeCell ref="L119:M119"/>
    <mergeCell ref="D128:K128"/>
    <mergeCell ref="D127:K127"/>
    <mergeCell ref="D126:K126"/>
    <mergeCell ref="D125:K125"/>
    <mergeCell ref="D136:K136"/>
    <mergeCell ref="D135:K135"/>
    <mergeCell ref="D134:K134"/>
    <mergeCell ref="D133:K133"/>
    <mergeCell ref="D132:K132"/>
    <mergeCell ref="B131:Q131"/>
    <mergeCell ref="N133:Q133"/>
    <mergeCell ref="N132:Q132"/>
    <mergeCell ref="L136:M136"/>
    <mergeCell ref="L135:M135"/>
    <mergeCell ref="L134:M134"/>
    <mergeCell ref="L133:M133"/>
    <mergeCell ref="L132:M132"/>
    <mergeCell ref="N136:Q136"/>
    <mergeCell ref="N135:Q135"/>
    <mergeCell ref="N134:Q134"/>
    <mergeCell ref="D141:K141"/>
    <mergeCell ref="D140:K140"/>
    <mergeCell ref="D139:K139"/>
    <mergeCell ref="D138:K138"/>
    <mergeCell ref="N141:Q141"/>
    <mergeCell ref="N140:Q140"/>
    <mergeCell ref="N139:Q139"/>
    <mergeCell ref="N138:Q138"/>
    <mergeCell ref="L141:M141"/>
    <mergeCell ref="L140:M140"/>
    <mergeCell ref="L139:M139"/>
    <mergeCell ref="L138:M138"/>
    <mergeCell ref="D144:K144"/>
    <mergeCell ref="D143:K143"/>
    <mergeCell ref="N158:Q158"/>
    <mergeCell ref="N157:Q157"/>
    <mergeCell ref="N156:Q156"/>
    <mergeCell ref="N155:Q155"/>
    <mergeCell ref="N154:Q154"/>
    <mergeCell ref="N147:Q147"/>
    <mergeCell ref="N146:Q146"/>
    <mergeCell ref="N145:Q145"/>
    <mergeCell ref="N144:Q144"/>
    <mergeCell ref="N143:Q143"/>
    <mergeCell ref="L147:M147"/>
    <mergeCell ref="L146:M146"/>
    <mergeCell ref="L145:M145"/>
    <mergeCell ref="L144:M144"/>
    <mergeCell ref="L143:M143"/>
    <mergeCell ref="N149:Q149"/>
    <mergeCell ref="L158:M158"/>
    <mergeCell ref="L157:M157"/>
    <mergeCell ref="L156:M156"/>
    <mergeCell ref="L155:M155"/>
    <mergeCell ref="L154:M154"/>
    <mergeCell ref="D147:K147"/>
    <mergeCell ref="D146:K146"/>
    <mergeCell ref="D145:K145"/>
    <mergeCell ref="D158:K158"/>
    <mergeCell ref="D157:K157"/>
    <mergeCell ref="D156:K156"/>
    <mergeCell ref="D155:K155"/>
    <mergeCell ref="D154:K154"/>
    <mergeCell ref="N153:Q153"/>
    <mergeCell ref="N152:Q152"/>
    <mergeCell ref="N151:Q151"/>
    <mergeCell ref="N150:Q150"/>
    <mergeCell ref="D153:K153"/>
    <mergeCell ref="D152:K152"/>
    <mergeCell ref="D151:K151"/>
    <mergeCell ref="D150:K150"/>
    <mergeCell ref="D149:K149"/>
    <mergeCell ref="L153:M153"/>
    <mergeCell ref="L152:M152"/>
    <mergeCell ref="L151:M151"/>
    <mergeCell ref="L150:M150"/>
    <mergeCell ref="L149:M149"/>
    <mergeCell ref="D164:K164"/>
    <mergeCell ref="D163:K163"/>
    <mergeCell ref="D162:K162"/>
    <mergeCell ref="D161:K161"/>
    <mergeCell ref="D160:K160"/>
    <mergeCell ref="N162:Q162"/>
    <mergeCell ref="N161:Q161"/>
    <mergeCell ref="N160:Q160"/>
    <mergeCell ref="L165:M165"/>
    <mergeCell ref="L164:M164"/>
    <mergeCell ref="L163:M163"/>
    <mergeCell ref="L162:M162"/>
    <mergeCell ref="L161:M161"/>
    <mergeCell ref="L160:M160"/>
    <mergeCell ref="N165:Q165"/>
    <mergeCell ref="N164:Q164"/>
    <mergeCell ref="N163:Q163"/>
    <mergeCell ref="N168:Q168"/>
    <mergeCell ref="N167:Q167"/>
    <mergeCell ref="L172:M172"/>
    <mergeCell ref="L171:M171"/>
    <mergeCell ref="L170:M170"/>
    <mergeCell ref="L169:M169"/>
    <mergeCell ref="L168:M168"/>
    <mergeCell ref="L167:M167"/>
    <mergeCell ref="D165:K165"/>
    <mergeCell ref="D168:K168"/>
    <mergeCell ref="D167:K167"/>
    <mergeCell ref="D172:K172"/>
    <mergeCell ref="D171:K171"/>
    <mergeCell ref="D170:K170"/>
    <mergeCell ref="D169:K169"/>
    <mergeCell ref="N172:Q172"/>
    <mergeCell ref="N171:Q171"/>
    <mergeCell ref="N170:Q170"/>
    <mergeCell ref="N169:Q169"/>
    <mergeCell ref="D181:K181"/>
    <mergeCell ref="D180:K180"/>
    <mergeCell ref="D178:K178"/>
    <mergeCell ref="D177:K177"/>
    <mergeCell ref="D176:K176"/>
    <mergeCell ref="D175:K175"/>
    <mergeCell ref="D174:K174"/>
    <mergeCell ref="N180:Q180"/>
    <mergeCell ref="N178:Q178"/>
    <mergeCell ref="N177:Q177"/>
    <mergeCell ref="N176:Q176"/>
    <mergeCell ref="N175:Q175"/>
    <mergeCell ref="B8:D8"/>
    <mergeCell ref="B11:Q11"/>
    <mergeCell ref="F12:I12"/>
    <mergeCell ref="J12:M12"/>
    <mergeCell ref="N12:Q12"/>
    <mergeCell ref="P1:Q1"/>
    <mergeCell ref="N1:O1"/>
    <mergeCell ref="D1:M1"/>
    <mergeCell ref="B5:Q5"/>
    <mergeCell ref="B6:D6"/>
    <mergeCell ref="B7:D7"/>
    <mergeCell ref="B9:D9"/>
    <mergeCell ref="B12:E12"/>
    <mergeCell ref="A3:W3"/>
    <mergeCell ref="N7:O7"/>
    <mergeCell ref="P7:Q7"/>
    <mergeCell ref="P9:Q9"/>
    <mergeCell ref="P8:Q8"/>
    <mergeCell ref="N9:O9"/>
    <mergeCell ref="N8:O8"/>
    <mergeCell ref="B18:E18"/>
    <mergeCell ref="F18:I18"/>
    <mergeCell ref="N17:Q17"/>
    <mergeCell ref="N16:Q16"/>
    <mergeCell ref="N15:Q15"/>
    <mergeCell ref="N14:Q14"/>
    <mergeCell ref="N13:Q13"/>
    <mergeCell ref="J17:M17"/>
    <mergeCell ref="J16:M16"/>
    <mergeCell ref="J15:M15"/>
    <mergeCell ref="J14:M14"/>
    <mergeCell ref="J13:M13"/>
    <mergeCell ref="B17:E17"/>
    <mergeCell ref="B16:E16"/>
    <mergeCell ref="B15:E15"/>
    <mergeCell ref="B14:E14"/>
    <mergeCell ref="B13:E13"/>
    <mergeCell ref="B22:D22"/>
    <mergeCell ref="B23:D23"/>
    <mergeCell ref="B24:D24"/>
    <mergeCell ref="E21:K21"/>
    <mergeCell ref="E22:K22"/>
    <mergeCell ref="E23:K23"/>
    <mergeCell ref="E24:P24"/>
    <mergeCell ref="E6:L6"/>
    <mergeCell ref="E7:L7"/>
    <mergeCell ref="E8:H8"/>
    <mergeCell ref="E9:H9"/>
    <mergeCell ref="B20:Q20"/>
    <mergeCell ref="B21:D21"/>
    <mergeCell ref="J18:M18"/>
    <mergeCell ref="N18:Q18"/>
    <mergeCell ref="B19:E19"/>
    <mergeCell ref="F19:I19"/>
    <mergeCell ref="J19:M19"/>
    <mergeCell ref="N19:Q19"/>
    <mergeCell ref="F17:I17"/>
    <mergeCell ref="F16:I16"/>
    <mergeCell ref="F15:I15"/>
    <mergeCell ref="F14:I14"/>
    <mergeCell ref="F13:I13"/>
    <mergeCell ref="B30:E30"/>
    <mergeCell ref="F30:I30"/>
    <mergeCell ref="J30:M30"/>
    <mergeCell ref="B31:E31"/>
    <mergeCell ref="F31:I31"/>
    <mergeCell ref="J31:M31"/>
    <mergeCell ref="N28:Q32"/>
    <mergeCell ref="B26:Q26"/>
    <mergeCell ref="J28:M28"/>
    <mergeCell ref="F28:I28"/>
    <mergeCell ref="B28:E28"/>
    <mergeCell ref="B29:E29"/>
    <mergeCell ref="F29:I29"/>
    <mergeCell ref="J29:M29"/>
    <mergeCell ref="N27:Q27"/>
    <mergeCell ref="J27:M27"/>
    <mergeCell ref="F27:I27"/>
    <mergeCell ref="B27:E27"/>
    <mergeCell ref="B36:C36"/>
    <mergeCell ref="D36:F36"/>
    <mergeCell ref="G36:I36"/>
    <mergeCell ref="O36:Q36"/>
    <mergeCell ref="L36:N36"/>
    <mergeCell ref="B32:E32"/>
    <mergeCell ref="F32:I32"/>
    <mergeCell ref="J32:M32"/>
    <mergeCell ref="B34:I34"/>
    <mergeCell ref="J34:Q34"/>
    <mergeCell ref="B33:Q33"/>
    <mergeCell ref="O35:Q35"/>
    <mergeCell ref="L35:N35"/>
    <mergeCell ref="J35:K35"/>
    <mergeCell ref="G35:I35"/>
    <mergeCell ref="D35:F35"/>
    <mergeCell ref="B35:C35"/>
    <mergeCell ref="J36:K36"/>
    <mergeCell ref="B39:C39"/>
    <mergeCell ref="D39:F39"/>
    <mergeCell ref="G39:I39"/>
    <mergeCell ref="J39:K39"/>
    <mergeCell ref="L39:N39"/>
    <mergeCell ref="O39:Q39"/>
    <mergeCell ref="O37:Q37"/>
    <mergeCell ref="B38:C38"/>
    <mergeCell ref="D38:F38"/>
    <mergeCell ref="G38:I38"/>
    <mergeCell ref="J38:K38"/>
    <mergeCell ref="L38:N38"/>
    <mergeCell ref="O38:Q38"/>
    <mergeCell ref="B37:C37"/>
    <mergeCell ref="D37:F37"/>
    <mergeCell ref="G37:I37"/>
    <mergeCell ref="J37:K37"/>
    <mergeCell ref="L37:N37"/>
    <mergeCell ref="D48:K48"/>
    <mergeCell ref="L48:M48"/>
    <mergeCell ref="D49:K49"/>
    <mergeCell ref="L49:M49"/>
    <mergeCell ref="D50:K50"/>
    <mergeCell ref="L50:M50"/>
    <mergeCell ref="B183:Q183"/>
    <mergeCell ref="D45:K45"/>
    <mergeCell ref="L45:M45"/>
    <mergeCell ref="D46:K46"/>
    <mergeCell ref="L46:M46"/>
    <mergeCell ref="D47:K47"/>
    <mergeCell ref="N52:Q52"/>
    <mergeCell ref="D51:K51"/>
    <mergeCell ref="L51:M51"/>
    <mergeCell ref="N174:Q174"/>
    <mergeCell ref="L181:M181"/>
    <mergeCell ref="L180:M180"/>
    <mergeCell ref="L178:M178"/>
    <mergeCell ref="L177:M177"/>
    <mergeCell ref="L176:M176"/>
    <mergeCell ref="L175:M175"/>
    <mergeCell ref="L174:M174"/>
    <mergeCell ref="N181:Q181"/>
    <mergeCell ref="N53:Q53"/>
    <mergeCell ref="D44:K44"/>
    <mergeCell ref="B189:I189"/>
    <mergeCell ref="B188:I188"/>
    <mergeCell ref="J188:M188"/>
    <mergeCell ref="N188:Q188"/>
    <mergeCell ref="L44:M44"/>
    <mergeCell ref="N44:Q44"/>
    <mergeCell ref="N45:Q45"/>
    <mergeCell ref="N46:Q46"/>
    <mergeCell ref="N47:Q47"/>
    <mergeCell ref="N48:Q48"/>
    <mergeCell ref="B55:Q55"/>
    <mergeCell ref="B45:B53"/>
    <mergeCell ref="N49:Q49"/>
    <mergeCell ref="N50:Q50"/>
    <mergeCell ref="N51:Q51"/>
    <mergeCell ref="B44:C44"/>
    <mergeCell ref="B182:V182"/>
    <mergeCell ref="D52:K52"/>
    <mergeCell ref="L52:M52"/>
    <mergeCell ref="D53:K53"/>
    <mergeCell ref="L53:M53"/>
    <mergeCell ref="L47:M47"/>
    <mergeCell ref="B194:I194"/>
    <mergeCell ref="B195:I195"/>
    <mergeCell ref="N193:Q194"/>
    <mergeCell ref="J193:M194"/>
    <mergeCell ref="B192:I192"/>
    <mergeCell ref="B193:I193"/>
    <mergeCell ref="N191:Q192"/>
    <mergeCell ref="J191:M192"/>
    <mergeCell ref="B190:I190"/>
    <mergeCell ref="B191:I191"/>
    <mergeCell ref="N189:Q190"/>
    <mergeCell ref="J189:M190"/>
    <mergeCell ref="J202:K202"/>
    <mergeCell ref="L202:N202"/>
    <mergeCell ref="B198:I198"/>
    <mergeCell ref="N197:Q198"/>
    <mergeCell ref="J197:M198"/>
    <mergeCell ref="J199:Q199"/>
    <mergeCell ref="F200:Q200"/>
    <mergeCell ref="O202:Q202"/>
    <mergeCell ref="B196:I196"/>
    <mergeCell ref="B197:I197"/>
    <mergeCell ref="N195:Q196"/>
    <mergeCell ref="J195:M196"/>
    <mergeCell ref="B203:C203"/>
    <mergeCell ref="D203:F203"/>
    <mergeCell ref="G203:I203"/>
    <mergeCell ref="J203:K203"/>
    <mergeCell ref="L203:N203"/>
    <mergeCell ref="O203:Q203"/>
    <mergeCell ref="F199:I199"/>
    <mergeCell ref="B205:C205"/>
    <mergeCell ref="D205:F205"/>
    <mergeCell ref="G205:I205"/>
    <mergeCell ref="J205:K205"/>
    <mergeCell ref="L205:N205"/>
    <mergeCell ref="O205:Q205"/>
    <mergeCell ref="B204:C204"/>
    <mergeCell ref="D204:F204"/>
    <mergeCell ref="G204:I204"/>
    <mergeCell ref="J204:K204"/>
    <mergeCell ref="L204:N204"/>
    <mergeCell ref="O204:Q204"/>
    <mergeCell ref="B201:I201"/>
    <mergeCell ref="J201:Q201"/>
    <mergeCell ref="B202:C202"/>
    <mergeCell ref="D202:F202"/>
    <mergeCell ref="G202:I202"/>
  </mergeCells>
  <conditionalFormatting sqref="L57 L184:M184 L206:M1048576 L186:M187">
    <cfRule type="containsText" dxfId="1133" priority="573" operator="containsText" text="Optional">
      <formula>NOT(ISERROR(SEARCH("Optional",L57)))</formula>
    </cfRule>
    <cfRule type="containsText" dxfId="1132" priority="574" operator="containsText" text="Recommend">
      <formula>NOT(ISERROR(SEARCH("Recommend",L57)))</formula>
    </cfRule>
    <cfRule type="containsText" dxfId="1131" priority="575" operator="containsText" text="Required">
      <formula>NOT(ISERROR(SEARCH("Required",L57)))</formula>
    </cfRule>
  </conditionalFormatting>
  <conditionalFormatting sqref="L58">
    <cfRule type="containsText" dxfId="1130" priority="567" operator="containsText" text="Optional">
      <formula>NOT(ISERROR(SEARCH("Optional",L58)))</formula>
    </cfRule>
    <cfRule type="containsText" dxfId="1129" priority="568" operator="containsText" text="Recommend">
      <formula>NOT(ISERROR(SEARCH("Recommend",L58)))</formula>
    </cfRule>
    <cfRule type="containsText" dxfId="1128" priority="569" operator="containsText" text="Required">
      <formula>NOT(ISERROR(SEARCH("Required",L58)))</formula>
    </cfRule>
  </conditionalFormatting>
  <conditionalFormatting sqref="L59:L62">
    <cfRule type="containsText" dxfId="1127" priority="162" operator="containsText" text="Optional">
      <formula>NOT(ISERROR(SEARCH("Optional",L59)))</formula>
    </cfRule>
    <cfRule type="containsText" dxfId="1126" priority="163" operator="containsText" text="Recommend">
      <formula>NOT(ISERROR(SEARCH("Recommend",L59)))</formula>
    </cfRule>
    <cfRule type="containsText" dxfId="1125" priority="164" operator="containsText" text="Required">
      <formula>NOT(ISERROR(SEARCH("Required",L59)))</formula>
    </cfRule>
  </conditionalFormatting>
  <conditionalFormatting sqref="L90:L94">
    <cfRule type="containsText" dxfId="1124" priority="84" operator="containsText" text="Optional">
      <formula>NOT(ISERROR(SEARCH("Optional",L90)))</formula>
    </cfRule>
    <cfRule type="containsText" dxfId="1123" priority="85" operator="containsText" text="Recommend">
      <formula>NOT(ISERROR(SEARCH("Recommend",L90)))</formula>
    </cfRule>
    <cfRule type="containsText" dxfId="1122" priority="86" operator="containsText" text="Required">
      <formula>NOT(ISERROR(SEARCH("Required",L90)))</formula>
    </cfRule>
  </conditionalFormatting>
  <conditionalFormatting sqref="L85:L88">
    <cfRule type="containsText" dxfId="1121" priority="88" operator="containsText" text="Optional">
      <formula>NOT(ISERROR(SEARCH("Optional",L85)))</formula>
    </cfRule>
    <cfRule type="containsText" dxfId="1120" priority="89" operator="containsText" text="Recommend">
      <formula>NOT(ISERROR(SEARCH("Recommend",L85)))</formula>
    </cfRule>
    <cfRule type="containsText" dxfId="1119" priority="90" operator="containsText" text="Required">
      <formula>NOT(ISERROR(SEARCH("Required",L85)))</formula>
    </cfRule>
  </conditionalFormatting>
  <conditionalFormatting sqref="L76:L83">
    <cfRule type="containsText" dxfId="1118" priority="92" operator="containsText" text="Optional">
      <formula>NOT(ISERROR(SEARCH("Optional",L76)))</formula>
    </cfRule>
    <cfRule type="containsText" dxfId="1117" priority="93" operator="containsText" text="Recommend">
      <formula>NOT(ISERROR(SEARCH("Recommend",L76)))</formula>
    </cfRule>
    <cfRule type="containsText" dxfId="1116" priority="94" operator="containsText" text="Required">
      <formula>NOT(ISERROR(SEARCH("Required",L76)))</formula>
    </cfRule>
  </conditionalFormatting>
  <conditionalFormatting sqref="L69:L74">
    <cfRule type="containsText" dxfId="1115" priority="96" operator="containsText" text="Optional">
      <formula>NOT(ISERROR(SEARCH("Optional",L69)))</formula>
    </cfRule>
    <cfRule type="containsText" dxfId="1114" priority="97" operator="containsText" text="Recommend">
      <formula>NOT(ISERROR(SEARCH("Recommend",L69)))</formula>
    </cfRule>
    <cfRule type="containsText" dxfId="1113" priority="98" operator="containsText" text="Required">
      <formula>NOT(ISERROR(SEARCH("Required",L69)))</formula>
    </cfRule>
  </conditionalFormatting>
  <conditionalFormatting sqref="L64:L67">
    <cfRule type="containsText" dxfId="1112" priority="100" operator="containsText" text="Optional">
      <formula>NOT(ISERROR(SEARCH("Optional",L64)))</formula>
    </cfRule>
    <cfRule type="containsText" dxfId="1111" priority="101" operator="containsText" text="Recommend">
      <formula>NOT(ISERROR(SEARCH("Recommend",L64)))</formula>
    </cfRule>
    <cfRule type="containsText" dxfId="1110" priority="102" operator="containsText" text="Required">
      <formula>NOT(ISERROR(SEARCH("Required",L64)))</formula>
    </cfRule>
  </conditionalFormatting>
  <conditionalFormatting sqref="L58:M62">
    <cfRule type="containsBlanks" dxfId="1109" priority="103">
      <formula>LEN(TRIM(L58))=0</formula>
    </cfRule>
  </conditionalFormatting>
  <conditionalFormatting sqref="L64:M67">
    <cfRule type="containsBlanks" dxfId="1108" priority="99">
      <formula>LEN(TRIM(L64))=0</formula>
    </cfRule>
  </conditionalFormatting>
  <conditionalFormatting sqref="L69:M74">
    <cfRule type="containsBlanks" dxfId="1107" priority="95">
      <formula>LEN(TRIM(L69))=0</formula>
    </cfRule>
  </conditionalFormatting>
  <conditionalFormatting sqref="L76:M83">
    <cfRule type="containsBlanks" dxfId="1106" priority="91">
      <formula>LEN(TRIM(L76))=0</formula>
    </cfRule>
  </conditionalFormatting>
  <conditionalFormatting sqref="L85:M88">
    <cfRule type="containsBlanks" dxfId="1105" priority="87">
      <formula>LEN(TRIM(L85))=0</formula>
    </cfRule>
  </conditionalFormatting>
  <conditionalFormatting sqref="L96:L101">
    <cfRule type="containsText" dxfId="1104" priority="80" operator="containsText" text="Optional">
      <formula>NOT(ISERROR(SEARCH("Optional",L96)))</formula>
    </cfRule>
    <cfRule type="containsText" dxfId="1103" priority="81" operator="containsText" text="Recommend">
      <formula>NOT(ISERROR(SEARCH("Recommend",L96)))</formula>
    </cfRule>
    <cfRule type="containsText" dxfId="1102" priority="82" operator="containsText" text="Required">
      <formula>NOT(ISERROR(SEARCH("Required",L96)))</formula>
    </cfRule>
  </conditionalFormatting>
  <conditionalFormatting sqref="L90:M94">
    <cfRule type="containsBlanks" dxfId="1101" priority="83">
      <formula>LEN(TRIM(L90))=0</formula>
    </cfRule>
  </conditionalFormatting>
  <conditionalFormatting sqref="L96:M101">
    <cfRule type="containsBlanks" dxfId="1100" priority="79">
      <formula>LEN(TRIM(L96))=0</formula>
    </cfRule>
  </conditionalFormatting>
  <conditionalFormatting sqref="L103:L106">
    <cfRule type="containsText" dxfId="1099" priority="76" operator="containsText" text="Optional">
      <formula>NOT(ISERROR(SEARCH("Optional",L103)))</formula>
    </cfRule>
    <cfRule type="containsText" dxfId="1098" priority="77" operator="containsText" text="Recommend">
      <formula>NOT(ISERROR(SEARCH("Recommend",L103)))</formula>
    </cfRule>
    <cfRule type="containsText" dxfId="1097" priority="78" operator="containsText" text="Required">
      <formula>NOT(ISERROR(SEARCH("Required",L103)))</formula>
    </cfRule>
  </conditionalFormatting>
  <conditionalFormatting sqref="L103:M106">
    <cfRule type="containsBlanks" dxfId="1096" priority="75">
      <formula>LEN(TRIM(L103))=0</formula>
    </cfRule>
  </conditionalFormatting>
  <conditionalFormatting sqref="L108:L111">
    <cfRule type="containsText" dxfId="1095" priority="72" operator="containsText" text="Optional">
      <formula>NOT(ISERROR(SEARCH("Optional",L108)))</formula>
    </cfRule>
    <cfRule type="containsText" dxfId="1094" priority="73" operator="containsText" text="Recommend">
      <formula>NOT(ISERROR(SEARCH("Recommend",L108)))</formula>
    </cfRule>
    <cfRule type="containsText" dxfId="1093" priority="74" operator="containsText" text="Required">
      <formula>NOT(ISERROR(SEARCH("Required",L108)))</formula>
    </cfRule>
  </conditionalFormatting>
  <conditionalFormatting sqref="L108:M111">
    <cfRule type="containsBlanks" dxfId="1092" priority="71">
      <formula>LEN(TRIM(L108))=0</formula>
    </cfRule>
  </conditionalFormatting>
  <conditionalFormatting sqref="L113:L117">
    <cfRule type="containsText" dxfId="1091" priority="68" operator="containsText" text="Optional">
      <formula>NOT(ISERROR(SEARCH("Optional",L113)))</formula>
    </cfRule>
    <cfRule type="containsText" dxfId="1090" priority="69" operator="containsText" text="Recommend">
      <formula>NOT(ISERROR(SEARCH("Recommend",L113)))</formula>
    </cfRule>
    <cfRule type="containsText" dxfId="1089" priority="70" operator="containsText" text="Required">
      <formula>NOT(ISERROR(SEARCH("Required",L113)))</formula>
    </cfRule>
  </conditionalFormatting>
  <conditionalFormatting sqref="L113:M117">
    <cfRule type="containsBlanks" dxfId="1088" priority="67">
      <formula>LEN(TRIM(L113))=0</formula>
    </cfRule>
  </conditionalFormatting>
  <conditionalFormatting sqref="L119:L123">
    <cfRule type="containsText" dxfId="1087" priority="64" operator="containsText" text="Optional">
      <formula>NOT(ISERROR(SEARCH("Optional",L119)))</formula>
    </cfRule>
    <cfRule type="containsText" dxfId="1086" priority="65" operator="containsText" text="Recommend">
      <formula>NOT(ISERROR(SEARCH("Recommend",L119)))</formula>
    </cfRule>
    <cfRule type="containsText" dxfId="1085" priority="66" operator="containsText" text="Required">
      <formula>NOT(ISERROR(SEARCH("Required",L119)))</formula>
    </cfRule>
  </conditionalFormatting>
  <conditionalFormatting sqref="L119:M123">
    <cfRule type="containsBlanks" dxfId="1084" priority="63">
      <formula>LEN(TRIM(L119))=0</formula>
    </cfRule>
  </conditionalFormatting>
  <conditionalFormatting sqref="L125:L130">
    <cfRule type="containsText" dxfId="1083" priority="60" operator="containsText" text="Optional">
      <formula>NOT(ISERROR(SEARCH("Optional",L125)))</formula>
    </cfRule>
    <cfRule type="containsText" dxfId="1082" priority="61" operator="containsText" text="Recommend">
      <formula>NOT(ISERROR(SEARCH("Recommend",L125)))</formula>
    </cfRule>
    <cfRule type="containsText" dxfId="1081" priority="62" operator="containsText" text="Required">
      <formula>NOT(ISERROR(SEARCH("Required",L125)))</formula>
    </cfRule>
  </conditionalFormatting>
  <conditionalFormatting sqref="L125:M130">
    <cfRule type="containsBlanks" dxfId="1080" priority="59">
      <formula>LEN(TRIM(L125))=0</formula>
    </cfRule>
  </conditionalFormatting>
  <conditionalFormatting sqref="L132:L136">
    <cfRule type="containsText" dxfId="1079" priority="56" operator="containsText" text="Optional">
      <formula>NOT(ISERROR(SEARCH("Optional",L132)))</formula>
    </cfRule>
    <cfRule type="containsText" dxfId="1078" priority="57" operator="containsText" text="Recommend">
      <formula>NOT(ISERROR(SEARCH("Recommend",L132)))</formula>
    </cfRule>
    <cfRule type="containsText" dxfId="1077" priority="58" operator="containsText" text="Required">
      <formula>NOT(ISERROR(SEARCH("Required",L132)))</formula>
    </cfRule>
  </conditionalFormatting>
  <conditionalFormatting sqref="L132:M136">
    <cfRule type="containsBlanks" dxfId="1076" priority="55">
      <formula>LEN(TRIM(L132))=0</formula>
    </cfRule>
  </conditionalFormatting>
  <conditionalFormatting sqref="L138:L141">
    <cfRule type="containsText" dxfId="1075" priority="52" operator="containsText" text="Optional">
      <formula>NOT(ISERROR(SEARCH("Optional",L138)))</formula>
    </cfRule>
    <cfRule type="containsText" dxfId="1074" priority="53" operator="containsText" text="Recommend">
      <formula>NOT(ISERROR(SEARCH("Recommend",L138)))</formula>
    </cfRule>
    <cfRule type="containsText" dxfId="1073" priority="54" operator="containsText" text="Required">
      <formula>NOT(ISERROR(SEARCH("Required",L138)))</formula>
    </cfRule>
  </conditionalFormatting>
  <conditionalFormatting sqref="L138:M141">
    <cfRule type="containsBlanks" dxfId="1072" priority="51">
      <formula>LEN(TRIM(L138))=0</formula>
    </cfRule>
  </conditionalFormatting>
  <conditionalFormatting sqref="L143:L147">
    <cfRule type="containsText" dxfId="1071" priority="48" operator="containsText" text="Optional">
      <formula>NOT(ISERROR(SEARCH("Optional",L143)))</formula>
    </cfRule>
    <cfRule type="containsText" dxfId="1070" priority="49" operator="containsText" text="Recommend">
      <formula>NOT(ISERROR(SEARCH("Recommend",L143)))</formula>
    </cfRule>
    <cfRule type="containsText" dxfId="1069" priority="50" operator="containsText" text="Required">
      <formula>NOT(ISERROR(SEARCH("Required",L143)))</formula>
    </cfRule>
  </conditionalFormatting>
  <conditionalFormatting sqref="L143:M147">
    <cfRule type="containsBlanks" dxfId="1068" priority="47">
      <formula>LEN(TRIM(L143))=0</formula>
    </cfRule>
  </conditionalFormatting>
  <conditionalFormatting sqref="L149:L158">
    <cfRule type="containsText" dxfId="1067" priority="44" operator="containsText" text="Optional">
      <formula>NOT(ISERROR(SEARCH("Optional",L149)))</formula>
    </cfRule>
    <cfRule type="containsText" dxfId="1066" priority="45" operator="containsText" text="Recommend">
      <formula>NOT(ISERROR(SEARCH("Recommend",L149)))</formula>
    </cfRule>
    <cfRule type="containsText" dxfId="1065" priority="46" operator="containsText" text="Required">
      <formula>NOT(ISERROR(SEARCH("Required",L149)))</formula>
    </cfRule>
  </conditionalFormatting>
  <conditionalFormatting sqref="L149:M158">
    <cfRule type="containsBlanks" dxfId="1064" priority="43">
      <formula>LEN(TRIM(L149))=0</formula>
    </cfRule>
  </conditionalFormatting>
  <conditionalFormatting sqref="L160:L165">
    <cfRule type="containsText" dxfId="1063" priority="40" operator="containsText" text="Optional">
      <formula>NOT(ISERROR(SEARCH("Optional",L160)))</formula>
    </cfRule>
    <cfRule type="containsText" dxfId="1062" priority="41" operator="containsText" text="Recommend">
      <formula>NOT(ISERROR(SEARCH("Recommend",L160)))</formula>
    </cfRule>
    <cfRule type="containsText" dxfId="1061" priority="42" operator="containsText" text="Required">
      <formula>NOT(ISERROR(SEARCH("Required",L160)))</formula>
    </cfRule>
  </conditionalFormatting>
  <conditionalFormatting sqref="L160:M165">
    <cfRule type="containsBlanks" dxfId="1060" priority="39">
      <formula>LEN(TRIM(L160))=0</formula>
    </cfRule>
  </conditionalFormatting>
  <conditionalFormatting sqref="L167:L172">
    <cfRule type="containsText" dxfId="1059" priority="36" operator="containsText" text="Optional">
      <formula>NOT(ISERROR(SEARCH("Optional",L167)))</formula>
    </cfRule>
    <cfRule type="containsText" dxfId="1058" priority="37" operator="containsText" text="Recommend">
      <formula>NOT(ISERROR(SEARCH("Recommend",L167)))</formula>
    </cfRule>
    <cfRule type="containsText" dxfId="1057" priority="38" operator="containsText" text="Required">
      <formula>NOT(ISERROR(SEARCH("Required",L167)))</formula>
    </cfRule>
  </conditionalFormatting>
  <conditionalFormatting sqref="L167:M172">
    <cfRule type="containsBlanks" dxfId="1056" priority="35">
      <formula>LEN(TRIM(L167))=0</formula>
    </cfRule>
  </conditionalFormatting>
  <conditionalFormatting sqref="L174:L178">
    <cfRule type="containsText" dxfId="1055" priority="32" operator="containsText" text="Optional">
      <formula>NOT(ISERROR(SEARCH("Optional",L174)))</formula>
    </cfRule>
    <cfRule type="containsText" dxfId="1054" priority="33" operator="containsText" text="Recommend">
      <formula>NOT(ISERROR(SEARCH("Recommend",L174)))</formula>
    </cfRule>
    <cfRule type="containsText" dxfId="1053" priority="34" operator="containsText" text="Required">
      <formula>NOT(ISERROR(SEARCH("Required",L174)))</formula>
    </cfRule>
  </conditionalFormatting>
  <conditionalFormatting sqref="L174:M178">
    <cfRule type="containsBlanks" dxfId="1052" priority="31">
      <formula>LEN(TRIM(L174))=0</formula>
    </cfRule>
  </conditionalFormatting>
  <conditionalFormatting sqref="L180:L181">
    <cfRule type="containsText" dxfId="1051" priority="28" operator="containsText" text="Optional">
      <formula>NOT(ISERROR(SEARCH("Optional",L180)))</formula>
    </cfRule>
    <cfRule type="containsText" dxfId="1050" priority="29" operator="containsText" text="Recommend">
      <formula>NOT(ISERROR(SEARCH("Recommend",L180)))</formula>
    </cfRule>
    <cfRule type="containsText" dxfId="1049" priority="30" operator="containsText" text="Required">
      <formula>NOT(ISERROR(SEARCH("Required",L180)))</formula>
    </cfRule>
  </conditionalFormatting>
  <conditionalFormatting sqref="L180:M181">
    <cfRule type="containsBlanks" dxfId="1048" priority="27">
      <formula>LEN(TRIM(L180))=0</formula>
    </cfRule>
  </conditionalFormatting>
  <conditionalFormatting sqref="L45:L53">
    <cfRule type="containsText" dxfId="1047" priority="24" operator="containsText" text="Optional">
      <formula>NOT(ISERROR(SEARCH("Optional",L45)))</formula>
    </cfRule>
    <cfRule type="containsText" dxfId="1046" priority="25" operator="containsText" text="Recommend">
      <formula>NOT(ISERROR(SEARCH("Recommend",L45)))</formula>
    </cfRule>
    <cfRule type="containsText" dxfId="1045" priority="26" operator="containsText" text="Required">
      <formula>NOT(ISERROR(SEARCH("Required",L45)))</formula>
    </cfRule>
  </conditionalFormatting>
  <conditionalFormatting sqref="L45:M53">
    <cfRule type="containsBlanks" dxfId="1044" priority="23">
      <formula>LEN(TRIM(L45))=0</formula>
    </cfRule>
  </conditionalFormatting>
  <conditionalFormatting sqref="L44">
    <cfRule type="containsText" dxfId="1043" priority="20" operator="containsText" text="Optional">
      <formula>NOT(ISERROR(SEARCH("Optional",L44)))</formula>
    </cfRule>
    <cfRule type="containsText" dxfId="1042" priority="21" operator="containsText" text="Recommend">
      <formula>NOT(ISERROR(SEARCH("Recommend",L44)))</formula>
    </cfRule>
    <cfRule type="containsText" dxfId="1041" priority="22" operator="containsText" text="Required">
      <formula>NOT(ISERROR(SEARCH("Required",L44)))</formula>
    </cfRule>
  </conditionalFormatting>
  <conditionalFormatting sqref="B183:V183">
    <cfRule type="containsText" dxfId="1040" priority="15" operator="containsText" text="MISSING">
      <formula>NOT(ISERROR(SEARCH("MISSING",B183)))</formula>
    </cfRule>
    <cfRule type="containsText" dxfId="1039" priority="16" operator="containsText" text="COMPLETE">
      <formula>NOT(ISERROR(SEARCH("COMPLETE",B183)))</formula>
    </cfRule>
  </conditionalFormatting>
  <conditionalFormatting sqref="B29:E32">
    <cfRule type="expression" dxfId="1038" priority="13">
      <formula>N29&gt;="Unknown"</formula>
    </cfRule>
  </conditionalFormatting>
  <conditionalFormatting sqref="E22:K22 B28:M28">
    <cfRule type="containsBlanks" dxfId="1037" priority="12">
      <formula>LEN(TRIM(B22))=0</formula>
    </cfRule>
  </conditionalFormatting>
  <conditionalFormatting sqref="E6">
    <cfRule type="containsBlanks" dxfId="1036" priority="11">
      <formula>LEN(TRIM(E6))=0</formula>
    </cfRule>
  </conditionalFormatting>
  <conditionalFormatting sqref="P6">
    <cfRule type="containsBlanks" dxfId="1035" priority="10">
      <formula>LEN(TRIM(P6))=0</formula>
    </cfRule>
  </conditionalFormatting>
  <conditionalFormatting sqref="J189:Q198">
    <cfRule type="containsErrors" dxfId="1034" priority="576">
      <formula>ISERROR(J189)</formula>
    </cfRule>
  </conditionalFormatting>
  <conditionalFormatting sqref="P187">
    <cfRule type="containsText" dxfId="1033" priority="6" operator="containsText" text="Optional">
      <formula>NOT(ISERROR(SEARCH("Optional",P187)))</formula>
    </cfRule>
    <cfRule type="containsText" dxfId="1032" priority="7" operator="containsText" text="Recommend">
      <formula>NOT(ISERROR(SEARCH("Recommend",P187)))</formula>
    </cfRule>
    <cfRule type="containsText" dxfId="1031" priority="8" operator="containsText" text="Required">
      <formula>NOT(ISERROR(SEARCH("Required",P187)))</formula>
    </cfRule>
  </conditionalFormatting>
  <conditionalFormatting sqref="P187:Q187">
    <cfRule type="containsBlanks" dxfId="1030" priority="5">
      <formula>LEN(TRIM(P187))=0</formula>
    </cfRule>
  </conditionalFormatting>
  <conditionalFormatting sqref="P8:Q8">
    <cfRule type="expression" dxfId="1029" priority="4">
      <formula>ISBLANK($P7)</formula>
    </cfRule>
  </conditionalFormatting>
  <conditionalFormatting sqref="N8:O8">
    <cfRule type="expression" dxfId="1028" priority="3">
      <formula>ISBLANK($P7)</formula>
    </cfRule>
  </conditionalFormatting>
  <conditionalFormatting sqref="P9:Q9">
    <cfRule type="expression" dxfId="1027" priority="2">
      <formula>ISBLANK($P7)</formula>
    </cfRule>
  </conditionalFormatting>
  <conditionalFormatting sqref="N9:O9">
    <cfRule type="expression" dxfId="1026" priority="1">
      <formula>ISBLANK($P7)</formula>
    </cfRule>
  </conditionalFormatting>
  <dataValidations count="9">
    <dataValidation type="list" allowBlank="1" showInputMessage="1" showErrorMessage="1" sqref="L167:L172 L58:L62 L64:L67 L69:L74 L76:L83 L85:L88 L90:L94 L96:L101 L103:L106 L108:L111 L113:L117 L119:L123 L125:L130 L132:L136 L138:L141 L143:L147 L149:L158 L160:L165 L180:L181 L174:L178" xr:uid="{5FCDEC49-185E-42DE-AC8E-777DC7DCA135}">
      <formula1>"Yes, No, Customer Responsibility"</formula1>
    </dataValidation>
    <dataValidation type="list" allowBlank="1" showInputMessage="1" showErrorMessage="1" sqref="E21:K21" xr:uid="{C7DBCC3C-1D1A-467F-AE9D-D1E4E0CF071F}">
      <formula1>"New to environment, Existing but never evaluated, Upgrade to existing technology"</formula1>
    </dataValidation>
    <dataValidation type="list" allowBlank="1" showInputMessage="1" showErrorMessage="1" sqref="E22:K22" xr:uid="{2DAF219B-1944-48E0-8068-32B086A9E62B}">
      <formula1>"Small group of users, Single department, Campus, Entire organization, Patients/General Public"</formula1>
    </dataValidation>
    <dataValidation type="list" allowBlank="1" showInputMessage="1" showErrorMessage="1" sqref="E23:K23" xr:uid="{C12D3286-50F0-4B32-A04C-C0E65B3A5D93}">
      <formula1>"Solely managed by Customer, Solely managed by Vendor/Provider or Vendor provided 3rd party,Co-managed by Customer &amp; Vendor/Provider"</formula1>
    </dataValidation>
    <dataValidation type="list" allowBlank="1" showInputMessage="1" showErrorMessage="1" sqref="B28:E32" xr:uid="{CA03C3FC-7BE2-429F-A3BA-3AB354A75B33}">
      <formula1>"PHI (Personal Health Information), PII (Personally Identifiable Information), CHD (Cardholder Data), Company Confidential, Student Data, Financial Data, System Service Level Data, Non-Sensitive, Other..."</formula1>
    </dataValidation>
    <dataValidation type="list" allowBlank="1" showInputMessage="1" showErrorMessage="1" sqref="F28:I32" xr:uid="{04A0D105-7AB0-467C-A138-99DE1209E895}">
      <formula1>"P1 - Public, P2 - Internal Data, P3 - Sensitive, P4 - Highly Sensitive"</formula1>
    </dataValidation>
    <dataValidation type="list" allowBlank="1" showInputMessage="1" showErrorMessage="1" sqref="J28:M32" xr:uid="{74A31263-F7EC-47BC-9B9A-303D509A1771}">
      <formula1>"A1 - Minimal, A2 - Low, A3 - Moderate, A4 - High"</formula1>
    </dataValidation>
    <dataValidation type="list" allowBlank="1" showInputMessage="1" showErrorMessage="1" sqref="L45:M48" xr:uid="{8DA7DED3-4D93-4CF7-91A1-B6085489F2C1}">
      <formula1>"Yes, No"</formula1>
    </dataValidation>
    <dataValidation type="list" allowBlank="1" showInputMessage="1" showErrorMessage="1" sqref="L49:M53" xr:uid="{D88B0E30-16EF-4968-B9D5-1262A205507E}">
      <formula1>"Yes, No, N/A"</formula1>
    </dataValidation>
  </dataValidations>
  <printOptions horizontalCentered="1" verticalCentered="1"/>
  <pageMargins left="0.25" right="0.25" top="0.75" bottom="0.75" header="0.3" footer="0.3"/>
  <pageSetup scale="84" fitToHeight="0" orientation="landscape" r:id="rId1"/>
  <ignoredErrors>
    <ignoredError sqref="C158" numberStoredAsText="1"/>
    <ignoredError sqref="P9" evalError="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2BDE-08BD-334C-9BC2-5A558B424C75}">
  <sheetPr>
    <tabColor rgb="FFC00000"/>
    <pageSetUpPr fitToPage="1"/>
  </sheetPr>
  <dimension ref="A1:T145"/>
  <sheetViews>
    <sheetView showGridLines="0" zoomScale="70" zoomScaleNormal="70" workbookViewId="0">
      <selection activeCell="W16" sqref="W16"/>
    </sheetView>
  </sheetViews>
  <sheetFormatPr baseColWidth="10" defaultColWidth="11" defaultRowHeight="16"/>
  <cols>
    <col min="1" max="1" width="5.83203125" customWidth="1"/>
    <col min="2" max="9" width="11.1640625" customWidth="1"/>
    <col min="10" max="19" width="12.33203125" customWidth="1"/>
    <col min="20" max="20" width="5.83203125" customWidth="1"/>
    <col min="21" max="21" width="11" customWidth="1"/>
  </cols>
  <sheetData>
    <row r="1" spans="1:20" ht="67.5" customHeight="1" thickBot="1">
      <c r="A1" s="299"/>
      <c r="B1" s="299"/>
      <c r="C1" s="331"/>
      <c r="D1" s="331"/>
      <c r="E1" s="600" t="s">
        <v>1716</v>
      </c>
      <c r="F1" s="600"/>
      <c r="G1" s="600"/>
      <c r="H1" s="600"/>
      <c r="I1" s="600"/>
      <c r="J1" s="600"/>
      <c r="K1" s="600"/>
      <c r="L1" s="600"/>
      <c r="M1" s="600"/>
      <c r="N1" s="600"/>
      <c r="O1" s="600"/>
      <c r="P1" s="600"/>
      <c r="Q1" s="331"/>
      <c r="R1" s="331"/>
      <c r="S1" s="558" t="e">
        <f>'VENDOR QUESTIONNAIRE'!P7:Q7</f>
        <v>#VALUE!</v>
      </c>
      <c r="T1" s="559"/>
    </row>
    <row r="2" spans="1:20" ht="30" thickTop="1">
      <c r="A2" s="334"/>
      <c r="B2" s="335"/>
      <c r="C2" s="332"/>
      <c r="D2" s="332"/>
      <c r="E2" s="601">
        <f>'VENDOR QUESTIONNAIRE'!E6</f>
        <v>0</v>
      </c>
      <c r="F2" s="601"/>
      <c r="G2" s="601"/>
      <c r="H2" s="601"/>
      <c r="I2" s="601"/>
      <c r="J2" s="601"/>
      <c r="K2" s="601"/>
      <c r="L2" s="601"/>
      <c r="M2" s="601"/>
      <c r="N2" s="601"/>
      <c r="O2" s="601"/>
      <c r="P2" s="601"/>
      <c r="Q2" s="332"/>
      <c r="R2" s="332"/>
      <c r="S2" s="332"/>
      <c r="T2" s="333"/>
    </row>
    <row r="3" spans="1:20" ht="17" thickBot="1">
      <c r="A3" s="234"/>
      <c r="B3" s="296"/>
      <c r="C3" s="296"/>
      <c r="D3" s="296"/>
      <c r="E3" s="296"/>
      <c r="F3" s="296"/>
      <c r="G3" s="296"/>
      <c r="H3" s="296"/>
      <c r="I3" s="296"/>
      <c r="J3" s="296"/>
      <c r="K3" s="296"/>
      <c r="L3" s="296"/>
      <c r="M3" s="296"/>
      <c r="N3" s="296"/>
      <c r="O3" s="296"/>
      <c r="P3" s="296"/>
      <c r="Q3" s="296"/>
      <c r="R3" s="296"/>
      <c r="S3" s="296"/>
      <c r="T3" s="235"/>
    </row>
    <row r="4" spans="1:20" s="92" customFormat="1" ht="20" customHeight="1">
      <c r="A4" s="293"/>
      <c r="B4" s="294"/>
      <c r="C4" s="567" t="s">
        <v>1334</v>
      </c>
      <c r="D4" s="568"/>
      <c r="E4" s="567" t="s">
        <v>1317</v>
      </c>
      <c r="F4" s="568"/>
      <c r="G4" s="567" t="s">
        <v>1400</v>
      </c>
      <c r="H4" s="568"/>
      <c r="I4" s="294"/>
      <c r="J4" s="294"/>
      <c r="K4" s="571" t="s">
        <v>1392</v>
      </c>
      <c r="L4" s="572"/>
      <c r="M4" s="575" t="s">
        <v>1348</v>
      </c>
      <c r="N4" s="576"/>
      <c r="O4" s="579" t="s">
        <v>1520</v>
      </c>
      <c r="P4" s="580"/>
      <c r="Q4" s="592" t="s">
        <v>1393</v>
      </c>
      <c r="R4" s="593"/>
      <c r="S4" s="294"/>
      <c r="T4" s="295"/>
    </row>
    <row r="5" spans="1:20" s="92" customFormat="1" ht="20" customHeight="1" thickBot="1">
      <c r="A5" s="293"/>
      <c r="B5" s="294"/>
      <c r="C5" s="569"/>
      <c r="D5" s="570"/>
      <c r="E5" s="569"/>
      <c r="F5" s="570"/>
      <c r="G5" s="569"/>
      <c r="H5" s="570"/>
      <c r="I5" s="294"/>
      <c r="J5" s="294"/>
      <c r="K5" s="573"/>
      <c r="L5" s="574"/>
      <c r="M5" s="577"/>
      <c r="N5" s="578"/>
      <c r="O5" s="581"/>
      <c r="P5" s="582"/>
      <c r="Q5" s="594"/>
      <c r="R5" s="595"/>
      <c r="S5" s="294"/>
      <c r="T5" s="295"/>
    </row>
    <row r="6" spans="1:20" ht="16" customHeight="1">
      <c r="A6" s="234"/>
      <c r="B6" s="296"/>
      <c r="C6" s="532" t="str">
        <f>'Risk Calc'!U14</f>
        <v>Unknown</v>
      </c>
      <c r="D6" s="533"/>
      <c r="E6" s="532" t="str">
        <f>'Risk Calc'!AD58</f>
        <v>Unknown</v>
      </c>
      <c r="F6" s="533"/>
      <c r="G6" s="532" t="str">
        <f>'Risk Calc'!AB79</f>
        <v>Unknown</v>
      </c>
      <c r="H6" s="533"/>
      <c r="I6" s="296"/>
      <c r="J6" s="296"/>
      <c r="K6" s="540">
        <f>J38</f>
        <v>0</v>
      </c>
      <c r="L6" s="541"/>
      <c r="M6" s="540">
        <f>L38</f>
        <v>0</v>
      </c>
      <c r="N6" s="541"/>
      <c r="O6" s="540">
        <f>M38</f>
        <v>0</v>
      </c>
      <c r="P6" s="541"/>
      <c r="Q6" s="540">
        <f>M93+M94+M95+M96+M97</f>
        <v>0</v>
      </c>
      <c r="R6" s="541"/>
      <c r="S6" s="296"/>
      <c r="T6" s="235"/>
    </row>
    <row r="7" spans="1:20" ht="16" customHeight="1">
      <c r="A7" s="234"/>
      <c r="B7" s="296"/>
      <c r="C7" s="534"/>
      <c r="D7" s="535"/>
      <c r="E7" s="534"/>
      <c r="F7" s="535"/>
      <c r="G7" s="534"/>
      <c r="H7" s="535"/>
      <c r="I7" s="296"/>
      <c r="J7" s="296"/>
      <c r="K7" s="542"/>
      <c r="L7" s="543"/>
      <c r="M7" s="542"/>
      <c r="N7" s="543"/>
      <c r="O7" s="542"/>
      <c r="P7" s="543"/>
      <c r="Q7" s="542"/>
      <c r="R7" s="543"/>
      <c r="S7" s="296"/>
      <c r="T7" s="235"/>
    </row>
    <row r="8" spans="1:20" ht="16" customHeight="1">
      <c r="A8" s="234"/>
      <c r="B8" s="296"/>
      <c r="C8" s="534"/>
      <c r="D8" s="535"/>
      <c r="E8" s="534"/>
      <c r="F8" s="535"/>
      <c r="G8" s="534"/>
      <c r="H8" s="535"/>
      <c r="I8" s="296"/>
      <c r="J8" s="296"/>
      <c r="K8" s="542"/>
      <c r="L8" s="543"/>
      <c r="M8" s="542"/>
      <c r="N8" s="543"/>
      <c r="O8" s="542"/>
      <c r="P8" s="543"/>
      <c r="Q8" s="542"/>
      <c r="R8" s="543"/>
      <c r="S8" s="296"/>
      <c r="T8" s="235"/>
    </row>
    <row r="9" spans="1:20" ht="16" customHeight="1">
      <c r="A9" s="234"/>
      <c r="B9" s="296"/>
      <c r="C9" s="534"/>
      <c r="D9" s="535"/>
      <c r="E9" s="534"/>
      <c r="F9" s="535"/>
      <c r="G9" s="534"/>
      <c r="H9" s="535"/>
      <c r="I9" s="296"/>
      <c r="J9" s="296"/>
      <c r="K9" s="542"/>
      <c r="L9" s="543"/>
      <c r="M9" s="542"/>
      <c r="N9" s="543"/>
      <c r="O9" s="542"/>
      <c r="P9" s="543"/>
      <c r="Q9" s="542"/>
      <c r="R9" s="543"/>
      <c r="S9" s="296"/>
      <c r="T9" s="235"/>
    </row>
    <row r="10" spans="1:20" ht="17" customHeight="1" thickBot="1">
      <c r="A10" s="234"/>
      <c r="B10" s="296"/>
      <c r="C10" s="536"/>
      <c r="D10" s="537"/>
      <c r="E10" s="536"/>
      <c r="F10" s="537"/>
      <c r="G10" s="536"/>
      <c r="H10" s="537"/>
      <c r="I10" s="296"/>
      <c r="J10" s="296"/>
      <c r="K10" s="544"/>
      <c r="L10" s="545"/>
      <c r="M10" s="544"/>
      <c r="N10" s="545"/>
      <c r="O10" s="544"/>
      <c r="P10" s="545"/>
      <c r="Q10" s="544"/>
      <c r="R10" s="545"/>
      <c r="S10" s="296"/>
      <c r="T10" s="235"/>
    </row>
    <row r="11" spans="1:20">
      <c r="A11" s="234"/>
      <c r="B11" s="296"/>
      <c r="C11" s="296"/>
      <c r="D11" s="296"/>
      <c r="E11" s="296"/>
      <c r="F11" s="296"/>
      <c r="G11" s="296"/>
      <c r="H11" s="296"/>
      <c r="I11" s="538"/>
      <c r="J11" s="538"/>
      <c r="K11" s="539"/>
      <c r="L11" s="539"/>
      <c r="M11" s="539"/>
      <c r="N11" s="539"/>
      <c r="O11" s="296"/>
      <c r="P11" s="296"/>
      <c r="Q11" s="296"/>
      <c r="R11" s="296"/>
      <c r="S11" s="296"/>
      <c r="T11" s="235"/>
    </row>
    <row r="12" spans="1:20">
      <c r="A12" s="234"/>
      <c r="B12" s="521" t="s">
        <v>1347</v>
      </c>
      <c r="C12" s="521"/>
      <c r="D12" s="521"/>
      <c r="E12" s="521"/>
      <c r="F12" s="521"/>
      <c r="G12" s="521"/>
      <c r="H12" s="521"/>
      <c r="I12" s="521"/>
      <c r="J12" s="521"/>
      <c r="K12" s="521"/>
      <c r="L12" s="521"/>
      <c r="M12" s="521"/>
      <c r="N12" s="521"/>
      <c r="O12" s="521"/>
      <c r="P12" s="521"/>
      <c r="Q12" s="521"/>
      <c r="R12" s="521"/>
      <c r="S12" s="521"/>
      <c r="T12" s="235"/>
    </row>
    <row r="13" spans="1:20" ht="17" thickBot="1">
      <c r="A13" s="234"/>
      <c r="B13" s="521"/>
      <c r="C13" s="521"/>
      <c r="D13" s="521"/>
      <c r="E13" s="521"/>
      <c r="F13" s="521"/>
      <c r="G13" s="521"/>
      <c r="H13" s="521"/>
      <c r="I13" s="521"/>
      <c r="J13" s="521"/>
      <c r="K13" s="521"/>
      <c r="L13" s="521"/>
      <c r="M13" s="521"/>
      <c r="N13" s="521"/>
      <c r="O13" s="521"/>
      <c r="P13" s="521"/>
      <c r="Q13" s="521"/>
      <c r="R13" s="521"/>
      <c r="S13" s="521"/>
      <c r="T13" s="235"/>
    </row>
    <row r="14" spans="1:20" ht="16.5" customHeight="1" thickBot="1">
      <c r="A14" s="234"/>
      <c r="B14" s="596"/>
      <c r="C14" s="597"/>
      <c r="D14" s="597"/>
      <c r="E14" s="597"/>
      <c r="F14" s="597"/>
      <c r="G14" s="597"/>
      <c r="H14" s="597"/>
      <c r="I14" s="597"/>
      <c r="J14" s="552" t="s">
        <v>1344</v>
      </c>
      <c r="K14" s="552"/>
      <c r="L14" s="552"/>
      <c r="M14" s="552"/>
      <c r="N14" s="552"/>
      <c r="O14" s="125"/>
      <c r="P14" s="192"/>
      <c r="Q14" s="192"/>
      <c r="R14" s="192"/>
      <c r="S14" s="193"/>
      <c r="T14" s="235"/>
    </row>
    <row r="15" spans="1:20" ht="17" customHeight="1">
      <c r="A15" s="234"/>
      <c r="B15" s="598"/>
      <c r="C15" s="599"/>
      <c r="D15" s="599"/>
      <c r="E15" s="599"/>
      <c r="F15" s="599"/>
      <c r="G15" s="599"/>
      <c r="H15" s="599"/>
      <c r="I15" s="599"/>
      <c r="J15" s="583" t="s">
        <v>5</v>
      </c>
      <c r="K15" s="584"/>
      <c r="L15" s="584"/>
      <c r="M15" s="584"/>
      <c r="N15" s="585"/>
      <c r="O15" s="564" t="s">
        <v>1405</v>
      </c>
      <c r="P15" s="565"/>
      <c r="Q15" s="565"/>
      <c r="R15" s="565"/>
      <c r="S15" s="566"/>
      <c r="T15" s="235"/>
    </row>
    <row r="16" spans="1:20" ht="17" customHeight="1">
      <c r="A16" s="234"/>
      <c r="B16" s="553" t="s">
        <v>1339</v>
      </c>
      <c r="C16" s="554"/>
      <c r="D16" s="554"/>
      <c r="E16" s="554"/>
      <c r="F16" s="554"/>
      <c r="G16" s="554"/>
      <c r="H16" s="554"/>
      <c r="I16" s="555"/>
      <c r="J16" s="550" t="s">
        <v>1345</v>
      </c>
      <c r="K16" s="548" t="s">
        <v>1337</v>
      </c>
      <c r="L16" s="546" t="s">
        <v>1338</v>
      </c>
      <c r="M16" s="590" t="s">
        <v>1520</v>
      </c>
      <c r="N16" s="588" t="s">
        <v>1346</v>
      </c>
      <c r="O16" s="586" t="s">
        <v>1235</v>
      </c>
      <c r="P16" s="560" t="s">
        <v>1236</v>
      </c>
      <c r="Q16" s="560" t="s">
        <v>1237</v>
      </c>
      <c r="R16" s="560" t="s">
        <v>1279</v>
      </c>
      <c r="S16" s="562" t="s">
        <v>1559</v>
      </c>
      <c r="T16" s="235"/>
    </row>
    <row r="17" spans="1:20" ht="15.75" customHeight="1">
      <c r="A17" s="234"/>
      <c r="B17" s="556"/>
      <c r="C17" s="515"/>
      <c r="D17" s="515"/>
      <c r="E17" s="515"/>
      <c r="F17" s="515"/>
      <c r="G17" s="515"/>
      <c r="H17" s="515"/>
      <c r="I17" s="557"/>
      <c r="J17" s="551"/>
      <c r="K17" s="549"/>
      <c r="L17" s="547"/>
      <c r="M17" s="591"/>
      <c r="N17" s="589"/>
      <c r="O17" s="587"/>
      <c r="P17" s="561"/>
      <c r="Q17" s="561"/>
      <c r="R17" s="561"/>
      <c r="S17" s="563"/>
      <c r="T17" s="235"/>
    </row>
    <row r="18" spans="1:20" ht="15.75" customHeight="1">
      <c r="A18" s="617" t="s">
        <v>1696</v>
      </c>
      <c r="B18" s="529" t="s">
        <v>9</v>
      </c>
      <c r="C18" s="530"/>
      <c r="D18" s="530"/>
      <c r="E18" s="530"/>
      <c r="F18" s="530"/>
      <c r="G18" s="530"/>
      <c r="H18" s="530"/>
      <c r="I18" s="531"/>
      <c r="J18" s="124">
        <f>COUNTIFS('VENDOR QUESTIONNAIRE'!$R$58:$R$181,B18,'VENDOR QUESTIONNAIRE'!$T$58:$T$181,$J$15)+COUNTIFS('VENDOR QUESTIONNAIRE'!$R$58:$R$181,B18,'VENDOR QUESTIONNAIRE'!$T$58:$T$181,"OVERRIDE")</f>
        <v>0</v>
      </c>
      <c r="K18" s="68">
        <f>COUNTIFS('VENDOR QUESTIONNAIRE'!$R$58:$R$181,B18,'VENDOR QUESTIONNAIRE'!$T$58:$T$181,$J$15,'VENDOR QUESTIONNAIRE'!$L$58:$L$181,$K$16)+COUNTIFS('VENDOR QUESTIONNAIRE'!$R$58:$R$181,B18,'VENDOR QUESTIONNAIRE'!$T$58:$T$181,"OVERRIDE")</f>
        <v>0</v>
      </c>
      <c r="L18" s="68">
        <f>COUNTIFS('VENDOR QUESTIONNAIRE'!$R$58:$R$181,$B18,'VENDOR QUESTIONNAIRE'!$T$58:$T$181,$J$15,'VENDOR QUESTIONNAIRE'!$L$58:$L$181,$L$16)</f>
        <v>0</v>
      </c>
      <c r="M18" s="68">
        <f>COUNTIFS('VENDOR QUESTIONNAIRE'!$R$58:$R$181,$B18,'VENDOR QUESTIONNAIRE'!$T$58:$T$181,$J$15,'VENDOR QUESTIONNAIRE'!$L$58:$L$181,$M$16)</f>
        <v>0</v>
      </c>
      <c r="N18" s="290" t="e">
        <f>(K18+M18)/J18</f>
        <v>#DIV/0!</v>
      </c>
      <c r="O18" s="292">
        <f>COUNTIFS('VENDOR QUESTIONNAIRE'!$R$58:$R$181,$B18,'VENDOR QUESTIONNAIRE'!$S$58:$S$181,O$16,'VENDOR QUESTIONNAIRE'!$L$58:$L$181,"Yes",'VENDOR QUESTIONNAIRE'!$T$58:$T$181,"Required")+COUNTIFS('VENDOR QUESTIONNAIRE'!$R$58:$R$181,$B18,'VENDOR QUESTIONNAIRE'!$S$58:$S$181,O$16,'VENDOR QUESTIONNAIRE'!$L$58:$L$181,"NO",'VENDOR QUESTIONNAIRE'!$T$58:$T$181,"OVERRIDE")</f>
        <v>0</v>
      </c>
      <c r="P18" s="194">
        <f>COUNTIFS('VENDOR QUESTIONNAIRE'!$R$58:$R$181,$B18,'VENDOR QUESTIONNAIRE'!$S$58:$S$181,P$16,'VENDOR QUESTIONNAIRE'!$L$58:$L$181,"Yes",'VENDOR QUESTIONNAIRE'!$T$58:$T$181,"Required")+COUNTIFS('VENDOR QUESTIONNAIRE'!$R$58:$R$181,$B18,'VENDOR QUESTIONNAIRE'!$S$58:$S$181,P$16,'VENDOR QUESTIONNAIRE'!$L$58:$L$181,"No",'VENDOR QUESTIONNAIRE'!$T$58:$T$181,"OVERRIDE")</f>
        <v>0</v>
      </c>
      <c r="Q18" s="194">
        <f>COUNTIFS('VENDOR QUESTIONNAIRE'!$R$58:$R$181,$B18,'VENDOR QUESTIONNAIRE'!$S$58:$S$181,Q$16,'VENDOR QUESTIONNAIRE'!$L$58:$L$181,"Yes",'VENDOR QUESTIONNAIRE'!$T$58:$T$181,"Required")+COUNTIFS('VENDOR QUESTIONNAIRE'!$R$58:$R$181,$B18,'VENDOR QUESTIONNAIRE'!$S$58:$S$181,Q$16,'VENDOR QUESTIONNAIRE'!$L$58:$L$181,"No",'VENDOR QUESTIONNAIRE'!$T$58:$T$181,"OVERRIDE")</f>
        <v>0</v>
      </c>
      <c r="R18" s="194">
        <f>COUNTIFS('VENDOR QUESTIONNAIRE'!$R$58:$R$181,$B18,'VENDOR QUESTIONNAIRE'!$S$58:$S$181,R$16,'VENDOR QUESTIONNAIRE'!$L$58:$L$181,"Yes",'VENDOR QUESTIONNAIRE'!$T$58:$T$181,"Required")+COUNTIFS('VENDOR QUESTIONNAIRE'!$R$58:$R$181,$B18,'VENDOR QUESTIONNAIRE'!$S$58:$S$181,R$16,'VENDOR QUESTIONNAIRE'!$L$58:$L$181,"No",'VENDOR QUESTIONNAIRE'!$T$58:$T$181,"OVERRIDE")</f>
        <v>0</v>
      </c>
      <c r="S18" s="195">
        <f>COUNTIFS('VENDOR QUESTIONNAIRE'!$R$58:$R$181,$B18,'VENDOR QUESTIONNAIRE'!$S$58:$S$181,S$16,'VENDOR QUESTIONNAIRE'!$L$58:$L$181,"Yes",'VENDOR QUESTIONNAIRE'!$T$58:$T$181,"Required")+COUNTIFS('VENDOR QUESTIONNAIRE'!$R$58:$R$181,$B18,'VENDOR QUESTIONNAIRE'!$S$58:$S$181,S$16,'VENDOR QUESTIONNAIRE'!$L$58:$L$181,"No",'VENDOR QUESTIONNAIRE'!$T$58:$T$181,"OVERRIDE")</f>
        <v>0</v>
      </c>
      <c r="T18" s="235"/>
    </row>
    <row r="19" spans="1:20" ht="15.75" customHeight="1">
      <c r="A19" s="617"/>
      <c r="B19" s="529" t="s">
        <v>10</v>
      </c>
      <c r="C19" s="530"/>
      <c r="D19" s="530"/>
      <c r="E19" s="530"/>
      <c r="F19" s="530"/>
      <c r="G19" s="530"/>
      <c r="H19" s="530"/>
      <c r="I19" s="531"/>
      <c r="J19" s="124">
        <f>COUNTIFS('VENDOR QUESTIONNAIRE'!$R$58:$R$181,B19,'VENDOR QUESTIONNAIRE'!$T$58:$T$181,$J$15)+COUNTIFS('VENDOR QUESTIONNAIRE'!$R$58:$R$181,B19,'VENDOR QUESTIONNAIRE'!$T$58:$T$181,"OVERRIDE")</f>
        <v>0</v>
      </c>
      <c r="K19" s="68">
        <f>COUNTIFS('VENDOR QUESTIONNAIRE'!$R$58:$R$181,B19,'VENDOR QUESTIONNAIRE'!$T$58:$T$181,$J$15,'VENDOR QUESTIONNAIRE'!$L$58:$L$181,$K$16)+COUNTIFS('VENDOR QUESTIONNAIRE'!$R$58:$R$181,B19,'VENDOR QUESTIONNAIRE'!$T$58:$T$181,"OVERRIDE")</f>
        <v>0</v>
      </c>
      <c r="L19" s="68">
        <f>COUNTIFS('VENDOR QUESTIONNAIRE'!$R$58:$R$181,$B19,'VENDOR QUESTIONNAIRE'!$T$58:$T$181,$J$15,'VENDOR QUESTIONNAIRE'!$L$58:$L$181,$L$16)</f>
        <v>0</v>
      </c>
      <c r="M19" s="68">
        <f>COUNTIFS('VENDOR QUESTIONNAIRE'!$R$58:$R$181,$B19,'VENDOR QUESTIONNAIRE'!$T$58:$T$181,$J$15,'VENDOR QUESTIONNAIRE'!$L$58:$L$181,$M$16)</f>
        <v>0</v>
      </c>
      <c r="N19" s="290" t="e">
        <f t="shared" ref="N19:N37" si="0">(K19+M19)/J19</f>
        <v>#DIV/0!</v>
      </c>
      <c r="O19" s="292">
        <f>COUNTIFS('VENDOR QUESTIONNAIRE'!$R$58:$R$181,$B19,'VENDOR QUESTIONNAIRE'!$S$58:$S$181,O$16,'VENDOR QUESTIONNAIRE'!$L$58:$L$181,"Yes",'VENDOR QUESTIONNAIRE'!$T$58:$T$181,"Required")+COUNTIFS('VENDOR QUESTIONNAIRE'!$R$58:$R$181,$B19,'VENDOR QUESTIONNAIRE'!$S$58:$S$181,O$16,'VENDOR QUESTIONNAIRE'!$L$58:$L$181,"NO",'VENDOR QUESTIONNAIRE'!$T$58:$T$181,"OVERRIDE")</f>
        <v>0</v>
      </c>
      <c r="P19" s="194">
        <f>COUNTIFS('VENDOR QUESTIONNAIRE'!$R$58:$R$181,$B19,'VENDOR QUESTIONNAIRE'!$S$58:$S$181,P$16,'VENDOR QUESTIONNAIRE'!$L$58:$L$181,"Yes",'VENDOR QUESTIONNAIRE'!$T$58:$T$181,"Required")+COUNTIFS('VENDOR QUESTIONNAIRE'!$R$58:$R$181,$B19,'VENDOR QUESTIONNAIRE'!$S$58:$S$181,P$16,'VENDOR QUESTIONNAIRE'!$L$58:$L$181,"No",'VENDOR QUESTIONNAIRE'!$T$58:$T$181,"OVERRIDE")</f>
        <v>0</v>
      </c>
      <c r="Q19" s="194">
        <f>COUNTIFS('VENDOR QUESTIONNAIRE'!$R$58:$R$181,$B19,'VENDOR QUESTIONNAIRE'!$S$58:$S$181,Q$16,'VENDOR QUESTIONNAIRE'!$L$58:$L$181,"Yes",'VENDOR QUESTIONNAIRE'!$T$58:$T$181,"Required")+COUNTIFS('VENDOR QUESTIONNAIRE'!$R$58:$R$181,$B19,'VENDOR QUESTIONNAIRE'!$S$58:$S$181,Q$16,'VENDOR QUESTIONNAIRE'!$L$58:$L$181,"No",'VENDOR QUESTIONNAIRE'!$T$58:$T$181,"OVERRIDE")</f>
        <v>0</v>
      </c>
      <c r="R19" s="194">
        <f>COUNTIFS('VENDOR QUESTIONNAIRE'!$R$58:$R$181,$B19,'VENDOR QUESTIONNAIRE'!$S$58:$S$181,R$16,'VENDOR QUESTIONNAIRE'!$L$58:$L$181,"Yes",'VENDOR QUESTIONNAIRE'!$T$58:$T$181,"Required")+COUNTIFS('VENDOR QUESTIONNAIRE'!$R$58:$R$181,$B19,'VENDOR QUESTIONNAIRE'!$S$58:$S$181,R$16,'VENDOR QUESTIONNAIRE'!$L$58:$L$181,"No",'VENDOR QUESTIONNAIRE'!$T$58:$T$181,"OVERRIDE")</f>
        <v>0</v>
      </c>
      <c r="S19" s="195">
        <f>COUNTIFS('VENDOR QUESTIONNAIRE'!$R$58:$R$181,$B19,'VENDOR QUESTIONNAIRE'!$S$58:$S$181,S$16,'VENDOR QUESTIONNAIRE'!$L$58:$L$181,"Yes",'VENDOR QUESTIONNAIRE'!$T$58:$T$181,"Required")+COUNTIFS('VENDOR QUESTIONNAIRE'!$R$58:$R$181,$B19,'VENDOR QUESTIONNAIRE'!$S$58:$S$181,S$16,'VENDOR QUESTIONNAIRE'!$L$58:$L$181,"No",'VENDOR QUESTIONNAIRE'!$T$58:$T$181,"OVERRIDE")</f>
        <v>0</v>
      </c>
      <c r="T19" s="235"/>
    </row>
    <row r="20" spans="1:20" ht="15.75" customHeight="1">
      <c r="A20" s="617"/>
      <c r="B20" s="529" t="s">
        <v>11</v>
      </c>
      <c r="C20" s="530"/>
      <c r="D20" s="530"/>
      <c r="E20" s="530"/>
      <c r="F20" s="530"/>
      <c r="G20" s="530"/>
      <c r="H20" s="530"/>
      <c r="I20" s="531"/>
      <c r="J20" s="124">
        <f>COUNTIFS('VENDOR QUESTIONNAIRE'!$R$58:$R$181,B20,'VENDOR QUESTIONNAIRE'!$T$58:$T$181,$J$15)+COUNTIFS('VENDOR QUESTIONNAIRE'!$R$58:$R$181,B20,'VENDOR QUESTIONNAIRE'!$T$58:$T$181,"OVERRIDE")</f>
        <v>0</v>
      </c>
      <c r="K20" s="68">
        <f>COUNTIFS('VENDOR QUESTIONNAIRE'!$R$58:$R$181,B20,'VENDOR QUESTIONNAIRE'!$T$58:$T$181,$J$15,'VENDOR QUESTIONNAIRE'!$L$58:$L$181,$K$16)+COUNTIFS('VENDOR QUESTIONNAIRE'!$R$58:$R$181,B20,'VENDOR QUESTIONNAIRE'!$T$58:$T$181,"OVERRIDE")</f>
        <v>0</v>
      </c>
      <c r="L20" s="68">
        <f>COUNTIFS('VENDOR QUESTIONNAIRE'!$R$58:$R$181,$B20,'VENDOR QUESTIONNAIRE'!$T$58:$T$181,$J$15,'VENDOR QUESTIONNAIRE'!$L$58:$L$181,$L$16)</f>
        <v>0</v>
      </c>
      <c r="M20" s="68">
        <f>COUNTIFS('VENDOR QUESTIONNAIRE'!$R$58:$R$181,$B20,'VENDOR QUESTIONNAIRE'!$T$58:$T$181,$J$15,'VENDOR QUESTIONNAIRE'!$L$58:$L$181,$M$16)</f>
        <v>0</v>
      </c>
      <c r="N20" s="290" t="e">
        <f t="shared" si="0"/>
        <v>#DIV/0!</v>
      </c>
      <c r="O20" s="292">
        <f>COUNTIFS('VENDOR QUESTIONNAIRE'!$R$58:$R$181,$B20,'VENDOR QUESTIONNAIRE'!$S$58:$S$181,O$16,'VENDOR QUESTIONNAIRE'!$L$58:$L$181,"Yes",'VENDOR QUESTIONNAIRE'!$T$58:$T$181,"Required")+COUNTIFS('VENDOR QUESTIONNAIRE'!$R$58:$R$181,$B20,'VENDOR QUESTIONNAIRE'!$S$58:$S$181,O$16,'VENDOR QUESTIONNAIRE'!$L$58:$L$181,"NO",'VENDOR QUESTIONNAIRE'!$T$58:$T$181,"OVERRIDE")</f>
        <v>0</v>
      </c>
      <c r="P20" s="194">
        <f>COUNTIFS('VENDOR QUESTIONNAIRE'!$R$58:$R$181,$B20,'VENDOR QUESTIONNAIRE'!$S$58:$S$181,P$16,'VENDOR QUESTIONNAIRE'!$L$58:$L$181,"Yes",'VENDOR QUESTIONNAIRE'!$T$58:$T$181,"Required")+COUNTIFS('VENDOR QUESTIONNAIRE'!$R$58:$R$181,$B20,'VENDOR QUESTIONNAIRE'!$S$58:$S$181,P$16,'VENDOR QUESTIONNAIRE'!$L$58:$L$181,"No",'VENDOR QUESTIONNAIRE'!$T$58:$T$181,"OVERRIDE")</f>
        <v>0</v>
      </c>
      <c r="Q20" s="194">
        <f>COUNTIFS('VENDOR QUESTIONNAIRE'!$R$58:$R$181,$B20,'VENDOR QUESTIONNAIRE'!$S$58:$S$181,Q$16,'VENDOR QUESTIONNAIRE'!$L$58:$L$181,"Yes",'VENDOR QUESTIONNAIRE'!$T$58:$T$181,"Required")+COUNTIFS('VENDOR QUESTIONNAIRE'!$R$58:$R$181,$B20,'VENDOR QUESTIONNAIRE'!$S$58:$S$181,Q$16,'VENDOR QUESTIONNAIRE'!$L$58:$L$181,"No",'VENDOR QUESTIONNAIRE'!$T$58:$T$181,"OVERRIDE")</f>
        <v>0</v>
      </c>
      <c r="R20" s="194">
        <f>COUNTIFS('VENDOR QUESTIONNAIRE'!$R$58:$R$181,$B20,'VENDOR QUESTIONNAIRE'!$S$58:$S$181,R$16,'VENDOR QUESTIONNAIRE'!$L$58:$L$181,"Yes",'VENDOR QUESTIONNAIRE'!$T$58:$T$181,"Required")+COUNTIFS('VENDOR QUESTIONNAIRE'!$R$58:$R$181,$B20,'VENDOR QUESTIONNAIRE'!$S$58:$S$181,R$16,'VENDOR QUESTIONNAIRE'!$L$58:$L$181,"No",'VENDOR QUESTIONNAIRE'!$T$58:$T$181,"OVERRIDE")</f>
        <v>0</v>
      </c>
      <c r="S20" s="195">
        <f>COUNTIFS('VENDOR QUESTIONNAIRE'!$R$58:$R$181,$B20,'VENDOR QUESTIONNAIRE'!$S$58:$S$181,S$16,'VENDOR QUESTIONNAIRE'!$L$58:$L$181,"Yes",'VENDOR QUESTIONNAIRE'!$T$58:$T$181,"Required")+COUNTIFS('VENDOR QUESTIONNAIRE'!$R$58:$R$181,$B20,'VENDOR QUESTIONNAIRE'!$S$58:$S$181,S$16,'VENDOR QUESTIONNAIRE'!$L$58:$L$181,"No",'VENDOR QUESTIONNAIRE'!$T$58:$T$181,"OVERRIDE")</f>
        <v>0</v>
      </c>
      <c r="T20" s="235"/>
    </row>
    <row r="21" spans="1:20" ht="15.75" customHeight="1">
      <c r="A21" s="617"/>
      <c r="B21" s="529" t="s">
        <v>12</v>
      </c>
      <c r="C21" s="530"/>
      <c r="D21" s="530"/>
      <c r="E21" s="530"/>
      <c r="F21" s="530"/>
      <c r="G21" s="530"/>
      <c r="H21" s="530"/>
      <c r="I21" s="531"/>
      <c r="J21" s="124">
        <f>COUNTIFS('VENDOR QUESTIONNAIRE'!$R$58:$R$181,B21,'VENDOR QUESTIONNAIRE'!$T$58:$T$181,$J$15)+COUNTIFS('VENDOR QUESTIONNAIRE'!$R$58:$R$181,B21,'VENDOR QUESTIONNAIRE'!$T$58:$T$181,"OVERRIDE")</f>
        <v>0</v>
      </c>
      <c r="K21" s="68">
        <f>COUNTIFS('VENDOR QUESTIONNAIRE'!$R$58:$R$181,B21,'VENDOR QUESTIONNAIRE'!$T$58:$T$181,$J$15,'VENDOR QUESTIONNAIRE'!$L$58:$L$181,$K$16)+COUNTIFS('VENDOR QUESTIONNAIRE'!$R$58:$R$181,B21,'VENDOR QUESTIONNAIRE'!$T$58:$T$181,"OVERRIDE")</f>
        <v>0</v>
      </c>
      <c r="L21" s="68">
        <f>COUNTIFS('VENDOR QUESTIONNAIRE'!$R$58:$R$181,$B21,'VENDOR QUESTIONNAIRE'!$T$58:$T$181,$J$15,'VENDOR QUESTIONNAIRE'!$L$58:$L$181,$L$16)</f>
        <v>0</v>
      </c>
      <c r="M21" s="68">
        <f>COUNTIFS('VENDOR QUESTIONNAIRE'!$R$58:$R$181,$B21,'VENDOR QUESTIONNAIRE'!$T$58:$T$181,$J$15,'VENDOR QUESTIONNAIRE'!$L$58:$L$181,$M$16)</f>
        <v>0</v>
      </c>
      <c r="N21" s="290" t="e">
        <f t="shared" si="0"/>
        <v>#DIV/0!</v>
      </c>
      <c r="O21" s="292">
        <f>COUNTIFS('VENDOR QUESTIONNAIRE'!$R$58:$R$181,$B21,'VENDOR QUESTIONNAIRE'!$S$58:$S$181,O$16,'VENDOR QUESTIONNAIRE'!$L$58:$L$181,"Yes",'VENDOR QUESTIONNAIRE'!$T$58:$T$181,"Required")+COUNTIFS('VENDOR QUESTIONNAIRE'!$R$58:$R$181,$B21,'VENDOR QUESTIONNAIRE'!$S$58:$S$181,O$16,'VENDOR QUESTIONNAIRE'!$L$58:$L$181,"NO",'VENDOR QUESTIONNAIRE'!$T$58:$T$181,"OVERRIDE")</f>
        <v>0</v>
      </c>
      <c r="P21" s="194">
        <f>COUNTIFS('VENDOR QUESTIONNAIRE'!$R$58:$R$181,$B21,'VENDOR QUESTIONNAIRE'!$S$58:$S$181,P$16,'VENDOR QUESTIONNAIRE'!$L$58:$L$181,"Yes",'VENDOR QUESTIONNAIRE'!$T$58:$T$181,"Required")+COUNTIFS('VENDOR QUESTIONNAIRE'!$R$58:$R$181,$B21,'VENDOR QUESTIONNAIRE'!$S$58:$S$181,P$16,'VENDOR QUESTIONNAIRE'!$L$58:$L$181,"No",'VENDOR QUESTIONNAIRE'!$T$58:$T$181,"OVERRIDE")</f>
        <v>0</v>
      </c>
      <c r="Q21" s="194">
        <f>COUNTIFS('VENDOR QUESTIONNAIRE'!$R$58:$R$181,$B21,'VENDOR QUESTIONNAIRE'!$S$58:$S$181,Q$16,'VENDOR QUESTIONNAIRE'!$L$58:$L$181,"Yes",'VENDOR QUESTIONNAIRE'!$T$58:$T$181,"Required")+COUNTIFS('VENDOR QUESTIONNAIRE'!$R$58:$R$181,$B21,'VENDOR QUESTIONNAIRE'!$S$58:$S$181,Q$16,'VENDOR QUESTIONNAIRE'!$L$58:$L$181,"No",'VENDOR QUESTIONNAIRE'!$T$58:$T$181,"OVERRIDE")</f>
        <v>0</v>
      </c>
      <c r="R21" s="194">
        <f>COUNTIFS('VENDOR QUESTIONNAIRE'!$R$58:$R$181,$B21,'VENDOR QUESTIONNAIRE'!$S$58:$S$181,R$16,'VENDOR QUESTIONNAIRE'!$L$58:$L$181,"Yes",'VENDOR QUESTIONNAIRE'!$T$58:$T$181,"Required")+COUNTIFS('VENDOR QUESTIONNAIRE'!$R$58:$R$181,$B21,'VENDOR QUESTIONNAIRE'!$S$58:$S$181,R$16,'VENDOR QUESTIONNAIRE'!$L$58:$L$181,"No",'VENDOR QUESTIONNAIRE'!$T$58:$T$181,"OVERRIDE")</f>
        <v>0</v>
      </c>
      <c r="S21" s="195">
        <f>COUNTIFS('VENDOR QUESTIONNAIRE'!$R$58:$R$181,$B21,'VENDOR QUESTIONNAIRE'!$S$58:$S$181,S$16,'VENDOR QUESTIONNAIRE'!$L$58:$L$181,"Yes",'VENDOR QUESTIONNAIRE'!$T$58:$T$181,"Required")+COUNTIFS('VENDOR QUESTIONNAIRE'!$R$58:$R$181,$B21,'VENDOR QUESTIONNAIRE'!$S$58:$S$181,S$16,'VENDOR QUESTIONNAIRE'!$L$58:$L$181,"No",'VENDOR QUESTIONNAIRE'!$T$58:$T$181,"OVERRIDE")</f>
        <v>0</v>
      </c>
      <c r="T21" s="235"/>
    </row>
    <row r="22" spans="1:20" ht="15.75" customHeight="1">
      <c r="A22" s="617"/>
      <c r="B22" s="529" t="s">
        <v>16</v>
      </c>
      <c r="C22" s="530"/>
      <c r="D22" s="530"/>
      <c r="E22" s="530"/>
      <c r="F22" s="530"/>
      <c r="G22" s="530"/>
      <c r="H22" s="530"/>
      <c r="I22" s="531"/>
      <c r="J22" s="124">
        <f>COUNTIFS('VENDOR QUESTIONNAIRE'!$R$58:$R$181,B22,'VENDOR QUESTIONNAIRE'!$T$58:$T$181,$J$15)+COUNTIFS('VENDOR QUESTIONNAIRE'!$R$58:$R$181,B22,'VENDOR QUESTIONNAIRE'!$T$58:$T$181,"OVERRIDE")</f>
        <v>0</v>
      </c>
      <c r="K22" s="68">
        <f>COUNTIFS('VENDOR QUESTIONNAIRE'!$R$58:$R$181,B22,'VENDOR QUESTIONNAIRE'!$T$58:$T$181,$J$15,'VENDOR QUESTIONNAIRE'!$L$58:$L$181,$K$16)+COUNTIFS('VENDOR QUESTIONNAIRE'!$R$58:$R$181,B22,'VENDOR QUESTIONNAIRE'!$T$58:$T$181,"OVERRIDE")</f>
        <v>0</v>
      </c>
      <c r="L22" s="68">
        <f>COUNTIFS('VENDOR QUESTIONNAIRE'!$R$58:$R$181,$B22,'VENDOR QUESTIONNAIRE'!$T$58:$T$181,$J$15,'VENDOR QUESTIONNAIRE'!$L$58:$L$181,$L$16)</f>
        <v>0</v>
      </c>
      <c r="M22" s="68">
        <f>COUNTIFS('VENDOR QUESTIONNAIRE'!$R$58:$R$181,$B22,'VENDOR QUESTIONNAIRE'!$T$58:$T$181,$J$15,'VENDOR QUESTIONNAIRE'!$L$58:$L$181,$M$16)</f>
        <v>0</v>
      </c>
      <c r="N22" s="290" t="e">
        <f t="shared" si="0"/>
        <v>#DIV/0!</v>
      </c>
      <c r="O22" s="292">
        <f>COUNTIFS('VENDOR QUESTIONNAIRE'!$R$58:$R$181,$B22,'VENDOR QUESTIONNAIRE'!$S$58:$S$181,O$16,'VENDOR QUESTIONNAIRE'!$L$58:$L$181,"Yes",'VENDOR QUESTIONNAIRE'!$T$58:$T$181,"Required")+COUNTIFS('VENDOR QUESTIONNAIRE'!$R$58:$R$181,$B22,'VENDOR QUESTIONNAIRE'!$S$58:$S$181,O$16,'VENDOR QUESTIONNAIRE'!$L$58:$L$181,"NO",'VENDOR QUESTIONNAIRE'!$T$58:$T$181,"OVERRIDE")</f>
        <v>0</v>
      </c>
      <c r="P22" s="194">
        <f>COUNTIFS('VENDOR QUESTIONNAIRE'!$R$58:$R$181,$B22,'VENDOR QUESTIONNAIRE'!$S$58:$S$181,P$16,'VENDOR QUESTIONNAIRE'!$L$58:$L$181,"Yes",'VENDOR QUESTIONNAIRE'!$T$58:$T$181,"Required")+COUNTIFS('VENDOR QUESTIONNAIRE'!$R$58:$R$181,$B22,'VENDOR QUESTIONNAIRE'!$S$58:$S$181,P$16,'VENDOR QUESTIONNAIRE'!$L$58:$L$181,"No",'VENDOR QUESTIONNAIRE'!$T$58:$T$181,"OVERRIDE")</f>
        <v>0</v>
      </c>
      <c r="Q22" s="194">
        <f>COUNTIFS('VENDOR QUESTIONNAIRE'!$R$58:$R$181,$B22,'VENDOR QUESTIONNAIRE'!$S$58:$S$181,Q$16,'VENDOR QUESTIONNAIRE'!$L$58:$L$181,"Yes",'VENDOR QUESTIONNAIRE'!$T$58:$T$181,"Required")+COUNTIFS('VENDOR QUESTIONNAIRE'!$R$58:$R$181,$B22,'VENDOR QUESTIONNAIRE'!$S$58:$S$181,Q$16,'VENDOR QUESTIONNAIRE'!$L$58:$L$181,"No",'VENDOR QUESTIONNAIRE'!$T$58:$T$181,"OVERRIDE")</f>
        <v>0</v>
      </c>
      <c r="R22" s="194">
        <f>COUNTIFS('VENDOR QUESTIONNAIRE'!$R$58:$R$181,$B22,'VENDOR QUESTIONNAIRE'!$S$58:$S$181,R$16,'VENDOR QUESTIONNAIRE'!$L$58:$L$181,"Yes",'VENDOR QUESTIONNAIRE'!$T$58:$T$181,"Required")+COUNTIFS('VENDOR QUESTIONNAIRE'!$R$58:$R$181,$B22,'VENDOR QUESTIONNAIRE'!$S$58:$S$181,R$16,'VENDOR QUESTIONNAIRE'!$L$58:$L$181,"No",'VENDOR QUESTIONNAIRE'!$T$58:$T$181,"OVERRIDE")</f>
        <v>0</v>
      </c>
      <c r="S22" s="195">
        <f>COUNTIFS('VENDOR QUESTIONNAIRE'!$R$58:$R$181,$B22,'VENDOR QUESTIONNAIRE'!$S$58:$S$181,S$16,'VENDOR QUESTIONNAIRE'!$L$58:$L$181,"Yes",'VENDOR QUESTIONNAIRE'!$T$58:$T$181,"Required")+COUNTIFS('VENDOR QUESTIONNAIRE'!$R$58:$R$181,$B22,'VENDOR QUESTIONNAIRE'!$S$58:$S$181,S$16,'VENDOR QUESTIONNAIRE'!$L$58:$L$181,"No",'VENDOR QUESTIONNAIRE'!$T$58:$T$181,"OVERRIDE")</f>
        <v>0</v>
      </c>
      <c r="T22" s="235"/>
    </row>
    <row r="23" spans="1:20" ht="15.75" customHeight="1">
      <c r="A23" s="617"/>
      <c r="B23" s="529" t="s">
        <v>17</v>
      </c>
      <c r="C23" s="530"/>
      <c r="D23" s="530"/>
      <c r="E23" s="530"/>
      <c r="F23" s="530"/>
      <c r="G23" s="530"/>
      <c r="H23" s="530"/>
      <c r="I23" s="531"/>
      <c r="J23" s="124">
        <f>COUNTIFS('VENDOR QUESTIONNAIRE'!$R$58:$R$181,B23,'VENDOR QUESTIONNAIRE'!$T$58:$T$181,$J$15)+COUNTIFS('VENDOR QUESTIONNAIRE'!$R$58:$R$181,B23,'VENDOR QUESTIONNAIRE'!$T$58:$T$181,"OVERRIDE")</f>
        <v>0</v>
      </c>
      <c r="K23" s="68">
        <f>COUNTIFS('VENDOR QUESTIONNAIRE'!$R$58:$R$181,B23,'VENDOR QUESTIONNAIRE'!$T$58:$T$181,$J$15,'VENDOR QUESTIONNAIRE'!$L$58:$L$181,$K$16)+COUNTIFS('VENDOR QUESTIONNAIRE'!$R$58:$R$181,B23,'VENDOR QUESTIONNAIRE'!$T$58:$T$181,"OVERRIDE")</f>
        <v>0</v>
      </c>
      <c r="L23" s="68">
        <f>COUNTIFS('VENDOR QUESTIONNAIRE'!$R$58:$R$181,$B23,'VENDOR QUESTIONNAIRE'!$T$58:$T$181,$J$15,'VENDOR QUESTIONNAIRE'!$L$58:$L$181,$L$16)</f>
        <v>0</v>
      </c>
      <c r="M23" s="68">
        <f>COUNTIFS('VENDOR QUESTIONNAIRE'!$R$58:$R$181,$B23,'VENDOR QUESTIONNAIRE'!$T$58:$T$181,$J$15,'VENDOR QUESTIONNAIRE'!$L$58:$L$181,$M$16)</f>
        <v>0</v>
      </c>
      <c r="N23" s="290" t="e">
        <f t="shared" si="0"/>
        <v>#DIV/0!</v>
      </c>
      <c r="O23" s="292">
        <f>COUNTIFS('VENDOR QUESTIONNAIRE'!$R$58:$R$181,$B23,'VENDOR QUESTIONNAIRE'!$S$58:$S$181,O$16,'VENDOR QUESTIONNAIRE'!$L$58:$L$181,"Yes",'VENDOR QUESTIONNAIRE'!$T$58:$T$181,"Required")+COUNTIFS('VENDOR QUESTIONNAIRE'!$R$58:$R$181,$B23,'VENDOR QUESTIONNAIRE'!$S$58:$S$181,O$16,'VENDOR QUESTIONNAIRE'!$L$58:$L$181,"NO",'VENDOR QUESTIONNAIRE'!$T$58:$T$181,"OVERRIDE")</f>
        <v>0</v>
      </c>
      <c r="P23" s="194">
        <f>COUNTIFS('VENDOR QUESTIONNAIRE'!$R$58:$R$181,$B23,'VENDOR QUESTIONNAIRE'!$S$58:$S$181,P$16,'VENDOR QUESTIONNAIRE'!$L$58:$L$181,"Yes",'VENDOR QUESTIONNAIRE'!$T$58:$T$181,"Required")+COUNTIFS('VENDOR QUESTIONNAIRE'!$R$58:$R$181,$B23,'VENDOR QUESTIONNAIRE'!$S$58:$S$181,P$16,'VENDOR QUESTIONNAIRE'!$L$58:$L$181,"No",'VENDOR QUESTIONNAIRE'!$T$58:$T$181,"OVERRIDE")</f>
        <v>0</v>
      </c>
      <c r="Q23" s="194">
        <f>COUNTIFS('VENDOR QUESTIONNAIRE'!$R$58:$R$181,$B23,'VENDOR QUESTIONNAIRE'!$S$58:$S$181,Q$16,'VENDOR QUESTIONNAIRE'!$L$58:$L$181,"Yes",'VENDOR QUESTIONNAIRE'!$T$58:$T$181,"Required")+COUNTIFS('VENDOR QUESTIONNAIRE'!$R$58:$R$181,$B23,'VENDOR QUESTIONNAIRE'!$S$58:$S$181,Q$16,'VENDOR QUESTIONNAIRE'!$L$58:$L$181,"No",'VENDOR QUESTIONNAIRE'!$T$58:$T$181,"OVERRIDE")</f>
        <v>0</v>
      </c>
      <c r="R23" s="194">
        <f>COUNTIFS('VENDOR QUESTIONNAIRE'!$R$58:$R$181,$B23,'VENDOR QUESTIONNAIRE'!$S$58:$S$181,R$16,'VENDOR QUESTIONNAIRE'!$L$58:$L$181,"Yes",'VENDOR QUESTIONNAIRE'!$T$58:$T$181,"Required")+COUNTIFS('VENDOR QUESTIONNAIRE'!$R$58:$R$181,$B23,'VENDOR QUESTIONNAIRE'!$S$58:$S$181,R$16,'VENDOR QUESTIONNAIRE'!$L$58:$L$181,"No",'VENDOR QUESTIONNAIRE'!$T$58:$T$181,"OVERRIDE")</f>
        <v>0</v>
      </c>
      <c r="S23" s="195">
        <f>COUNTIFS('VENDOR QUESTIONNAIRE'!$R$58:$R$181,$B23,'VENDOR QUESTIONNAIRE'!$S$58:$S$181,S$16,'VENDOR QUESTIONNAIRE'!$L$58:$L$181,"Yes",'VENDOR QUESTIONNAIRE'!$T$58:$T$181,"Required")+COUNTIFS('VENDOR QUESTIONNAIRE'!$R$58:$R$181,$B23,'VENDOR QUESTIONNAIRE'!$S$58:$S$181,S$16,'VENDOR QUESTIONNAIRE'!$L$58:$L$181,"No",'VENDOR QUESTIONNAIRE'!$T$58:$T$181,"OVERRIDE")</f>
        <v>0</v>
      </c>
      <c r="T23" s="235"/>
    </row>
    <row r="24" spans="1:20" ht="16" customHeight="1">
      <c r="A24" s="617" t="s">
        <v>1698</v>
      </c>
      <c r="B24" s="529" t="s">
        <v>18</v>
      </c>
      <c r="C24" s="530"/>
      <c r="D24" s="530"/>
      <c r="E24" s="530"/>
      <c r="F24" s="530"/>
      <c r="G24" s="530"/>
      <c r="H24" s="530"/>
      <c r="I24" s="531"/>
      <c r="J24" s="124">
        <f>COUNTIFS('VENDOR QUESTIONNAIRE'!$R$58:$R$181,B24,'VENDOR QUESTIONNAIRE'!$T$58:$T$181,$J$15)+COUNTIFS('VENDOR QUESTIONNAIRE'!$R$58:$R$181,B24,'VENDOR QUESTIONNAIRE'!$T$58:$T$181,"OVERRIDE")</f>
        <v>0</v>
      </c>
      <c r="K24" s="68">
        <f>COUNTIFS('VENDOR QUESTIONNAIRE'!$R$58:$R$181,B24,'VENDOR QUESTIONNAIRE'!$T$58:$T$181,$J$15,'VENDOR QUESTIONNAIRE'!$L$58:$L$181,$K$16)+COUNTIFS('VENDOR QUESTIONNAIRE'!$R$58:$R$181,B24,'VENDOR QUESTIONNAIRE'!$T$58:$T$181,"OVERRIDE")</f>
        <v>0</v>
      </c>
      <c r="L24" s="68">
        <f>COUNTIFS('VENDOR QUESTIONNAIRE'!$R$58:$R$181,$B24,'VENDOR QUESTIONNAIRE'!$T$58:$T$181,$J$15,'VENDOR QUESTIONNAIRE'!$L$58:$L$181,$L$16)</f>
        <v>0</v>
      </c>
      <c r="M24" s="68">
        <f>COUNTIFS('VENDOR QUESTIONNAIRE'!$R$58:$R$181,$B24,'VENDOR QUESTIONNAIRE'!$T$58:$T$181,$J$15,'VENDOR QUESTIONNAIRE'!$L$58:$L$181,$M$16)</f>
        <v>0</v>
      </c>
      <c r="N24" s="290" t="e">
        <f t="shared" si="0"/>
        <v>#DIV/0!</v>
      </c>
      <c r="O24" s="292">
        <f>COUNTIFS('VENDOR QUESTIONNAIRE'!$R$58:$R$181,$B24,'VENDOR QUESTIONNAIRE'!$S$58:$S$181,O$16,'VENDOR QUESTIONNAIRE'!$L$58:$L$181,"Yes",'VENDOR QUESTIONNAIRE'!$T$58:$T$181,"Required")+COUNTIFS('VENDOR QUESTIONNAIRE'!$R$58:$R$181,$B24,'VENDOR QUESTIONNAIRE'!$S$58:$S$181,O$16,'VENDOR QUESTIONNAIRE'!$L$58:$L$181,"NO",'VENDOR QUESTIONNAIRE'!$T$58:$T$181,"OVERRIDE")</f>
        <v>0</v>
      </c>
      <c r="P24" s="194">
        <f>COUNTIFS('VENDOR QUESTIONNAIRE'!$R$58:$R$181,$B24,'VENDOR QUESTIONNAIRE'!$S$58:$S$181,P$16,'VENDOR QUESTIONNAIRE'!$L$58:$L$181,"Yes",'VENDOR QUESTIONNAIRE'!$T$58:$T$181,"Required")+COUNTIFS('VENDOR QUESTIONNAIRE'!$R$58:$R$181,$B24,'VENDOR QUESTIONNAIRE'!$S$58:$S$181,P$16,'VENDOR QUESTIONNAIRE'!$L$58:$L$181,"No",'VENDOR QUESTIONNAIRE'!$T$58:$T$181,"OVERRIDE")</f>
        <v>0</v>
      </c>
      <c r="Q24" s="194">
        <f>COUNTIFS('VENDOR QUESTIONNAIRE'!$R$58:$R$181,$B24,'VENDOR QUESTIONNAIRE'!$S$58:$S$181,Q$16,'VENDOR QUESTIONNAIRE'!$L$58:$L$181,"Yes",'VENDOR QUESTIONNAIRE'!$T$58:$T$181,"Required")+COUNTIFS('VENDOR QUESTIONNAIRE'!$R$58:$R$181,$B24,'VENDOR QUESTIONNAIRE'!$S$58:$S$181,Q$16,'VENDOR QUESTIONNAIRE'!$L$58:$L$181,"No",'VENDOR QUESTIONNAIRE'!$T$58:$T$181,"OVERRIDE")</f>
        <v>0</v>
      </c>
      <c r="R24" s="194">
        <f>COUNTIFS('VENDOR QUESTIONNAIRE'!$R$58:$R$181,$B24,'VENDOR QUESTIONNAIRE'!$S$58:$S$181,R$16,'VENDOR QUESTIONNAIRE'!$L$58:$L$181,"Yes",'VENDOR QUESTIONNAIRE'!$T$58:$T$181,"Required")+COUNTIFS('VENDOR QUESTIONNAIRE'!$R$58:$R$181,$B24,'VENDOR QUESTIONNAIRE'!$S$58:$S$181,R$16,'VENDOR QUESTIONNAIRE'!$L$58:$L$181,"No",'VENDOR QUESTIONNAIRE'!$T$58:$T$181,"OVERRIDE")</f>
        <v>0</v>
      </c>
      <c r="S24" s="195">
        <f>COUNTIFS('VENDOR QUESTIONNAIRE'!$R$58:$R$181,$B24,'VENDOR QUESTIONNAIRE'!$S$58:$S$181,S$16,'VENDOR QUESTIONNAIRE'!$L$58:$L$181,"Yes",'VENDOR QUESTIONNAIRE'!$T$58:$T$181,"Required")+COUNTIFS('VENDOR QUESTIONNAIRE'!$R$58:$R$181,$B24,'VENDOR QUESTIONNAIRE'!$S$58:$S$181,S$16,'VENDOR QUESTIONNAIRE'!$L$58:$L$181,"No",'VENDOR QUESTIONNAIRE'!$T$58:$T$181,"OVERRIDE")</f>
        <v>0</v>
      </c>
      <c r="T24" s="235"/>
    </row>
    <row r="25" spans="1:20" ht="16" customHeight="1">
      <c r="A25" s="617"/>
      <c r="B25" s="529" t="s">
        <v>21</v>
      </c>
      <c r="C25" s="530"/>
      <c r="D25" s="530"/>
      <c r="E25" s="530"/>
      <c r="F25" s="530"/>
      <c r="G25" s="530"/>
      <c r="H25" s="530"/>
      <c r="I25" s="531"/>
      <c r="J25" s="124">
        <f>COUNTIFS('VENDOR QUESTIONNAIRE'!$R$58:$R$181,B25,'VENDOR QUESTIONNAIRE'!$T$58:$T$181,$J$15)+COUNTIFS('VENDOR QUESTIONNAIRE'!$R$58:$R$181,B25,'VENDOR QUESTIONNAIRE'!$T$58:$T$181,"OVERRIDE")</f>
        <v>0</v>
      </c>
      <c r="K25" s="68">
        <f>COUNTIFS('VENDOR QUESTIONNAIRE'!$R$58:$R$181,B25,'VENDOR QUESTIONNAIRE'!$T$58:$T$181,$J$15,'VENDOR QUESTIONNAIRE'!$L$58:$L$181,$K$16)+COUNTIFS('VENDOR QUESTIONNAIRE'!$R$58:$R$181,B25,'VENDOR QUESTIONNAIRE'!$T$58:$T$181,"OVERRIDE")</f>
        <v>0</v>
      </c>
      <c r="L25" s="68">
        <f>COUNTIFS('VENDOR QUESTIONNAIRE'!$R$58:$R$181,$B25,'VENDOR QUESTIONNAIRE'!$T$58:$T$181,$J$15,'VENDOR QUESTIONNAIRE'!$L$58:$L$181,$L$16)</f>
        <v>0</v>
      </c>
      <c r="M25" s="68">
        <f>COUNTIFS('VENDOR QUESTIONNAIRE'!$R$58:$R$181,$B25,'VENDOR QUESTIONNAIRE'!$T$58:$T$181,$J$15,'VENDOR QUESTIONNAIRE'!$L$58:$L$181,$M$16)</f>
        <v>0</v>
      </c>
      <c r="N25" s="290" t="e">
        <f t="shared" si="0"/>
        <v>#DIV/0!</v>
      </c>
      <c r="O25" s="292">
        <f>COUNTIFS('VENDOR QUESTIONNAIRE'!$R$58:$R$181,$B25,'VENDOR QUESTIONNAIRE'!$S$58:$S$181,O$16,'VENDOR QUESTIONNAIRE'!$L$58:$L$181,"Yes",'VENDOR QUESTIONNAIRE'!$T$58:$T$181,"Required")+COUNTIFS('VENDOR QUESTIONNAIRE'!$R$58:$R$181,$B25,'VENDOR QUESTIONNAIRE'!$S$58:$S$181,O$16,'VENDOR QUESTIONNAIRE'!$L$58:$L$181,"NO",'VENDOR QUESTIONNAIRE'!$T$58:$T$181,"OVERRIDE")</f>
        <v>0</v>
      </c>
      <c r="P25" s="194">
        <f>COUNTIFS('VENDOR QUESTIONNAIRE'!$R$58:$R$181,$B25,'VENDOR QUESTIONNAIRE'!$S$58:$S$181,P$16,'VENDOR QUESTIONNAIRE'!$L$58:$L$181,"Yes",'VENDOR QUESTIONNAIRE'!$T$58:$T$181,"Required")+COUNTIFS('VENDOR QUESTIONNAIRE'!$R$58:$R$181,$B25,'VENDOR QUESTIONNAIRE'!$S$58:$S$181,P$16,'VENDOR QUESTIONNAIRE'!$L$58:$L$181,"No",'VENDOR QUESTIONNAIRE'!$T$58:$T$181,"OVERRIDE")</f>
        <v>0</v>
      </c>
      <c r="Q25" s="194">
        <f>COUNTIFS('VENDOR QUESTIONNAIRE'!$R$58:$R$181,$B25,'VENDOR QUESTIONNAIRE'!$S$58:$S$181,Q$16,'VENDOR QUESTIONNAIRE'!$L$58:$L$181,"Yes",'VENDOR QUESTIONNAIRE'!$T$58:$T$181,"Required")+COUNTIFS('VENDOR QUESTIONNAIRE'!$R$58:$R$181,$B25,'VENDOR QUESTIONNAIRE'!$S$58:$S$181,Q$16,'VENDOR QUESTIONNAIRE'!$L$58:$L$181,"No",'VENDOR QUESTIONNAIRE'!$T$58:$T$181,"OVERRIDE")</f>
        <v>0</v>
      </c>
      <c r="R25" s="194">
        <f>COUNTIFS('VENDOR QUESTIONNAIRE'!$R$58:$R$181,$B25,'VENDOR QUESTIONNAIRE'!$S$58:$S$181,R$16,'VENDOR QUESTIONNAIRE'!$L$58:$L$181,"Yes",'VENDOR QUESTIONNAIRE'!$T$58:$T$181,"Required")+COUNTIFS('VENDOR QUESTIONNAIRE'!$R$58:$R$181,$B25,'VENDOR QUESTIONNAIRE'!$S$58:$S$181,R$16,'VENDOR QUESTIONNAIRE'!$L$58:$L$181,"No",'VENDOR QUESTIONNAIRE'!$T$58:$T$181,"OVERRIDE")</f>
        <v>0</v>
      </c>
      <c r="S25" s="195">
        <f>COUNTIFS('VENDOR QUESTIONNAIRE'!$R$58:$R$181,$B25,'VENDOR QUESTIONNAIRE'!$S$58:$S$181,S$16,'VENDOR QUESTIONNAIRE'!$L$58:$L$181,"Yes",'VENDOR QUESTIONNAIRE'!$T$58:$T$181,"Required")+COUNTIFS('VENDOR QUESTIONNAIRE'!$R$58:$R$181,$B25,'VENDOR QUESTIONNAIRE'!$S$58:$S$181,S$16,'VENDOR QUESTIONNAIRE'!$L$58:$L$181,"No",'VENDOR QUESTIONNAIRE'!$T$58:$T$181,"OVERRIDE")</f>
        <v>0</v>
      </c>
      <c r="T25" s="235"/>
    </row>
    <row r="26" spans="1:20" ht="15.75" customHeight="1">
      <c r="A26" s="617"/>
      <c r="B26" s="529" t="s">
        <v>22</v>
      </c>
      <c r="C26" s="530"/>
      <c r="D26" s="530"/>
      <c r="E26" s="530"/>
      <c r="F26" s="530"/>
      <c r="G26" s="530"/>
      <c r="H26" s="530"/>
      <c r="I26" s="531"/>
      <c r="J26" s="124">
        <f>COUNTIFS('VENDOR QUESTIONNAIRE'!$R$58:$R$181,B26,'VENDOR QUESTIONNAIRE'!$T$58:$T$181,$J$15)+COUNTIFS('VENDOR QUESTIONNAIRE'!$R$58:$R$181,B26,'VENDOR QUESTIONNAIRE'!$T$58:$T$181,"OVERRIDE")</f>
        <v>0</v>
      </c>
      <c r="K26" s="68">
        <f>COUNTIFS('VENDOR QUESTIONNAIRE'!$R$58:$R$181,B26,'VENDOR QUESTIONNAIRE'!$T$58:$T$181,$J$15,'VENDOR QUESTIONNAIRE'!$L$58:$L$181,$K$16)+COUNTIFS('VENDOR QUESTIONNAIRE'!$R$58:$R$181,B26,'VENDOR QUESTIONNAIRE'!$T$58:$T$181,"OVERRIDE")</f>
        <v>0</v>
      </c>
      <c r="L26" s="68">
        <f>COUNTIFS('VENDOR QUESTIONNAIRE'!$R$58:$R$181,$B26,'VENDOR QUESTIONNAIRE'!$T$58:$T$181,$J$15,'VENDOR QUESTIONNAIRE'!$L$58:$L$181,$L$16)</f>
        <v>0</v>
      </c>
      <c r="M26" s="68">
        <f>COUNTIFS('VENDOR QUESTIONNAIRE'!$R$58:$R$181,$B26,'VENDOR QUESTIONNAIRE'!$T$58:$T$181,$J$15,'VENDOR QUESTIONNAIRE'!$L$58:$L$181,$M$16)</f>
        <v>0</v>
      </c>
      <c r="N26" s="290" t="e">
        <f t="shared" si="0"/>
        <v>#DIV/0!</v>
      </c>
      <c r="O26" s="292">
        <f>COUNTIFS('VENDOR QUESTIONNAIRE'!$R$58:$R$181,$B26,'VENDOR QUESTIONNAIRE'!$S$58:$S$181,O$16,'VENDOR QUESTIONNAIRE'!$L$58:$L$181,"Yes",'VENDOR QUESTIONNAIRE'!$T$58:$T$181,"Required")+COUNTIFS('VENDOR QUESTIONNAIRE'!$R$58:$R$181,$B26,'VENDOR QUESTIONNAIRE'!$S$58:$S$181,O$16,'VENDOR QUESTIONNAIRE'!$L$58:$L$181,"NO",'VENDOR QUESTIONNAIRE'!$T$58:$T$181,"OVERRIDE")</f>
        <v>0</v>
      </c>
      <c r="P26" s="194">
        <f>COUNTIFS('VENDOR QUESTIONNAIRE'!$R$58:$R$181,$B26,'VENDOR QUESTIONNAIRE'!$S$58:$S$181,P$16,'VENDOR QUESTIONNAIRE'!$L$58:$L$181,"Yes",'VENDOR QUESTIONNAIRE'!$T$58:$T$181,"Required")+COUNTIFS('VENDOR QUESTIONNAIRE'!$R$58:$R$181,$B26,'VENDOR QUESTIONNAIRE'!$S$58:$S$181,P$16,'VENDOR QUESTIONNAIRE'!$L$58:$L$181,"No",'VENDOR QUESTIONNAIRE'!$T$58:$T$181,"OVERRIDE")</f>
        <v>0</v>
      </c>
      <c r="Q26" s="194">
        <f>COUNTIFS('VENDOR QUESTIONNAIRE'!$R$58:$R$181,$B26,'VENDOR QUESTIONNAIRE'!$S$58:$S$181,Q$16,'VENDOR QUESTIONNAIRE'!$L$58:$L$181,"Yes",'VENDOR QUESTIONNAIRE'!$T$58:$T$181,"Required")+COUNTIFS('VENDOR QUESTIONNAIRE'!$R$58:$R$181,$B26,'VENDOR QUESTIONNAIRE'!$S$58:$S$181,Q$16,'VENDOR QUESTIONNAIRE'!$L$58:$L$181,"No",'VENDOR QUESTIONNAIRE'!$T$58:$T$181,"OVERRIDE")</f>
        <v>0</v>
      </c>
      <c r="R26" s="194">
        <f>COUNTIFS('VENDOR QUESTIONNAIRE'!$R$58:$R$181,$B26,'VENDOR QUESTIONNAIRE'!$S$58:$S$181,R$16,'VENDOR QUESTIONNAIRE'!$L$58:$L$181,"Yes",'VENDOR QUESTIONNAIRE'!$T$58:$T$181,"Required")+COUNTIFS('VENDOR QUESTIONNAIRE'!$R$58:$R$181,$B26,'VENDOR QUESTIONNAIRE'!$S$58:$S$181,R$16,'VENDOR QUESTIONNAIRE'!$L$58:$L$181,"No",'VENDOR QUESTIONNAIRE'!$T$58:$T$181,"OVERRIDE")</f>
        <v>0</v>
      </c>
      <c r="S26" s="195">
        <f>COUNTIFS('VENDOR QUESTIONNAIRE'!$R$58:$R$181,$B26,'VENDOR QUESTIONNAIRE'!$S$58:$S$181,S$16,'VENDOR QUESTIONNAIRE'!$L$58:$L$181,"Yes",'VENDOR QUESTIONNAIRE'!$T$58:$T$181,"Required")+COUNTIFS('VENDOR QUESTIONNAIRE'!$R$58:$R$181,$B26,'VENDOR QUESTIONNAIRE'!$S$58:$S$181,S$16,'VENDOR QUESTIONNAIRE'!$L$58:$L$181,"No",'VENDOR QUESTIONNAIRE'!$T$58:$T$181,"OVERRIDE")</f>
        <v>0</v>
      </c>
      <c r="T26" s="235"/>
    </row>
    <row r="27" spans="1:20" ht="15.75" customHeight="1">
      <c r="A27" s="617"/>
      <c r="B27" s="529" t="s">
        <v>28</v>
      </c>
      <c r="C27" s="530"/>
      <c r="D27" s="530"/>
      <c r="E27" s="530"/>
      <c r="F27" s="530"/>
      <c r="G27" s="530"/>
      <c r="H27" s="530"/>
      <c r="I27" s="531"/>
      <c r="J27" s="124">
        <f>COUNTIFS('VENDOR QUESTIONNAIRE'!$R$58:$R$181,B27,'VENDOR QUESTIONNAIRE'!$T$58:$T$181,$J$15)+COUNTIFS('VENDOR QUESTIONNAIRE'!$R$58:$R$181,B27,'VENDOR QUESTIONNAIRE'!$T$58:$T$181,"OVERRIDE")</f>
        <v>0</v>
      </c>
      <c r="K27" s="68">
        <f>COUNTIFS('VENDOR QUESTIONNAIRE'!$R$58:$R$181,B27,'VENDOR QUESTIONNAIRE'!$T$58:$T$181,$J$15,'VENDOR QUESTIONNAIRE'!$L$58:$L$181,$K$16)+COUNTIFS('VENDOR QUESTIONNAIRE'!$R$58:$R$181,B27,'VENDOR QUESTIONNAIRE'!$T$58:$T$181,"OVERRIDE")</f>
        <v>0</v>
      </c>
      <c r="L27" s="68">
        <f>COUNTIFS('VENDOR QUESTIONNAIRE'!$R$58:$R$181,$B27,'VENDOR QUESTIONNAIRE'!$T$58:$T$181,$J$15,'VENDOR QUESTIONNAIRE'!$L$58:$L$181,$L$16)</f>
        <v>0</v>
      </c>
      <c r="M27" s="68">
        <f>COUNTIFS('VENDOR QUESTIONNAIRE'!$R$58:$R$181,$B27,'VENDOR QUESTIONNAIRE'!$T$58:$T$181,$J$15,'VENDOR QUESTIONNAIRE'!$L$58:$L$181,$M$16)</f>
        <v>0</v>
      </c>
      <c r="N27" s="290" t="e">
        <f t="shared" si="0"/>
        <v>#DIV/0!</v>
      </c>
      <c r="O27" s="292">
        <f>COUNTIFS('VENDOR QUESTIONNAIRE'!$R$58:$R$181,$B27,'VENDOR QUESTIONNAIRE'!$S$58:$S$181,O$16,'VENDOR QUESTIONNAIRE'!$L$58:$L$181,"Yes",'VENDOR QUESTIONNAIRE'!$T$58:$T$181,"Required")+COUNTIFS('VENDOR QUESTIONNAIRE'!$R$58:$R$181,$B27,'VENDOR QUESTIONNAIRE'!$S$58:$S$181,O$16,'VENDOR QUESTIONNAIRE'!$L$58:$L$181,"NO",'VENDOR QUESTIONNAIRE'!$T$58:$T$181,"OVERRIDE")</f>
        <v>0</v>
      </c>
      <c r="P27" s="194">
        <f>COUNTIFS('VENDOR QUESTIONNAIRE'!$R$58:$R$181,$B27,'VENDOR QUESTIONNAIRE'!$S$58:$S$181,P$16,'VENDOR QUESTIONNAIRE'!$L$58:$L$181,"Yes",'VENDOR QUESTIONNAIRE'!$T$58:$T$181,"Required")+COUNTIFS('VENDOR QUESTIONNAIRE'!$R$58:$R$181,$B27,'VENDOR QUESTIONNAIRE'!$S$58:$S$181,P$16,'VENDOR QUESTIONNAIRE'!$L$58:$L$181,"No",'VENDOR QUESTIONNAIRE'!$T$58:$T$181,"OVERRIDE")</f>
        <v>0</v>
      </c>
      <c r="Q27" s="194">
        <f>COUNTIFS('VENDOR QUESTIONNAIRE'!$R$58:$R$181,$B27,'VENDOR QUESTIONNAIRE'!$S$58:$S$181,Q$16,'VENDOR QUESTIONNAIRE'!$L$58:$L$181,"Yes",'VENDOR QUESTIONNAIRE'!$T$58:$T$181,"Required")+COUNTIFS('VENDOR QUESTIONNAIRE'!$R$58:$R$181,$B27,'VENDOR QUESTIONNAIRE'!$S$58:$S$181,Q$16,'VENDOR QUESTIONNAIRE'!$L$58:$L$181,"No",'VENDOR QUESTIONNAIRE'!$T$58:$T$181,"OVERRIDE")</f>
        <v>0</v>
      </c>
      <c r="R27" s="194">
        <f>COUNTIFS('VENDOR QUESTIONNAIRE'!$R$58:$R$181,$B27,'VENDOR QUESTIONNAIRE'!$S$58:$S$181,R$16,'VENDOR QUESTIONNAIRE'!$L$58:$L$181,"Yes",'VENDOR QUESTIONNAIRE'!$T$58:$T$181,"Required")+COUNTIFS('VENDOR QUESTIONNAIRE'!$R$58:$R$181,$B27,'VENDOR QUESTIONNAIRE'!$S$58:$S$181,R$16,'VENDOR QUESTIONNAIRE'!$L$58:$L$181,"No",'VENDOR QUESTIONNAIRE'!$T$58:$T$181,"OVERRIDE")</f>
        <v>0</v>
      </c>
      <c r="S27" s="195">
        <f>COUNTIFS('VENDOR QUESTIONNAIRE'!$R$58:$R$181,$B27,'VENDOR QUESTIONNAIRE'!$S$58:$S$181,S$16,'VENDOR QUESTIONNAIRE'!$L$58:$L$181,"Yes",'VENDOR QUESTIONNAIRE'!$T$58:$T$181,"Required")+COUNTIFS('VENDOR QUESTIONNAIRE'!$R$58:$R$181,$B27,'VENDOR QUESTIONNAIRE'!$S$58:$S$181,S$16,'VENDOR QUESTIONNAIRE'!$L$58:$L$181,"No",'VENDOR QUESTIONNAIRE'!$T$58:$T$181,"OVERRIDE")</f>
        <v>0</v>
      </c>
      <c r="T27" s="235"/>
    </row>
    <row r="28" spans="1:20" ht="15.75" customHeight="1">
      <c r="A28" s="617"/>
      <c r="B28" s="529" t="s">
        <v>29</v>
      </c>
      <c r="C28" s="530"/>
      <c r="D28" s="530"/>
      <c r="E28" s="530"/>
      <c r="F28" s="530"/>
      <c r="G28" s="530"/>
      <c r="H28" s="530"/>
      <c r="I28" s="531"/>
      <c r="J28" s="124">
        <f>COUNTIFS('VENDOR QUESTIONNAIRE'!$R$58:$R$181,B28,'VENDOR QUESTIONNAIRE'!$T$58:$T$181,$J$15)+COUNTIFS('VENDOR QUESTIONNAIRE'!$R$58:$R$181,B28,'VENDOR QUESTIONNAIRE'!$T$58:$T$181,"OVERRIDE")</f>
        <v>0</v>
      </c>
      <c r="K28" s="68">
        <f>COUNTIFS('VENDOR QUESTIONNAIRE'!$R$58:$R$181,B28,'VENDOR QUESTIONNAIRE'!$T$58:$T$181,$J$15,'VENDOR QUESTIONNAIRE'!$L$58:$L$181,$K$16)+COUNTIFS('VENDOR QUESTIONNAIRE'!$R$58:$R$181,B28,'VENDOR QUESTIONNAIRE'!$T$58:$T$181,"OVERRIDE")</f>
        <v>0</v>
      </c>
      <c r="L28" s="68">
        <f>COUNTIFS('VENDOR QUESTIONNAIRE'!$R$58:$R$181,$B28,'VENDOR QUESTIONNAIRE'!$T$58:$T$181,$J$15,'VENDOR QUESTIONNAIRE'!$L$58:$L$181,$L$16)</f>
        <v>0</v>
      </c>
      <c r="M28" s="68">
        <f>COUNTIFS('VENDOR QUESTIONNAIRE'!$R$58:$R$181,$B28,'VENDOR QUESTIONNAIRE'!$T$58:$T$181,$J$15,'VENDOR QUESTIONNAIRE'!$L$58:$L$181,$M$16)</f>
        <v>0</v>
      </c>
      <c r="N28" s="290" t="e">
        <f t="shared" si="0"/>
        <v>#DIV/0!</v>
      </c>
      <c r="O28" s="292">
        <f>COUNTIFS('VENDOR QUESTIONNAIRE'!$R$58:$R$181,$B28,'VENDOR QUESTIONNAIRE'!$S$58:$S$181,O$16,'VENDOR QUESTIONNAIRE'!$L$58:$L$181,"Yes",'VENDOR QUESTIONNAIRE'!$T$58:$T$181,"Required")+COUNTIFS('VENDOR QUESTIONNAIRE'!$R$58:$R$181,$B28,'VENDOR QUESTIONNAIRE'!$S$58:$S$181,O$16,'VENDOR QUESTIONNAIRE'!$L$58:$L$181,"NO",'VENDOR QUESTIONNAIRE'!$T$58:$T$181,"OVERRIDE")</f>
        <v>0</v>
      </c>
      <c r="P28" s="194">
        <f>COUNTIFS('VENDOR QUESTIONNAIRE'!$R$58:$R$181,$B28,'VENDOR QUESTIONNAIRE'!$S$58:$S$181,P$16,'VENDOR QUESTIONNAIRE'!$L$58:$L$181,"Yes",'VENDOR QUESTIONNAIRE'!$T$58:$T$181,"Required")+COUNTIFS('VENDOR QUESTIONNAIRE'!$R$58:$R$181,$B28,'VENDOR QUESTIONNAIRE'!$S$58:$S$181,P$16,'VENDOR QUESTIONNAIRE'!$L$58:$L$181,"No",'VENDOR QUESTIONNAIRE'!$T$58:$T$181,"OVERRIDE")</f>
        <v>0</v>
      </c>
      <c r="Q28" s="194">
        <f>COUNTIFS('VENDOR QUESTIONNAIRE'!$R$58:$R$181,$B28,'VENDOR QUESTIONNAIRE'!$S$58:$S$181,Q$16,'VENDOR QUESTIONNAIRE'!$L$58:$L$181,"Yes",'VENDOR QUESTIONNAIRE'!$T$58:$T$181,"Required")+COUNTIFS('VENDOR QUESTIONNAIRE'!$R$58:$R$181,$B28,'VENDOR QUESTIONNAIRE'!$S$58:$S$181,Q$16,'VENDOR QUESTIONNAIRE'!$L$58:$L$181,"No",'VENDOR QUESTIONNAIRE'!$T$58:$T$181,"OVERRIDE")</f>
        <v>0</v>
      </c>
      <c r="R28" s="194">
        <f>COUNTIFS('VENDOR QUESTIONNAIRE'!$R$58:$R$181,$B28,'VENDOR QUESTIONNAIRE'!$S$58:$S$181,R$16,'VENDOR QUESTIONNAIRE'!$L$58:$L$181,"Yes",'VENDOR QUESTIONNAIRE'!$T$58:$T$181,"Required")+COUNTIFS('VENDOR QUESTIONNAIRE'!$R$58:$R$181,$B28,'VENDOR QUESTIONNAIRE'!$S$58:$S$181,R$16,'VENDOR QUESTIONNAIRE'!$L$58:$L$181,"No",'VENDOR QUESTIONNAIRE'!$T$58:$T$181,"OVERRIDE")</f>
        <v>0</v>
      </c>
      <c r="S28" s="195">
        <f>COUNTIFS('VENDOR QUESTIONNAIRE'!$R$58:$R$181,$B28,'VENDOR QUESTIONNAIRE'!$S$58:$S$181,S$16,'VENDOR QUESTIONNAIRE'!$L$58:$L$181,"Yes",'VENDOR QUESTIONNAIRE'!$T$58:$T$181,"Required")+COUNTIFS('VENDOR QUESTIONNAIRE'!$R$58:$R$181,$B28,'VENDOR QUESTIONNAIRE'!$S$58:$S$181,S$16,'VENDOR QUESTIONNAIRE'!$L$58:$L$181,"No",'VENDOR QUESTIONNAIRE'!$T$58:$T$181,"OVERRIDE")</f>
        <v>0</v>
      </c>
      <c r="T28" s="235"/>
    </row>
    <row r="29" spans="1:20" ht="15.75" customHeight="1">
      <c r="A29" s="617"/>
      <c r="B29" s="529" t="s">
        <v>32</v>
      </c>
      <c r="C29" s="530"/>
      <c r="D29" s="530"/>
      <c r="E29" s="530"/>
      <c r="F29" s="530"/>
      <c r="G29" s="530"/>
      <c r="H29" s="530"/>
      <c r="I29" s="531"/>
      <c r="J29" s="124">
        <f>COUNTIFS('VENDOR QUESTIONNAIRE'!$R$58:$R$181,B29,'VENDOR QUESTIONNAIRE'!$T$58:$T$181,$J$15)+COUNTIFS('VENDOR QUESTIONNAIRE'!$R$58:$R$181,B29,'VENDOR QUESTIONNAIRE'!$T$58:$T$181,"OVERRIDE")</f>
        <v>0</v>
      </c>
      <c r="K29" s="68">
        <f>COUNTIFS('VENDOR QUESTIONNAIRE'!$R$58:$R$181,B29,'VENDOR QUESTIONNAIRE'!$T$58:$T$181,$J$15,'VENDOR QUESTIONNAIRE'!$L$58:$L$181,$K$16)+COUNTIFS('VENDOR QUESTIONNAIRE'!$R$58:$R$181,B29,'VENDOR QUESTIONNAIRE'!$T$58:$T$181,"OVERRIDE")</f>
        <v>0</v>
      </c>
      <c r="L29" s="68">
        <f>COUNTIFS('VENDOR QUESTIONNAIRE'!$R$58:$R$181,$B29,'VENDOR QUESTIONNAIRE'!$T$58:$T$181,$J$15,'VENDOR QUESTIONNAIRE'!$L$58:$L$181,$L$16)</f>
        <v>0</v>
      </c>
      <c r="M29" s="68">
        <f>COUNTIFS('VENDOR QUESTIONNAIRE'!$R$58:$R$181,$B29,'VENDOR QUESTIONNAIRE'!$T$58:$T$181,$J$15,'VENDOR QUESTIONNAIRE'!$L$58:$L$181,$M$16)</f>
        <v>0</v>
      </c>
      <c r="N29" s="290" t="e">
        <f t="shared" si="0"/>
        <v>#DIV/0!</v>
      </c>
      <c r="O29" s="292">
        <f>COUNTIFS('VENDOR QUESTIONNAIRE'!$R$58:$R$181,$B29,'VENDOR QUESTIONNAIRE'!$S$58:$S$181,O$16,'VENDOR QUESTIONNAIRE'!$L$58:$L$181,"Yes",'VENDOR QUESTIONNAIRE'!$T$58:$T$181,"Required")+COUNTIFS('VENDOR QUESTIONNAIRE'!$R$58:$R$181,$B29,'VENDOR QUESTIONNAIRE'!$S$58:$S$181,O$16,'VENDOR QUESTIONNAIRE'!$L$58:$L$181,"NO",'VENDOR QUESTIONNAIRE'!$T$58:$T$181,"OVERRIDE")</f>
        <v>0</v>
      </c>
      <c r="P29" s="194">
        <f>COUNTIFS('VENDOR QUESTIONNAIRE'!$R$58:$R$181,$B29,'VENDOR QUESTIONNAIRE'!$S$58:$S$181,P$16,'VENDOR QUESTIONNAIRE'!$L$58:$L$181,"Yes",'VENDOR QUESTIONNAIRE'!$T$58:$T$181,"Required")+COUNTIFS('VENDOR QUESTIONNAIRE'!$R$58:$R$181,$B29,'VENDOR QUESTIONNAIRE'!$S$58:$S$181,P$16,'VENDOR QUESTIONNAIRE'!$L$58:$L$181,"No",'VENDOR QUESTIONNAIRE'!$T$58:$T$181,"OVERRIDE")</f>
        <v>0</v>
      </c>
      <c r="Q29" s="194">
        <f>COUNTIFS('VENDOR QUESTIONNAIRE'!$R$58:$R$181,$B29,'VENDOR QUESTIONNAIRE'!$S$58:$S$181,Q$16,'VENDOR QUESTIONNAIRE'!$L$58:$L$181,"Yes",'VENDOR QUESTIONNAIRE'!$T$58:$T$181,"Required")+COUNTIFS('VENDOR QUESTIONNAIRE'!$R$58:$R$181,$B29,'VENDOR QUESTIONNAIRE'!$S$58:$S$181,Q$16,'VENDOR QUESTIONNAIRE'!$L$58:$L$181,"No",'VENDOR QUESTIONNAIRE'!$T$58:$T$181,"OVERRIDE")</f>
        <v>0</v>
      </c>
      <c r="R29" s="194">
        <f>COUNTIFS('VENDOR QUESTIONNAIRE'!$R$58:$R$181,$B29,'VENDOR QUESTIONNAIRE'!$S$58:$S$181,R$16,'VENDOR QUESTIONNAIRE'!$L$58:$L$181,"Yes",'VENDOR QUESTIONNAIRE'!$T$58:$T$181,"Required")+COUNTIFS('VENDOR QUESTIONNAIRE'!$R$58:$R$181,$B29,'VENDOR QUESTIONNAIRE'!$S$58:$S$181,R$16,'VENDOR QUESTIONNAIRE'!$L$58:$L$181,"No",'VENDOR QUESTIONNAIRE'!$T$58:$T$181,"OVERRIDE")</f>
        <v>0</v>
      </c>
      <c r="S29" s="195">
        <f>COUNTIFS('VENDOR QUESTIONNAIRE'!$R$58:$R$181,$B29,'VENDOR QUESTIONNAIRE'!$S$58:$S$181,S$16,'VENDOR QUESTIONNAIRE'!$L$58:$L$181,"Yes",'VENDOR QUESTIONNAIRE'!$T$58:$T$181,"Required")+COUNTIFS('VENDOR QUESTIONNAIRE'!$R$58:$R$181,$B29,'VENDOR QUESTIONNAIRE'!$S$58:$S$181,S$16,'VENDOR QUESTIONNAIRE'!$L$58:$L$181,"No",'VENDOR QUESTIONNAIRE'!$T$58:$T$181,"OVERRIDE")</f>
        <v>0</v>
      </c>
      <c r="T29" s="235"/>
    </row>
    <row r="30" spans="1:20" ht="15.75" customHeight="1">
      <c r="A30" s="617"/>
      <c r="B30" s="529" t="s">
        <v>33</v>
      </c>
      <c r="C30" s="530"/>
      <c r="D30" s="530"/>
      <c r="E30" s="530"/>
      <c r="F30" s="530"/>
      <c r="G30" s="530"/>
      <c r="H30" s="530"/>
      <c r="I30" s="531"/>
      <c r="J30" s="124">
        <f>COUNTIFS('VENDOR QUESTIONNAIRE'!$R$58:$R$181,B30,'VENDOR QUESTIONNAIRE'!$T$58:$T$181,$J$15)+COUNTIFS('VENDOR QUESTIONNAIRE'!$R$58:$R$181,B30,'VENDOR QUESTIONNAIRE'!$T$58:$T$181,"OVERRIDE")</f>
        <v>0</v>
      </c>
      <c r="K30" s="68">
        <f>COUNTIFS('VENDOR QUESTIONNAIRE'!$R$58:$R$181,B30,'VENDOR QUESTIONNAIRE'!$T$58:$T$181,$J$15,'VENDOR QUESTIONNAIRE'!$L$58:$L$181,$K$16)+COUNTIFS('VENDOR QUESTIONNAIRE'!$R$58:$R$181,B30,'VENDOR QUESTIONNAIRE'!$T$58:$T$181,"OVERRIDE")</f>
        <v>0</v>
      </c>
      <c r="L30" s="68">
        <f>COUNTIFS('VENDOR QUESTIONNAIRE'!$R$58:$R$181,$B30,'VENDOR QUESTIONNAIRE'!$T$58:$T$181,$J$15,'VENDOR QUESTIONNAIRE'!$L$58:$L$181,$L$16)</f>
        <v>0</v>
      </c>
      <c r="M30" s="68">
        <f>COUNTIFS('VENDOR QUESTIONNAIRE'!$R$58:$R$181,$B30,'VENDOR QUESTIONNAIRE'!$T$58:$T$181,$J$15,'VENDOR QUESTIONNAIRE'!$L$58:$L$181,$M$16)</f>
        <v>0</v>
      </c>
      <c r="N30" s="290" t="e">
        <f t="shared" si="0"/>
        <v>#DIV/0!</v>
      </c>
      <c r="O30" s="292">
        <f>COUNTIFS('VENDOR QUESTIONNAIRE'!$R$58:$R$181,$B30,'VENDOR QUESTIONNAIRE'!$S$58:$S$181,O$16,'VENDOR QUESTIONNAIRE'!$L$58:$L$181,"Yes",'VENDOR QUESTIONNAIRE'!$T$58:$T$181,"Required")+COUNTIFS('VENDOR QUESTIONNAIRE'!$R$58:$R$181,$B30,'VENDOR QUESTIONNAIRE'!$S$58:$S$181,O$16,'VENDOR QUESTIONNAIRE'!$L$58:$L$181,"NO",'VENDOR QUESTIONNAIRE'!$T$58:$T$181,"OVERRIDE")</f>
        <v>0</v>
      </c>
      <c r="P30" s="194">
        <f>COUNTIFS('VENDOR QUESTIONNAIRE'!$R$58:$R$181,$B30,'VENDOR QUESTIONNAIRE'!$S$58:$S$181,P$16,'VENDOR QUESTIONNAIRE'!$L$58:$L$181,"Yes",'VENDOR QUESTIONNAIRE'!$T$58:$T$181,"Required")+COUNTIFS('VENDOR QUESTIONNAIRE'!$R$58:$R$181,$B30,'VENDOR QUESTIONNAIRE'!$S$58:$S$181,P$16,'VENDOR QUESTIONNAIRE'!$L$58:$L$181,"No",'VENDOR QUESTIONNAIRE'!$T$58:$T$181,"OVERRIDE")</f>
        <v>0</v>
      </c>
      <c r="Q30" s="194">
        <f>COUNTIFS('VENDOR QUESTIONNAIRE'!$R$58:$R$181,$B30,'VENDOR QUESTIONNAIRE'!$S$58:$S$181,Q$16,'VENDOR QUESTIONNAIRE'!$L$58:$L$181,"Yes",'VENDOR QUESTIONNAIRE'!$T$58:$T$181,"Required")+COUNTIFS('VENDOR QUESTIONNAIRE'!$R$58:$R$181,$B30,'VENDOR QUESTIONNAIRE'!$S$58:$S$181,Q$16,'VENDOR QUESTIONNAIRE'!$L$58:$L$181,"No",'VENDOR QUESTIONNAIRE'!$T$58:$T$181,"OVERRIDE")</f>
        <v>0</v>
      </c>
      <c r="R30" s="194">
        <f>COUNTIFS('VENDOR QUESTIONNAIRE'!$R$58:$R$181,$B30,'VENDOR QUESTIONNAIRE'!$S$58:$S$181,R$16,'VENDOR QUESTIONNAIRE'!$L$58:$L$181,"Yes",'VENDOR QUESTIONNAIRE'!$T$58:$T$181,"Required")+COUNTIFS('VENDOR QUESTIONNAIRE'!$R$58:$R$181,$B30,'VENDOR QUESTIONNAIRE'!$S$58:$S$181,R$16,'VENDOR QUESTIONNAIRE'!$L$58:$L$181,"No",'VENDOR QUESTIONNAIRE'!$T$58:$T$181,"OVERRIDE")</f>
        <v>0</v>
      </c>
      <c r="S30" s="195">
        <f>COUNTIFS('VENDOR QUESTIONNAIRE'!$R$58:$R$181,$B30,'VENDOR QUESTIONNAIRE'!$S$58:$S$181,S$16,'VENDOR QUESTIONNAIRE'!$L$58:$L$181,"Yes",'VENDOR QUESTIONNAIRE'!$T$58:$T$181,"Required")+COUNTIFS('VENDOR QUESTIONNAIRE'!$R$58:$R$181,$B30,'VENDOR QUESTIONNAIRE'!$S$58:$S$181,S$16,'VENDOR QUESTIONNAIRE'!$L$58:$L$181,"No",'VENDOR QUESTIONNAIRE'!$T$58:$T$181,"OVERRIDE")</f>
        <v>0</v>
      </c>
      <c r="T30" s="235"/>
    </row>
    <row r="31" spans="1:20" ht="15.75" customHeight="1">
      <c r="A31" s="617"/>
      <c r="B31" s="529" t="s">
        <v>34</v>
      </c>
      <c r="C31" s="530"/>
      <c r="D31" s="530"/>
      <c r="E31" s="530"/>
      <c r="F31" s="530"/>
      <c r="G31" s="530"/>
      <c r="H31" s="530"/>
      <c r="I31" s="531"/>
      <c r="J31" s="124">
        <f>COUNTIFS('VENDOR QUESTIONNAIRE'!$R$58:$R$181,B31,'VENDOR QUESTIONNAIRE'!$T$58:$T$181,$J$15)+COUNTIFS('VENDOR QUESTIONNAIRE'!$R$58:$R$181,B31,'VENDOR QUESTIONNAIRE'!$T$58:$T$181,"OVERRIDE")</f>
        <v>0</v>
      </c>
      <c r="K31" s="68">
        <f>COUNTIFS('VENDOR QUESTIONNAIRE'!$R$58:$R$181,B31,'VENDOR QUESTIONNAIRE'!$T$58:$T$181,$J$15,'VENDOR QUESTIONNAIRE'!$L$58:$L$181,$K$16)+COUNTIFS('VENDOR QUESTIONNAIRE'!$R$58:$R$181,B31,'VENDOR QUESTIONNAIRE'!$T$58:$T$181,"OVERRIDE")</f>
        <v>0</v>
      </c>
      <c r="L31" s="68">
        <f>COUNTIFS('VENDOR QUESTIONNAIRE'!$R$58:$R$181,$B31,'VENDOR QUESTIONNAIRE'!$T$58:$T$181,$J$15,'VENDOR QUESTIONNAIRE'!$L$58:$L$181,$L$16)</f>
        <v>0</v>
      </c>
      <c r="M31" s="68">
        <f>COUNTIFS('VENDOR QUESTIONNAIRE'!$R$58:$R$181,$B31,'VENDOR QUESTIONNAIRE'!$T$58:$T$181,$J$15,'VENDOR QUESTIONNAIRE'!$L$58:$L$181,$M$16)</f>
        <v>0</v>
      </c>
      <c r="N31" s="290" t="e">
        <f t="shared" si="0"/>
        <v>#DIV/0!</v>
      </c>
      <c r="O31" s="292">
        <f>COUNTIFS('VENDOR QUESTIONNAIRE'!$R$58:$R$181,$B31,'VENDOR QUESTIONNAIRE'!$S$58:$S$181,O$16,'VENDOR QUESTIONNAIRE'!$L$58:$L$181,"Yes",'VENDOR QUESTIONNAIRE'!$T$58:$T$181,"Required")+COUNTIFS('VENDOR QUESTIONNAIRE'!$R$58:$R$181,$B31,'VENDOR QUESTIONNAIRE'!$S$58:$S$181,O$16,'VENDOR QUESTIONNAIRE'!$L$58:$L$181,"NO",'VENDOR QUESTIONNAIRE'!$T$58:$T$181,"OVERRIDE")</f>
        <v>0</v>
      </c>
      <c r="P31" s="194">
        <f>COUNTIFS('VENDOR QUESTIONNAIRE'!$R$58:$R$181,$B31,'VENDOR QUESTIONNAIRE'!$S$58:$S$181,P$16,'VENDOR QUESTIONNAIRE'!$L$58:$L$181,"Yes",'VENDOR QUESTIONNAIRE'!$T$58:$T$181,"Required")+COUNTIFS('VENDOR QUESTIONNAIRE'!$R$58:$R$181,$B31,'VENDOR QUESTIONNAIRE'!$S$58:$S$181,P$16,'VENDOR QUESTIONNAIRE'!$L$58:$L$181,"No",'VENDOR QUESTIONNAIRE'!$T$58:$T$181,"OVERRIDE")</f>
        <v>0</v>
      </c>
      <c r="Q31" s="194">
        <f>COUNTIFS('VENDOR QUESTIONNAIRE'!$R$58:$R$181,$B31,'VENDOR QUESTIONNAIRE'!$S$58:$S$181,Q$16,'VENDOR QUESTIONNAIRE'!$L$58:$L$181,"Yes",'VENDOR QUESTIONNAIRE'!$T$58:$T$181,"Required")+COUNTIFS('VENDOR QUESTIONNAIRE'!$R$58:$R$181,$B31,'VENDOR QUESTIONNAIRE'!$S$58:$S$181,Q$16,'VENDOR QUESTIONNAIRE'!$L$58:$L$181,"No",'VENDOR QUESTIONNAIRE'!$T$58:$T$181,"OVERRIDE")</f>
        <v>0</v>
      </c>
      <c r="R31" s="194">
        <f>COUNTIFS('VENDOR QUESTIONNAIRE'!$R$58:$R$181,$B31,'VENDOR QUESTIONNAIRE'!$S$58:$S$181,R$16,'VENDOR QUESTIONNAIRE'!$L$58:$L$181,"Yes",'VENDOR QUESTIONNAIRE'!$T$58:$T$181,"Required")+COUNTIFS('VENDOR QUESTIONNAIRE'!$R$58:$R$181,$B31,'VENDOR QUESTIONNAIRE'!$S$58:$S$181,R$16,'VENDOR QUESTIONNAIRE'!$L$58:$L$181,"No",'VENDOR QUESTIONNAIRE'!$T$58:$T$181,"OVERRIDE")</f>
        <v>0</v>
      </c>
      <c r="S31" s="195">
        <f>COUNTIFS('VENDOR QUESTIONNAIRE'!$R$58:$R$181,$B31,'VENDOR QUESTIONNAIRE'!$S$58:$S$181,S$16,'VENDOR QUESTIONNAIRE'!$L$58:$L$181,"Yes",'VENDOR QUESTIONNAIRE'!$T$58:$T$181,"Required")+COUNTIFS('VENDOR QUESTIONNAIRE'!$R$58:$R$181,$B31,'VENDOR QUESTIONNAIRE'!$S$58:$S$181,S$16,'VENDOR QUESTIONNAIRE'!$L$58:$L$181,"No",'VENDOR QUESTIONNAIRE'!$T$58:$T$181,"OVERRIDE")</f>
        <v>0</v>
      </c>
      <c r="T31" s="235"/>
    </row>
    <row r="32" spans="1:20" ht="15.75" customHeight="1">
      <c r="A32" s="617"/>
      <c r="B32" s="529" t="s">
        <v>35</v>
      </c>
      <c r="C32" s="530"/>
      <c r="D32" s="530"/>
      <c r="E32" s="530"/>
      <c r="F32" s="530"/>
      <c r="G32" s="530"/>
      <c r="H32" s="530"/>
      <c r="I32" s="531"/>
      <c r="J32" s="124">
        <f>COUNTIFS('VENDOR QUESTIONNAIRE'!$R$58:$R$181,B32,'VENDOR QUESTIONNAIRE'!$T$58:$T$181,$J$15)+COUNTIFS('VENDOR QUESTIONNAIRE'!$R$58:$R$181,B32,'VENDOR QUESTIONNAIRE'!$T$58:$T$181,"OVERRIDE")</f>
        <v>0</v>
      </c>
      <c r="K32" s="68">
        <f>COUNTIFS('VENDOR QUESTIONNAIRE'!$R$58:$R$181,B32,'VENDOR QUESTIONNAIRE'!$T$58:$T$181,$J$15,'VENDOR QUESTIONNAIRE'!$L$58:$L$181,$K$16)+COUNTIFS('VENDOR QUESTIONNAIRE'!$R$58:$R$181,B32,'VENDOR QUESTIONNAIRE'!$T$58:$T$181,"OVERRIDE")</f>
        <v>0</v>
      </c>
      <c r="L32" s="68">
        <f>COUNTIFS('VENDOR QUESTIONNAIRE'!$R$58:$R$181,$B32,'VENDOR QUESTIONNAIRE'!$T$58:$T$181,$J$15,'VENDOR QUESTIONNAIRE'!$L$58:$L$181,$L$16)</f>
        <v>0</v>
      </c>
      <c r="M32" s="68">
        <f>COUNTIFS('VENDOR QUESTIONNAIRE'!$R$58:$R$181,$B32,'VENDOR QUESTIONNAIRE'!$T$58:$T$181,$J$15,'VENDOR QUESTIONNAIRE'!$L$58:$L$181,$M$16)</f>
        <v>0</v>
      </c>
      <c r="N32" s="290" t="e">
        <f t="shared" si="0"/>
        <v>#DIV/0!</v>
      </c>
      <c r="O32" s="292">
        <f>COUNTIFS('VENDOR QUESTIONNAIRE'!$R$58:$R$181,$B32,'VENDOR QUESTIONNAIRE'!$S$58:$S$181,O$16,'VENDOR QUESTIONNAIRE'!$L$58:$L$181,"Yes",'VENDOR QUESTIONNAIRE'!$T$58:$T$181,"Required")+COUNTIFS('VENDOR QUESTIONNAIRE'!$R$58:$R$181,$B32,'VENDOR QUESTIONNAIRE'!$S$58:$S$181,O$16,'VENDOR QUESTIONNAIRE'!$L$58:$L$181,"NO",'VENDOR QUESTIONNAIRE'!$T$58:$T$181,"OVERRIDE")</f>
        <v>0</v>
      </c>
      <c r="P32" s="194">
        <f>COUNTIFS('VENDOR QUESTIONNAIRE'!$R$58:$R$181,$B32,'VENDOR QUESTIONNAIRE'!$S$58:$S$181,P$16,'VENDOR QUESTIONNAIRE'!$L$58:$L$181,"Yes",'VENDOR QUESTIONNAIRE'!$T$58:$T$181,"Required")+COUNTIFS('VENDOR QUESTIONNAIRE'!$R$58:$R$181,$B32,'VENDOR QUESTIONNAIRE'!$S$58:$S$181,P$16,'VENDOR QUESTIONNAIRE'!$L$58:$L$181,"No",'VENDOR QUESTIONNAIRE'!$T$58:$T$181,"OVERRIDE")</f>
        <v>0</v>
      </c>
      <c r="Q32" s="194">
        <f>COUNTIFS('VENDOR QUESTIONNAIRE'!$R$58:$R$181,$B32,'VENDOR QUESTIONNAIRE'!$S$58:$S$181,Q$16,'VENDOR QUESTIONNAIRE'!$L$58:$L$181,"Yes",'VENDOR QUESTIONNAIRE'!$T$58:$T$181,"Required")+COUNTIFS('VENDOR QUESTIONNAIRE'!$R$58:$R$181,$B32,'VENDOR QUESTIONNAIRE'!$S$58:$S$181,Q$16,'VENDOR QUESTIONNAIRE'!$L$58:$L$181,"No",'VENDOR QUESTIONNAIRE'!$T$58:$T$181,"OVERRIDE")</f>
        <v>0</v>
      </c>
      <c r="R32" s="194">
        <f>COUNTIFS('VENDOR QUESTIONNAIRE'!$R$58:$R$181,$B32,'VENDOR QUESTIONNAIRE'!$S$58:$S$181,R$16,'VENDOR QUESTIONNAIRE'!$L$58:$L$181,"Yes",'VENDOR QUESTIONNAIRE'!$T$58:$T$181,"Required")+COUNTIFS('VENDOR QUESTIONNAIRE'!$R$58:$R$181,$B32,'VENDOR QUESTIONNAIRE'!$S$58:$S$181,R$16,'VENDOR QUESTIONNAIRE'!$L$58:$L$181,"No",'VENDOR QUESTIONNAIRE'!$T$58:$T$181,"OVERRIDE")</f>
        <v>0</v>
      </c>
      <c r="S32" s="195">
        <f>COUNTIFS('VENDOR QUESTIONNAIRE'!$R$58:$R$181,$B32,'VENDOR QUESTIONNAIRE'!$S$58:$S$181,S$16,'VENDOR QUESTIONNAIRE'!$L$58:$L$181,"Yes",'VENDOR QUESTIONNAIRE'!$T$58:$T$181,"Required")+COUNTIFS('VENDOR QUESTIONNAIRE'!$R$58:$R$181,$B32,'VENDOR QUESTIONNAIRE'!$S$58:$S$181,S$16,'VENDOR QUESTIONNAIRE'!$L$58:$L$181,"No",'VENDOR QUESTIONNAIRE'!$T$58:$T$181,"OVERRIDE")</f>
        <v>0</v>
      </c>
      <c r="T32" s="235"/>
    </row>
    <row r="33" spans="1:20" ht="15.75" customHeight="1">
      <c r="A33" s="617"/>
      <c r="B33" s="529" t="s">
        <v>36</v>
      </c>
      <c r="C33" s="530"/>
      <c r="D33" s="530"/>
      <c r="E33" s="530"/>
      <c r="F33" s="530"/>
      <c r="G33" s="530"/>
      <c r="H33" s="530"/>
      <c r="I33" s="531"/>
      <c r="J33" s="124">
        <f>COUNTIFS('VENDOR QUESTIONNAIRE'!$R$58:$R$181,B33,'VENDOR QUESTIONNAIRE'!$T$58:$T$181,$J$15)+COUNTIFS('VENDOR QUESTIONNAIRE'!$R$58:$R$181,B33,'VENDOR QUESTIONNAIRE'!$T$58:$T$181,"OVERRIDE")</f>
        <v>0</v>
      </c>
      <c r="K33" s="68">
        <f>COUNTIFS('VENDOR QUESTIONNAIRE'!$R$58:$R$181,B33,'VENDOR QUESTIONNAIRE'!$T$58:$T$181,$J$15,'VENDOR QUESTIONNAIRE'!$L$58:$L$181,$K$16)+COUNTIFS('VENDOR QUESTIONNAIRE'!$R$58:$R$181,B33,'VENDOR QUESTIONNAIRE'!$T$58:$T$181,"OVERRIDE")</f>
        <v>0</v>
      </c>
      <c r="L33" s="68">
        <f>COUNTIFS('VENDOR QUESTIONNAIRE'!$R$58:$R$181,$B33,'VENDOR QUESTIONNAIRE'!$T$58:$T$181,$J$15,'VENDOR QUESTIONNAIRE'!$L$58:$L$181,$L$16)</f>
        <v>0</v>
      </c>
      <c r="M33" s="68">
        <f>COUNTIFS('VENDOR QUESTIONNAIRE'!$R$58:$R$181,$B33,'VENDOR QUESTIONNAIRE'!$T$58:$T$181,$J$15,'VENDOR QUESTIONNAIRE'!$L$58:$L$181,$M$16)</f>
        <v>0</v>
      </c>
      <c r="N33" s="290" t="e">
        <f t="shared" si="0"/>
        <v>#DIV/0!</v>
      </c>
      <c r="O33" s="292">
        <f>COUNTIFS('VENDOR QUESTIONNAIRE'!$R$58:$R$181,$B33,'VENDOR QUESTIONNAIRE'!$S$58:$S$181,O$16,'VENDOR QUESTIONNAIRE'!$L$58:$L$181,"Yes",'VENDOR QUESTIONNAIRE'!$T$58:$T$181,"Required")+COUNTIFS('VENDOR QUESTIONNAIRE'!$R$58:$R$181,$B33,'VENDOR QUESTIONNAIRE'!$S$58:$S$181,O$16,'VENDOR QUESTIONNAIRE'!$L$58:$L$181,"NO",'VENDOR QUESTIONNAIRE'!$T$58:$T$181,"OVERRIDE")</f>
        <v>0</v>
      </c>
      <c r="P33" s="194">
        <f>COUNTIFS('VENDOR QUESTIONNAIRE'!$R$58:$R$181,$B33,'VENDOR QUESTIONNAIRE'!$S$58:$S$181,P$16,'VENDOR QUESTIONNAIRE'!$L$58:$L$181,"Yes",'VENDOR QUESTIONNAIRE'!$T$58:$T$181,"Required")+COUNTIFS('VENDOR QUESTIONNAIRE'!$R$58:$R$181,$B33,'VENDOR QUESTIONNAIRE'!$S$58:$S$181,P$16,'VENDOR QUESTIONNAIRE'!$L$58:$L$181,"No",'VENDOR QUESTIONNAIRE'!$T$58:$T$181,"OVERRIDE")</f>
        <v>0</v>
      </c>
      <c r="Q33" s="194">
        <f>COUNTIFS('VENDOR QUESTIONNAIRE'!$R$58:$R$181,$B33,'VENDOR QUESTIONNAIRE'!$S$58:$S$181,Q$16,'VENDOR QUESTIONNAIRE'!$L$58:$L$181,"Yes",'VENDOR QUESTIONNAIRE'!$T$58:$T$181,"Required")+COUNTIFS('VENDOR QUESTIONNAIRE'!$R$58:$R$181,$B33,'VENDOR QUESTIONNAIRE'!$S$58:$S$181,Q$16,'VENDOR QUESTIONNAIRE'!$L$58:$L$181,"No",'VENDOR QUESTIONNAIRE'!$T$58:$T$181,"OVERRIDE")</f>
        <v>0</v>
      </c>
      <c r="R33" s="194">
        <f>COUNTIFS('VENDOR QUESTIONNAIRE'!$R$58:$R$181,$B33,'VENDOR QUESTIONNAIRE'!$S$58:$S$181,R$16,'VENDOR QUESTIONNAIRE'!$L$58:$L$181,"Yes",'VENDOR QUESTIONNAIRE'!$T$58:$T$181,"Required")+COUNTIFS('VENDOR QUESTIONNAIRE'!$R$58:$R$181,$B33,'VENDOR QUESTIONNAIRE'!$S$58:$S$181,R$16,'VENDOR QUESTIONNAIRE'!$L$58:$L$181,"No",'VENDOR QUESTIONNAIRE'!$T$58:$T$181,"OVERRIDE")</f>
        <v>0</v>
      </c>
      <c r="S33" s="195">
        <f>COUNTIFS('VENDOR QUESTIONNAIRE'!$R$58:$R$181,$B33,'VENDOR QUESTIONNAIRE'!$S$58:$S$181,S$16,'VENDOR QUESTIONNAIRE'!$L$58:$L$181,"Yes",'VENDOR QUESTIONNAIRE'!$T$58:$T$181,"Required")+COUNTIFS('VENDOR QUESTIONNAIRE'!$R$58:$R$181,$B33,'VENDOR QUESTIONNAIRE'!$S$58:$S$181,S$16,'VENDOR QUESTIONNAIRE'!$L$58:$L$181,"No",'VENDOR QUESTIONNAIRE'!$T$58:$T$181,"OVERRIDE")</f>
        <v>0</v>
      </c>
      <c r="T33" s="235"/>
    </row>
    <row r="34" spans="1:20" ht="15.75" customHeight="1">
      <c r="A34" s="617" t="s">
        <v>1697</v>
      </c>
      <c r="B34" s="529" t="s">
        <v>37</v>
      </c>
      <c r="C34" s="530"/>
      <c r="D34" s="530"/>
      <c r="E34" s="530"/>
      <c r="F34" s="530"/>
      <c r="G34" s="530"/>
      <c r="H34" s="530"/>
      <c r="I34" s="531"/>
      <c r="J34" s="124">
        <f>COUNTIFS('VENDOR QUESTIONNAIRE'!$R$58:$R$181,B34,'VENDOR QUESTIONNAIRE'!$T$58:$T$181,$J$15)+COUNTIFS('VENDOR QUESTIONNAIRE'!$R$58:$R$181,B34,'VENDOR QUESTIONNAIRE'!$T$58:$T$181,"OVERRIDE")</f>
        <v>0</v>
      </c>
      <c r="K34" s="68">
        <f>COUNTIFS('VENDOR QUESTIONNAIRE'!$R$58:$R$181,B34,'VENDOR QUESTIONNAIRE'!$T$58:$T$181,$J$15,'VENDOR QUESTIONNAIRE'!$L$58:$L$181,$K$16)+COUNTIFS('VENDOR QUESTIONNAIRE'!$R$58:$R$181,B34,'VENDOR QUESTIONNAIRE'!$T$58:$T$181,"OVERRIDE")</f>
        <v>0</v>
      </c>
      <c r="L34" s="68">
        <f>COUNTIFS('VENDOR QUESTIONNAIRE'!$R$58:$R$181,$B34,'VENDOR QUESTIONNAIRE'!$T$58:$T$181,$J$15,'VENDOR QUESTIONNAIRE'!$L$58:$L$181,$L$16)</f>
        <v>0</v>
      </c>
      <c r="M34" s="68">
        <f>COUNTIFS('VENDOR QUESTIONNAIRE'!$R$58:$R$181,$B34,'VENDOR QUESTIONNAIRE'!$T$58:$T$181,$J$15,'VENDOR QUESTIONNAIRE'!$L$58:$L$181,$M$16)</f>
        <v>0</v>
      </c>
      <c r="N34" s="290" t="e">
        <f t="shared" si="0"/>
        <v>#DIV/0!</v>
      </c>
      <c r="O34" s="292">
        <f>COUNTIFS('VENDOR QUESTIONNAIRE'!$R$58:$R$181,$B34,'VENDOR QUESTIONNAIRE'!$S$58:$S$181,O$16,'VENDOR QUESTIONNAIRE'!$L$58:$L$181,"Yes",'VENDOR QUESTIONNAIRE'!$T$58:$T$181,"Required")+COUNTIFS('VENDOR QUESTIONNAIRE'!$R$58:$R$181,$B34,'VENDOR QUESTIONNAIRE'!$S$58:$S$181,O$16,'VENDOR QUESTIONNAIRE'!$L$58:$L$181,"NO",'VENDOR QUESTIONNAIRE'!$T$58:$T$181,"OVERRIDE")</f>
        <v>0</v>
      </c>
      <c r="P34" s="194">
        <f>COUNTIFS('VENDOR QUESTIONNAIRE'!$R$58:$R$181,$B34,'VENDOR QUESTIONNAIRE'!$S$58:$S$181,P$16,'VENDOR QUESTIONNAIRE'!$L$58:$L$181,"Yes",'VENDOR QUESTIONNAIRE'!$T$58:$T$181,"Required")+COUNTIFS('VENDOR QUESTIONNAIRE'!$R$58:$R$181,$B34,'VENDOR QUESTIONNAIRE'!$S$58:$S$181,P$16,'VENDOR QUESTIONNAIRE'!$L$58:$L$181,"No",'VENDOR QUESTIONNAIRE'!$T$58:$T$181,"OVERRIDE")</f>
        <v>0</v>
      </c>
      <c r="Q34" s="194">
        <f>COUNTIFS('VENDOR QUESTIONNAIRE'!$R$58:$R$181,$B34,'VENDOR QUESTIONNAIRE'!$S$58:$S$181,Q$16,'VENDOR QUESTIONNAIRE'!$L$58:$L$181,"Yes",'VENDOR QUESTIONNAIRE'!$T$58:$T$181,"Required")+COUNTIFS('VENDOR QUESTIONNAIRE'!$R$58:$R$181,$B34,'VENDOR QUESTIONNAIRE'!$S$58:$S$181,Q$16,'VENDOR QUESTIONNAIRE'!$L$58:$L$181,"No",'VENDOR QUESTIONNAIRE'!$T$58:$T$181,"OVERRIDE")</f>
        <v>0</v>
      </c>
      <c r="R34" s="194">
        <f>COUNTIFS('VENDOR QUESTIONNAIRE'!$R$58:$R$181,$B34,'VENDOR QUESTIONNAIRE'!$S$58:$S$181,R$16,'VENDOR QUESTIONNAIRE'!$L$58:$L$181,"Yes",'VENDOR QUESTIONNAIRE'!$T$58:$T$181,"Required")+COUNTIFS('VENDOR QUESTIONNAIRE'!$R$58:$R$181,$B34,'VENDOR QUESTIONNAIRE'!$S$58:$S$181,R$16,'VENDOR QUESTIONNAIRE'!$L$58:$L$181,"No",'VENDOR QUESTIONNAIRE'!$T$58:$T$181,"OVERRIDE")</f>
        <v>0</v>
      </c>
      <c r="S34" s="195">
        <f>COUNTIFS('VENDOR QUESTIONNAIRE'!$R$58:$R$181,$B34,'VENDOR QUESTIONNAIRE'!$S$58:$S$181,S$16,'VENDOR QUESTIONNAIRE'!$L$58:$L$181,"Yes",'VENDOR QUESTIONNAIRE'!$T$58:$T$181,"Required")+COUNTIFS('VENDOR QUESTIONNAIRE'!$R$58:$R$181,$B34,'VENDOR QUESTIONNAIRE'!$S$58:$S$181,S$16,'VENDOR QUESTIONNAIRE'!$L$58:$L$181,"No",'VENDOR QUESTIONNAIRE'!$T$58:$T$181,"OVERRIDE")</f>
        <v>0</v>
      </c>
      <c r="T34" s="235"/>
    </row>
    <row r="35" spans="1:20" ht="15.75" customHeight="1">
      <c r="A35" s="617"/>
      <c r="B35" s="529" t="s">
        <v>38</v>
      </c>
      <c r="C35" s="530"/>
      <c r="D35" s="530"/>
      <c r="E35" s="530"/>
      <c r="F35" s="530"/>
      <c r="G35" s="530"/>
      <c r="H35" s="530"/>
      <c r="I35" s="531"/>
      <c r="J35" s="124">
        <f>COUNTIFS('VENDOR QUESTIONNAIRE'!$R$58:$R$181,B35,'VENDOR QUESTIONNAIRE'!$T$58:$T$181,$J$15)+COUNTIFS('VENDOR QUESTIONNAIRE'!$R$58:$R$181,B35,'VENDOR QUESTIONNAIRE'!$T$58:$T$181,"OVERRIDE")</f>
        <v>0</v>
      </c>
      <c r="K35" s="68">
        <f>COUNTIFS('VENDOR QUESTIONNAIRE'!$R$58:$R$181,B35,'VENDOR QUESTIONNAIRE'!$T$58:$T$181,$J$15,'VENDOR QUESTIONNAIRE'!$L$58:$L$181,$K$16)+COUNTIFS('VENDOR QUESTIONNAIRE'!$R$58:$R$181,B35,'VENDOR QUESTIONNAIRE'!$T$58:$T$181,"OVERRIDE")</f>
        <v>0</v>
      </c>
      <c r="L35" s="68">
        <f>COUNTIFS('VENDOR QUESTIONNAIRE'!$R$58:$R$181,$B35,'VENDOR QUESTIONNAIRE'!$T$58:$T$181,$J$15,'VENDOR QUESTIONNAIRE'!$L$58:$L$181,$L$16)</f>
        <v>0</v>
      </c>
      <c r="M35" s="68">
        <f>COUNTIFS('VENDOR QUESTIONNAIRE'!$R$58:$R$181,$B35,'VENDOR QUESTIONNAIRE'!$T$58:$T$181,$J$15,'VENDOR QUESTIONNAIRE'!$L$58:$L$181,$M$16)</f>
        <v>0</v>
      </c>
      <c r="N35" s="290" t="e">
        <f t="shared" si="0"/>
        <v>#DIV/0!</v>
      </c>
      <c r="O35" s="292">
        <f>COUNTIFS('VENDOR QUESTIONNAIRE'!$R$58:$R$181,$B35,'VENDOR QUESTIONNAIRE'!$S$58:$S$181,O$16,'VENDOR QUESTIONNAIRE'!$L$58:$L$181,"Yes",'VENDOR QUESTIONNAIRE'!$T$58:$T$181,"Required")+COUNTIFS('VENDOR QUESTIONNAIRE'!$R$58:$R$181,$B35,'VENDOR QUESTIONNAIRE'!$S$58:$S$181,O$16,'VENDOR QUESTIONNAIRE'!$L$58:$L$181,"NO",'VENDOR QUESTIONNAIRE'!$T$58:$T$181,"OVERRIDE")</f>
        <v>0</v>
      </c>
      <c r="P35" s="194">
        <f>COUNTIFS('VENDOR QUESTIONNAIRE'!$R$58:$R$181,$B35,'VENDOR QUESTIONNAIRE'!$S$58:$S$181,P$16,'VENDOR QUESTIONNAIRE'!$L$58:$L$181,"Yes",'VENDOR QUESTIONNAIRE'!$T$58:$T$181,"Required")+COUNTIFS('VENDOR QUESTIONNAIRE'!$R$58:$R$181,$B35,'VENDOR QUESTIONNAIRE'!$S$58:$S$181,P$16,'VENDOR QUESTIONNAIRE'!$L$58:$L$181,"No",'VENDOR QUESTIONNAIRE'!$T$58:$T$181,"OVERRIDE")</f>
        <v>0</v>
      </c>
      <c r="Q35" s="194">
        <f>COUNTIFS('VENDOR QUESTIONNAIRE'!$R$58:$R$181,$B35,'VENDOR QUESTIONNAIRE'!$S$58:$S$181,Q$16,'VENDOR QUESTIONNAIRE'!$L$58:$L$181,"Yes",'VENDOR QUESTIONNAIRE'!$T$58:$T$181,"Required")+COUNTIFS('VENDOR QUESTIONNAIRE'!$R$58:$R$181,$B35,'VENDOR QUESTIONNAIRE'!$S$58:$S$181,Q$16,'VENDOR QUESTIONNAIRE'!$L$58:$L$181,"No",'VENDOR QUESTIONNAIRE'!$T$58:$T$181,"OVERRIDE")</f>
        <v>0</v>
      </c>
      <c r="R35" s="194">
        <f>COUNTIFS('VENDOR QUESTIONNAIRE'!$R$58:$R$181,$B35,'VENDOR QUESTIONNAIRE'!$S$58:$S$181,R$16,'VENDOR QUESTIONNAIRE'!$L$58:$L$181,"Yes",'VENDOR QUESTIONNAIRE'!$T$58:$T$181,"Required")+COUNTIFS('VENDOR QUESTIONNAIRE'!$R$58:$R$181,$B35,'VENDOR QUESTIONNAIRE'!$S$58:$S$181,R$16,'VENDOR QUESTIONNAIRE'!$L$58:$L$181,"No",'VENDOR QUESTIONNAIRE'!$T$58:$T$181,"OVERRIDE")</f>
        <v>0</v>
      </c>
      <c r="S35" s="195">
        <f>COUNTIFS('VENDOR QUESTIONNAIRE'!$R$58:$R$181,$B35,'VENDOR QUESTIONNAIRE'!$S$58:$S$181,S$16,'VENDOR QUESTIONNAIRE'!$L$58:$L$181,"Yes",'VENDOR QUESTIONNAIRE'!$T$58:$T$181,"Required")+COUNTIFS('VENDOR QUESTIONNAIRE'!$R$58:$R$181,$B35,'VENDOR QUESTIONNAIRE'!$S$58:$S$181,S$16,'VENDOR QUESTIONNAIRE'!$L$58:$L$181,"No",'VENDOR QUESTIONNAIRE'!$T$58:$T$181,"OVERRIDE")</f>
        <v>0</v>
      </c>
      <c r="T35" s="235"/>
    </row>
    <row r="36" spans="1:20" ht="15.75" customHeight="1">
      <c r="A36" s="617"/>
      <c r="B36" s="529" t="s">
        <v>39</v>
      </c>
      <c r="C36" s="530"/>
      <c r="D36" s="530"/>
      <c r="E36" s="530"/>
      <c r="F36" s="530"/>
      <c r="G36" s="530"/>
      <c r="H36" s="530"/>
      <c r="I36" s="531"/>
      <c r="J36" s="124">
        <f>COUNTIFS('VENDOR QUESTIONNAIRE'!$R$58:$R$181,B36,'VENDOR QUESTIONNAIRE'!$T$58:$T$181,$J$15)+COUNTIFS('VENDOR QUESTIONNAIRE'!$R$58:$R$181,B36,'VENDOR QUESTIONNAIRE'!$T$58:$T$181,"OVERRIDE")</f>
        <v>0</v>
      </c>
      <c r="K36" s="68">
        <f>COUNTIFS('VENDOR QUESTIONNAIRE'!$R$58:$R$181,B36,'VENDOR QUESTIONNAIRE'!$T$58:$T$181,$J$15,'VENDOR QUESTIONNAIRE'!$L$58:$L$181,$K$16)+COUNTIFS('VENDOR QUESTIONNAIRE'!$R$58:$R$181,B36,'VENDOR QUESTIONNAIRE'!$T$58:$T$181,"OVERRIDE")</f>
        <v>0</v>
      </c>
      <c r="L36" s="68">
        <f>COUNTIFS('VENDOR QUESTIONNAIRE'!$R$58:$R$181,$B36,'VENDOR QUESTIONNAIRE'!$T$58:$T$181,$J$15,'VENDOR QUESTIONNAIRE'!$L$58:$L$181,$L$16)</f>
        <v>0</v>
      </c>
      <c r="M36" s="68">
        <f>COUNTIFS('VENDOR QUESTIONNAIRE'!$R$58:$R$181,$B36,'VENDOR QUESTIONNAIRE'!$T$58:$T$181,$J$15,'VENDOR QUESTIONNAIRE'!$L$58:$L$181,$M$16)</f>
        <v>0</v>
      </c>
      <c r="N36" s="290" t="e">
        <f t="shared" si="0"/>
        <v>#DIV/0!</v>
      </c>
      <c r="O36" s="292">
        <f>COUNTIFS('VENDOR QUESTIONNAIRE'!$R$58:$R$181,$B36,'VENDOR QUESTIONNAIRE'!$S$58:$S$181,O$16,'VENDOR QUESTIONNAIRE'!$L$58:$L$181,"Yes",'VENDOR QUESTIONNAIRE'!$T$58:$T$181,"Required")+COUNTIFS('VENDOR QUESTIONNAIRE'!$R$58:$R$181,$B36,'VENDOR QUESTIONNAIRE'!$S$58:$S$181,O$16,'VENDOR QUESTIONNAIRE'!$L$58:$L$181,"NO",'VENDOR QUESTIONNAIRE'!$T$58:$T$181,"OVERRIDE")</f>
        <v>0</v>
      </c>
      <c r="P36" s="194">
        <f>COUNTIFS('VENDOR QUESTIONNAIRE'!$R$58:$R$181,$B36,'VENDOR QUESTIONNAIRE'!$S$58:$S$181,P$16,'VENDOR QUESTIONNAIRE'!$L$58:$L$181,"Yes",'VENDOR QUESTIONNAIRE'!$T$58:$T$181,"Required")+COUNTIFS('VENDOR QUESTIONNAIRE'!$R$58:$R$181,$B36,'VENDOR QUESTIONNAIRE'!$S$58:$S$181,P$16,'VENDOR QUESTIONNAIRE'!$L$58:$L$181,"No",'VENDOR QUESTIONNAIRE'!$T$58:$T$181,"OVERRIDE")</f>
        <v>0</v>
      </c>
      <c r="Q36" s="194">
        <f>COUNTIFS('VENDOR QUESTIONNAIRE'!$R$58:$R$181,$B36,'VENDOR QUESTIONNAIRE'!$S$58:$S$181,Q$16,'VENDOR QUESTIONNAIRE'!$L$58:$L$181,"Yes",'VENDOR QUESTIONNAIRE'!$T$58:$T$181,"Required")+COUNTIFS('VENDOR QUESTIONNAIRE'!$R$58:$R$181,$B36,'VENDOR QUESTIONNAIRE'!$S$58:$S$181,Q$16,'VENDOR QUESTIONNAIRE'!$L$58:$L$181,"No",'VENDOR QUESTIONNAIRE'!$T$58:$T$181,"OVERRIDE")</f>
        <v>0</v>
      </c>
      <c r="R36" s="194">
        <f>COUNTIFS('VENDOR QUESTIONNAIRE'!$R$58:$R$181,$B36,'VENDOR QUESTIONNAIRE'!$S$58:$S$181,R$16,'VENDOR QUESTIONNAIRE'!$L$58:$L$181,"Yes",'VENDOR QUESTIONNAIRE'!$T$58:$T$181,"Required")+COUNTIFS('VENDOR QUESTIONNAIRE'!$R$58:$R$181,$B36,'VENDOR QUESTIONNAIRE'!$S$58:$S$181,R$16,'VENDOR QUESTIONNAIRE'!$L$58:$L$181,"No",'VENDOR QUESTIONNAIRE'!$T$58:$T$181,"OVERRIDE")</f>
        <v>0</v>
      </c>
      <c r="S36" s="195">
        <f>COUNTIFS('VENDOR QUESTIONNAIRE'!$R$58:$R$181,$B36,'VENDOR QUESTIONNAIRE'!$S$58:$S$181,S$16,'VENDOR QUESTIONNAIRE'!$L$58:$L$181,"Yes",'VENDOR QUESTIONNAIRE'!$T$58:$T$181,"Required")+COUNTIFS('VENDOR QUESTIONNAIRE'!$R$58:$R$181,$B36,'VENDOR QUESTIONNAIRE'!$S$58:$S$181,S$16,'VENDOR QUESTIONNAIRE'!$L$58:$L$181,"No",'VENDOR QUESTIONNAIRE'!$T$58:$T$181,"OVERRIDE")</f>
        <v>0</v>
      </c>
      <c r="T36" s="235"/>
    </row>
    <row r="37" spans="1:20" ht="16.5" customHeight="1" thickBot="1">
      <c r="A37" s="617"/>
      <c r="B37" s="620" t="s">
        <v>40</v>
      </c>
      <c r="C37" s="621"/>
      <c r="D37" s="621"/>
      <c r="E37" s="621"/>
      <c r="F37" s="621"/>
      <c r="G37" s="621"/>
      <c r="H37" s="621"/>
      <c r="I37" s="622"/>
      <c r="J37" s="124">
        <f>COUNTIFS('VENDOR QUESTIONNAIRE'!$R$58:$R$181,B37,'VENDOR QUESTIONNAIRE'!$T$58:$T$181,$J$15)+COUNTIFS('VENDOR QUESTIONNAIRE'!$R$58:$R$181,B37,'VENDOR QUESTIONNAIRE'!$T$58:$T$181,"OVERRIDE")</f>
        <v>0</v>
      </c>
      <c r="K37" s="68">
        <f>COUNTIFS('VENDOR QUESTIONNAIRE'!$R$58:$R$181,B37,'VENDOR QUESTIONNAIRE'!$T$58:$T$181,$J$15,'VENDOR QUESTIONNAIRE'!$L$58:$L$181,$K$16)+COUNTIFS('VENDOR QUESTIONNAIRE'!$R$58:$R$181,B37,'VENDOR QUESTIONNAIRE'!$T$58:$T$181,"OVERRIDE")</f>
        <v>0</v>
      </c>
      <c r="L37" s="68">
        <f>COUNTIFS('VENDOR QUESTIONNAIRE'!$R$58:$R$181,$B37,'VENDOR QUESTIONNAIRE'!$T$58:$T$181,$J$15,'VENDOR QUESTIONNAIRE'!$L$58:$L$181,$L$16)</f>
        <v>0</v>
      </c>
      <c r="M37" s="68">
        <f>COUNTIFS('VENDOR QUESTIONNAIRE'!$R$58:$R$181,$B37,'VENDOR QUESTIONNAIRE'!$T$58:$T$181,$J$15,'VENDOR QUESTIONNAIRE'!$L$58:$L$181,$M$16)</f>
        <v>0</v>
      </c>
      <c r="N37" s="291" t="e">
        <f t="shared" si="0"/>
        <v>#DIV/0!</v>
      </c>
      <c r="O37" s="292">
        <f>COUNTIFS('VENDOR QUESTIONNAIRE'!$R$58:$R$181,$B37,'VENDOR QUESTIONNAIRE'!$S$58:$S$181,O$16,'VENDOR QUESTIONNAIRE'!$L$58:$L$181,"Yes",'VENDOR QUESTIONNAIRE'!$T$58:$T$181,"Required")+COUNTIFS('VENDOR QUESTIONNAIRE'!$R$58:$R$181,$B37,'VENDOR QUESTIONNAIRE'!$S$58:$S$181,O$16,'VENDOR QUESTIONNAIRE'!$L$58:$L$181,"NO",'VENDOR QUESTIONNAIRE'!$T$58:$T$181,"OVERRIDE")</f>
        <v>0</v>
      </c>
      <c r="P37" s="194">
        <f>COUNTIFS('VENDOR QUESTIONNAIRE'!$R$58:$R$181,$B37,'VENDOR QUESTIONNAIRE'!$S$58:$S$181,P$16,'VENDOR QUESTIONNAIRE'!$L$58:$L$181,"Yes",'VENDOR QUESTIONNAIRE'!$T$58:$T$181,"Required")+COUNTIFS('VENDOR QUESTIONNAIRE'!$R$58:$R$181,$B37,'VENDOR QUESTIONNAIRE'!$S$58:$S$181,P$16,'VENDOR QUESTIONNAIRE'!$L$58:$L$181,"No",'VENDOR QUESTIONNAIRE'!$T$58:$T$181,"OVERRIDE")</f>
        <v>0</v>
      </c>
      <c r="Q37" s="194">
        <f>COUNTIFS('VENDOR QUESTIONNAIRE'!$R$58:$R$181,$B37,'VENDOR QUESTIONNAIRE'!$S$58:$S$181,Q$16,'VENDOR QUESTIONNAIRE'!$L$58:$L$181,"Yes",'VENDOR QUESTIONNAIRE'!$T$58:$T$181,"Required")+COUNTIFS('VENDOR QUESTIONNAIRE'!$R$58:$R$181,$B37,'VENDOR QUESTIONNAIRE'!$S$58:$S$181,Q$16,'VENDOR QUESTIONNAIRE'!$L$58:$L$181,"No",'VENDOR QUESTIONNAIRE'!$T$58:$T$181,"OVERRIDE")</f>
        <v>0</v>
      </c>
      <c r="R37" s="194">
        <f>COUNTIFS('VENDOR QUESTIONNAIRE'!$R$58:$R$181,$B37,'VENDOR QUESTIONNAIRE'!$S$58:$S$181,R$16,'VENDOR QUESTIONNAIRE'!$L$58:$L$181,"Yes",'VENDOR QUESTIONNAIRE'!$T$58:$T$181,"Required")+COUNTIFS('VENDOR QUESTIONNAIRE'!$R$58:$R$181,$B37,'VENDOR QUESTIONNAIRE'!$S$58:$S$181,R$16,'VENDOR QUESTIONNAIRE'!$L$58:$L$181,"No",'VENDOR QUESTIONNAIRE'!$T$58:$T$181,"OVERRIDE")</f>
        <v>0</v>
      </c>
      <c r="S37" s="195">
        <f>COUNTIFS('VENDOR QUESTIONNAIRE'!$R$58:$R$181,$B37,'VENDOR QUESTIONNAIRE'!$S$58:$S$181,S$16,'VENDOR QUESTIONNAIRE'!$L$58:$L$181,"Yes",'VENDOR QUESTIONNAIRE'!$T$58:$T$181,"Required")+COUNTIFS('VENDOR QUESTIONNAIRE'!$R$58:$R$181,$B37,'VENDOR QUESTIONNAIRE'!$S$58:$S$181,S$16,'VENDOR QUESTIONNAIRE'!$L$58:$L$181,"No",'VENDOR QUESTIONNAIRE'!$T$58:$T$181,"OVERRIDE")</f>
        <v>0</v>
      </c>
      <c r="T37" s="235"/>
    </row>
    <row r="38" spans="1:20" ht="20" thickBot="1">
      <c r="A38" s="234"/>
      <c r="B38" s="128"/>
      <c r="C38" s="129"/>
      <c r="D38" s="129"/>
      <c r="E38" s="129"/>
      <c r="F38" s="129"/>
      <c r="G38" s="129"/>
      <c r="H38" s="623" t="s">
        <v>1389</v>
      </c>
      <c r="I38" s="624"/>
      <c r="J38" s="108">
        <f>SUM(J18:J37)</f>
        <v>0</v>
      </c>
      <c r="K38" s="108">
        <f>SUM(K18:K37)</f>
        <v>0</v>
      </c>
      <c r="L38" s="108">
        <f>SUM(L18:L37)</f>
        <v>0</v>
      </c>
      <c r="M38" s="108">
        <f>SUM(M18:M37)</f>
        <v>0</v>
      </c>
      <c r="N38" s="109" t="e">
        <f>AVERAGEIF(N18:N37,"&lt;&gt;#DIV/0!")</f>
        <v>#DIV/0!</v>
      </c>
      <c r="O38" s="132">
        <f>SUM(O18:O37)</f>
        <v>0</v>
      </c>
      <c r="P38" s="132">
        <f>SUM(P18:P37)</f>
        <v>0</v>
      </c>
      <c r="Q38" s="132">
        <f>SUM(Q18:Q37)</f>
        <v>0</v>
      </c>
      <c r="R38" s="132">
        <f>SUM(R18:R37)</f>
        <v>0</v>
      </c>
      <c r="S38" s="133">
        <f>SUM(S18:S37)</f>
        <v>0</v>
      </c>
      <c r="T38" s="235"/>
    </row>
    <row r="39" spans="1:20" ht="15.75" customHeight="1">
      <c r="A39" s="234"/>
      <c r="B39" s="296"/>
      <c r="C39" s="296"/>
      <c r="D39" s="296"/>
      <c r="E39" s="296"/>
      <c r="F39" s="296"/>
      <c r="G39" s="296"/>
      <c r="H39" s="107"/>
      <c r="I39" s="107"/>
      <c r="J39" s="110"/>
      <c r="K39" s="110"/>
      <c r="L39" s="110"/>
      <c r="M39" s="110"/>
      <c r="N39" s="111"/>
      <c r="O39" s="110"/>
      <c r="P39" s="110"/>
      <c r="Q39" s="110"/>
      <c r="R39" s="110"/>
      <c r="S39" s="111"/>
      <c r="T39" s="235"/>
    </row>
    <row r="40" spans="1:20" ht="15.75" customHeight="1">
      <c r="A40" s="234"/>
      <c r="B40" s="521" t="s">
        <v>1480</v>
      </c>
      <c r="C40" s="521"/>
      <c r="D40" s="521"/>
      <c r="E40" s="521"/>
      <c r="F40" s="521"/>
      <c r="G40" s="521"/>
      <c r="H40" s="521"/>
      <c r="I40" s="521"/>
      <c r="J40" s="521"/>
      <c r="K40" s="521"/>
      <c r="L40" s="521"/>
      <c r="M40" s="521"/>
      <c r="N40" s="521"/>
      <c r="O40" s="521"/>
      <c r="P40" s="521"/>
      <c r="Q40" s="521"/>
      <c r="R40" s="521"/>
      <c r="S40" s="521"/>
      <c r="T40" s="235"/>
    </row>
    <row r="41" spans="1:20" ht="19" customHeight="1" thickBot="1">
      <c r="A41" s="234"/>
      <c r="B41" s="521"/>
      <c r="C41" s="521"/>
      <c r="D41" s="521"/>
      <c r="E41" s="521"/>
      <c r="F41" s="521"/>
      <c r="G41" s="521"/>
      <c r="H41" s="521"/>
      <c r="I41" s="521"/>
      <c r="J41" s="521"/>
      <c r="K41" s="521"/>
      <c r="L41" s="521"/>
      <c r="M41" s="521"/>
      <c r="N41" s="521"/>
      <c r="O41" s="521"/>
      <c r="P41" s="521"/>
      <c r="Q41" s="521"/>
      <c r="R41" s="521"/>
      <c r="S41" s="521"/>
      <c r="T41" s="235"/>
    </row>
    <row r="42" spans="1:20" ht="19" customHeight="1">
      <c r="A42" s="234"/>
      <c r="B42" s="316" t="s">
        <v>1432</v>
      </c>
      <c r="C42" s="618" t="s">
        <v>1433</v>
      </c>
      <c r="D42" s="618"/>
      <c r="E42" s="619" t="s">
        <v>1435</v>
      </c>
      <c r="F42" s="619"/>
      <c r="G42" s="619"/>
      <c r="H42" s="619"/>
      <c r="I42" s="619"/>
      <c r="J42" s="619"/>
      <c r="K42" s="618" t="s">
        <v>1537</v>
      </c>
      <c r="L42" s="618"/>
      <c r="M42" s="618"/>
      <c r="N42" s="625" t="s">
        <v>1434</v>
      </c>
      <c r="O42" s="625"/>
      <c r="P42" s="625" t="s">
        <v>1371</v>
      </c>
      <c r="Q42" s="625"/>
      <c r="R42" s="625"/>
      <c r="S42" s="626"/>
      <c r="T42" s="235"/>
    </row>
    <row r="43" spans="1:20">
      <c r="A43" s="234"/>
      <c r="B43" s="371" t="e">
        <f>'Vendor Gap Calc'!E2</f>
        <v>#NUM!</v>
      </c>
      <c r="C43" s="500" t="e">
        <f>VLOOKUP(B43,'Technology MASTER'!$B$3:$N$107,4,FALSE)</f>
        <v>#NUM!</v>
      </c>
      <c r="D43" s="500"/>
      <c r="E43" s="501" t="e">
        <f>VLOOKUP(B43,'Technology MASTER'!$B$3:$N$107,5,FALSE)</f>
        <v>#NUM!</v>
      </c>
      <c r="F43" s="501"/>
      <c r="G43" s="501"/>
      <c r="H43" s="501"/>
      <c r="I43" s="501"/>
      <c r="J43" s="501"/>
      <c r="K43" s="502" t="e">
        <f>VLOOKUP(B43,'Technology MASTER'!$B$3:$N$107,10,FALSE)</f>
        <v>#NUM!</v>
      </c>
      <c r="L43" s="502"/>
      <c r="M43" s="502"/>
      <c r="N43" s="503" t="e">
        <f>VLOOKUP(B43,'Technology MASTER'!$B$3:$N$107,11,FALSE)</f>
        <v>#NUM!</v>
      </c>
      <c r="O43" s="503"/>
      <c r="P43" s="503" t="e">
        <f>VLOOKUP(B43,'Technology MASTER'!$B$3:$N$107,13,FALSE)</f>
        <v>#NUM!</v>
      </c>
      <c r="Q43" s="503"/>
      <c r="R43" s="503"/>
      <c r="S43" s="504"/>
      <c r="T43" s="235"/>
    </row>
    <row r="44" spans="1:20">
      <c r="A44" s="234"/>
      <c r="B44" s="371" t="e">
        <f>'Vendor Gap Calc'!E3</f>
        <v>#NUM!</v>
      </c>
      <c r="C44" s="500" t="e">
        <f>VLOOKUP(B44,'Technology MASTER'!$B$3:$N$107,4,FALSE)</f>
        <v>#NUM!</v>
      </c>
      <c r="D44" s="500"/>
      <c r="E44" s="501" t="e">
        <f>VLOOKUP(B44,'Technology MASTER'!$B$3:$N$107,5,FALSE)</f>
        <v>#NUM!</v>
      </c>
      <c r="F44" s="501"/>
      <c r="G44" s="501"/>
      <c r="H44" s="501"/>
      <c r="I44" s="501"/>
      <c r="J44" s="501"/>
      <c r="K44" s="502" t="e">
        <f>VLOOKUP(B44,'Technology MASTER'!$B$3:$N$107,10,FALSE)</f>
        <v>#NUM!</v>
      </c>
      <c r="L44" s="502"/>
      <c r="M44" s="502"/>
      <c r="N44" s="503" t="e">
        <f>VLOOKUP(B44,'Technology MASTER'!$B$3:$N$107,11,FALSE)</f>
        <v>#NUM!</v>
      </c>
      <c r="O44" s="503"/>
      <c r="P44" s="503" t="e">
        <f>VLOOKUP(B44,'Technology MASTER'!$B$3:$N$107,13,FALSE)</f>
        <v>#NUM!</v>
      </c>
      <c r="Q44" s="503"/>
      <c r="R44" s="503"/>
      <c r="S44" s="504"/>
      <c r="T44" s="235"/>
    </row>
    <row r="45" spans="1:20">
      <c r="A45" s="234"/>
      <c r="B45" s="371" t="e">
        <f>'Vendor Gap Calc'!E4</f>
        <v>#NUM!</v>
      </c>
      <c r="C45" s="500" t="e">
        <f>VLOOKUP(B45,'Technology MASTER'!$B$3:$N$107,4,FALSE)</f>
        <v>#NUM!</v>
      </c>
      <c r="D45" s="500"/>
      <c r="E45" s="501" t="e">
        <f>VLOOKUP(B45,'Technology MASTER'!$B$3:$N$107,5,FALSE)</f>
        <v>#NUM!</v>
      </c>
      <c r="F45" s="501"/>
      <c r="G45" s="501"/>
      <c r="H45" s="501"/>
      <c r="I45" s="501"/>
      <c r="J45" s="501"/>
      <c r="K45" s="502" t="e">
        <f>VLOOKUP(B45,'Technology MASTER'!$B$3:$N$107,10,FALSE)</f>
        <v>#NUM!</v>
      </c>
      <c r="L45" s="502"/>
      <c r="M45" s="502"/>
      <c r="N45" s="503" t="e">
        <f>VLOOKUP(B45,'Technology MASTER'!$B$3:$N$107,11,FALSE)</f>
        <v>#NUM!</v>
      </c>
      <c r="O45" s="503"/>
      <c r="P45" s="503" t="e">
        <f>VLOOKUP(B45,'Technology MASTER'!$B$3:$N$107,13,FALSE)</f>
        <v>#NUM!</v>
      </c>
      <c r="Q45" s="503"/>
      <c r="R45" s="503"/>
      <c r="S45" s="504"/>
      <c r="T45" s="235"/>
    </row>
    <row r="46" spans="1:20">
      <c r="A46" s="234"/>
      <c r="B46" s="371" t="e">
        <f>'Vendor Gap Calc'!E5</f>
        <v>#NUM!</v>
      </c>
      <c r="C46" s="500" t="e">
        <f>VLOOKUP(B46,'Technology MASTER'!$B$3:$N$107,4,FALSE)</f>
        <v>#NUM!</v>
      </c>
      <c r="D46" s="500"/>
      <c r="E46" s="501" t="e">
        <f>VLOOKUP(B46,'Technology MASTER'!$B$3:$N$107,5,FALSE)</f>
        <v>#NUM!</v>
      </c>
      <c r="F46" s="501"/>
      <c r="G46" s="501"/>
      <c r="H46" s="501"/>
      <c r="I46" s="501"/>
      <c r="J46" s="501"/>
      <c r="K46" s="502" t="e">
        <f>VLOOKUP(B46,'Technology MASTER'!$B$3:$N$107,10,FALSE)</f>
        <v>#NUM!</v>
      </c>
      <c r="L46" s="502"/>
      <c r="M46" s="502"/>
      <c r="N46" s="503" t="e">
        <f>VLOOKUP(B46,'Technology MASTER'!$B$3:$N$107,11,FALSE)</f>
        <v>#NUM!</v>
      </c>
      <c r="O46" s="503"/>
      <c r="P46" s="503" t="e">
        <f>VLOOKUP(B46,'Technology MASTER'!$B$3:$N$107,13,FALSE)</f>
        <v>#NUM!</v>
      </c>
      <c r="Q46" s="503"/>
      <c r="R46" s="503"/>
      <c r="S46" s="504"/>
      <c r="T46" s="235"/>
    </row>
    <row r="47" spans="1:20">
      <c r="A47" s="234"/>
      <c r="B47" s="371" t="e">
        <f>'Vendor Gap Calc'!E6</f>
        <v>#NUM!</v>
      </c>
      <c r="C47" s="500" t="e">
        <f>VLOOKUP(B47,'Technology MASTER'!$B$3:$N$107,4,FALSE)</f>
        <v>#NUM!</v>
      </c>
      <c r="D47" s="500"/>
      <c r="E47" s="501" t="e">
        <f>VLOOKUP(B47,'Technology MASTER'!$B$3:$N$107,5,FALSE)</f>
        <v>#NUM!</v>
      </c>
      <c r="F47" s="501"/>
      <c r="G47" s="501"/>
      <c r="H47" s="501"/>
      <c r="I47" s="501"/>
      <c r="J47" s="501"/>
      <c r="K47" s="502" t="e">
        <f>VLOOKUP(B47,'Technology MASTER'!$B$3:$N$107,10,FALSE)</f>
        <v>#NUM!</v>
      </c>
      <c r="L47" s="502"/>
      <c r="M47" s="502"/>
      <c r="N47" s="503" t="e">
        <f>VLOOKUP(B47,'Technology MASTER'!$B$3:$N$107,11,FALSE)</f>
        <v>#NUM!</v>
      </c>
      <c r="O47" s="503"/>
      <c r="P47" s="503" t="e">
        <f>VLOOKUP(B47,'Technology MASTER'!$B$3:$N$107,13,FALSE)</f>
        <v>#NUM!</v>
      </c>
      <c r="Q47" s="503"/>
      <c r="R47" s="503"/>
      <c r="S47" s="504"/>
      <c r="T47" s="235"/>
    </row>
    <row r="48" spans="1:20">
      <c r="A48" s="234"/>
      <c r="B48" s="371" t="e">
        <f>'Vendor Gap Calc'!E7</f>
        <v>#NUM!</v>
      </c>
      <c r="C48" s="500" t="e">
        <f>VLOOKUP(B48,'Technology MASTER'!$B$3:$N$107,4,FALSE)</f>
        <v>#NUM!</v>
      </c>
      <c r="D48" s="500"/>
      <c r="E48" s="501" t="e">
        <f>VLOOKUP(B48,'Technology MASTER'!$B$3:$N$107,5,FALSE)</f>
        <v>#NUM!</v>
      </c>
      <c r="F48" s="501"/>
      <c r="G48" s="501"/>
      <c r="H48" s="501"/>
      <c r="I48" s="501"/>
      <c r="J48" s="501"/>
      <c r="K48" s="502" t="e">
        <f>VLOOKUP(B48,'Technology MASTER'!$B$3:$N$107,10,FALSE)</f>
        <v>#NUM!</v>
      </c>
      <c r="L48" s="502"/>
      <c r="M48" s="502"/>
      <c r="N48" s="503" t="e">
        <f>VLOOKUP(B48,'Technology MASTER'!$B$3:$N$107,11,FALSE)</f>
        <v>#NUM!</v>
      </c>
      <c r="O48" s="503"/>
      <c r="P48" s="503" t="e">
        <f>VLOOKUP(B48,'Technology MASTER'!$B$3:$N$107,13,FALSE)</f>
        <v>#NUM!</v>
      </c>
      <c r="Q48" s="503"/>
      <c r="R48" s="503"/>
      <c r="S48" s="504"/>
      <c r="T48" s="235"/>
    </row>
    <row r="49" spans="1:20">
      <c r="A49" s="234"/>
      <c r="B49" s="371" t="e">
        <f>'Vendor Gap Calc'!E8</f>
        <v>#NUM!</v>
      </c>
      <c r="C49" s="500" t="e">
        <f>VLOOKUP(B49,'Technology MASTER'!$B$3:$N$107,4,FALSE)</f>
        <v>#NUM!</v>
      </c>
      <c r="D49" s="500"/>
      <c r="E49" s="501" t="e">
        <f>VLOOKUP(B49,'Technology MASTER'!$B$3:$N$107,5,FALSE)</f>
        <v>#NUM!</v>
      </c>
      <c r="F49" s="501"/>
      <c r="G49" s="501"/>
      <c r="H49" s="501"/>
      <c r="I49" s="501"/>
      <c r="J49" s="501"/>
      <c r="K49" s="502" t="e">
        <f>VLOOKUP(B49,'Technology MASTER'!$B$3:$N$107,10,FALSE)</f>
        <v>#NUM!</v>
      </c>
      <c r="L49" s="502"/>
      <c r="M49" s="502"/>
      <c r="N49" s="503" t="e">
        <f>VLOOKUP(B49,'Technology MASTER'!$B$3:$N$107,11,FALSE)</f>
        <v>#NUM!</v>
      </c>
      <c r="O49" s="503"/>
      <c r="P49" s="503" t="e">
        <f>VLOOKUP(B49,'Technology MASTER'!$B$3:$N$107,13,FALSE)</f>
        <v>#NUM!</v>
      </c>
      <c r="Q49" s="503"/>
      <c r="R49" s="503"/>
      <c r="S49" s="504"/>
      <c r="T49" s="235"/>
    </row>
    <row r="50" spans="1:20">
      <c r="A50" s="234"/>
      <c r="B50" s="371" t="e">
        <f>'Vendor Gap Calc'!E9</f>
        <v>#NUM!</v>
      </c>
      <c r="C50" s="500" t="e">
        <f>VLOOKUP(B50,'Technology MASTER'!$B$3:$N$107,4,FALSE)</f>
        <v>#NUM!</v>
      </c>
      <c r="D50" s="500"/>
      <c r="E50" s="501" t="e">
        <f>VLOOKUP(B50,'Technology MASTER'!$B$3:$N$107,5,FALSE)</f>
        <v>#NUM!</v>
      </c>
      <c r="F50" s="501"/>
      <c r="G50" s="501"/>
      <c r="H50" s="501"/>
      <c r="I50" s="501"/>
      <c r="J50" s="501"/>
      <c r="K50" s="502" t="e">
        <f>VLOOKUP(B50,'Technology MASTER'!$B$3:$N$107,10,FALSE)</f>
        <v>#NUM!</v>
      </c>
      <c r="L50" s="502"/>
      <c r="M50" s="502"/>
      <c r="N50" s="503" t="e">
        <f>VLOOKUP(B50,'Technology MASTER'!$B$3:$N$107,11,FALSE)</f>
        <v>#NUM!</v>
      </c>
      <c r="O50" s="503"/>
      <c r="P50" s="503" t="e">
        <f>VLOOKUP(B50,'Technology MASTER'!$B$3:$N$107,13,FALSE)</f>
        <v>#NUM!</v>
      </c>
      <c r="Q50" s="503"/>
      <c r="R50" s="503"/>
      <c r="S50" s="504"/>
      <c r="T50" s="235"/>
    </row>
    <row r="51" spans="1:20">
      <c r="A51" s="234"/>
      <c r="B51" s="371" t="e">
        <f>'Vendor Gap Calc'!E10</f>
        <v>#NUM!</v>
      </c>
      <c r="C51" s="500" t="e">
        <f>VLOOKUP(B51,'Technology MASTER'!$B$3:$N$107,4,FALSE)</f>
        <v>#NUM!</v>
      </c>
      <c r="D51" s="500"/>
      <c r="E51" s="501" t="e">
        <f>VLOOKUP(B51,'Technology MASTER'!$B$3:$N$107,5,FALSE)</f>
        <v>#NUM!</v>
      </c>
      <c r="F51" s="501"/>
      <c r="G51" s="501"/>
      <c r="H51" s="501"/>
      <c r="I51" s="501"/>
      <c r="J51" s="501"/>
      <c r="K51" s="502" t="e">
        <f>VLOOKUP(B51,'Technology MASTER'!$B$3:$N$107,10,FALSE)</f>
        <v>#NUM!</v>
      </c>
      <c r="L51" s="502"/>
      <c r="M51" s="502"/>
      <c r="N51" s="503" t="e">
        <f>VLOOKUP(B51,'Technology MASTER'!$B$3:$N$107,11,FALSE)</f>
        <v>#NUM!</v>
      </c>
      <c r="O51" s="503"/>
      <c r="P51" s="503" t="e">
        <f>VLOOKUP(B51,'Technology MASTER'!$B$3:$N$107,13,FALSE)</f>
        <v>#NUM!</v>
      </c>
      <c r="Q51" s="503"/>
      <c r="R51" s="503"/>
      <c r="S51" s="504"/>
      <c r="T51" s="235"/>
    </row>
    <row r="52" spans="1:20">
      <c r="A52" s="234"/>
      <c r="B52" s="371" t="e">
        <f>'Vendor Gap Calc'!E11</f>
        <v>#NUM!</v>
      </c>
      <c r="C52" s="500" t="e">
        <f>VLOOKUP(B52,'Technology MASTER'!$B$3:$N$107,4,FALSE)</f>
        <v>#NUM!</v>
      </c>
      <c r="D52" s="500"/>
      <c r="E52" s="501" t="e">
        <f>VLOOKUP(B52,'Technology MASTER'!$B$3:$N$107,5,FALSE)</f>
        <v>#NUM!</v>
      </c>
      <c r="F52" s="501"/>
      <c r="G52" s="501"/>
      <c r="H52" s="501"/>
      <c r="I52" s="501"/>
      <c r="J52" s="501"/>
      <c r="K52" s="502" t="e">
        <f>VLOOKUP(B52,'Technology MASTER'!$B$3:$N$107,10,FALSE)</f>
        <v>#NUM!</v>
      </c>
      <c r="L52" s="502"/>
      <c r="M52" s="502"/>
      <c r="N52" s="503" t="e">
        <f>VLOOKUP(B52,'Technology MASTER'!$B$3:$N$107,11,FALSE)</f>
        <v>#NUM!</v>
      </c>
      <c r="O52" s="503"/>
      <c r="P52" s="503" t="e">
        <f>VLOOKUP(B52,'Technology MASTER'!$B$3:$N$107,13,FALSE)</f>
        <v>#NUM!</v>
      </c>
      <c r="Q52" s="503"/>
      <c r="R52" s="503"/>
      <c r="S52" s="504"/>
      <c r="T52" s="235"/>
    </row>
    <row r="53" spans="1:20">
      <c r="A53" s="234"/>
      <c r="B53" s="371" t="e">
        <f>'Vendor Gap Calc'!E12</f>
        <v>#NUM!</v>
      </c>
      <c r="C53" s="500" t="e">
        <f>VLOOKUP(B53,'Technology MASTER'!$B$3:$N$107,4,FALSE)</f>
        <v>#NUM!</v>
      </c>
      <c r="D53" s="500"/>
      <c r="E53" s="501" t="e">
        <f>VLOOKUP(B53,'Technology MASTER'!$B$3:$N$107,5,FALSE)</f>
        <v>#NUM!</v>
      </c>
      <c r="F53" s="501"/>
      <c r="G53" s="501"/>
      <c r="H53" s="501"/>
      <c r="I53" s="501"/>
      <c r="J53" s="501"/>
      <c r="K53" s="502" t="e">
        <f>VLOOKUP(B53,'Technology MASTER'!$B$3:$N$107,10,FALSE)</f>
        <v>#NUM!</v>
      </c>
      <c r="L53" s="502"/>
      <c r="M53" s="502"/>
      <c r="N53" s="503" t="e">
        <f>VLOOKUP(B53,'Technology MASTER'!$B$3:$N$107,11,FALSE)</f>
        <v>#NUM!</v>
      </c>
      <c r="O53" s="503"/>
      <c r="P53" s="503" t="e">
        <f>VLOOKUP(B53,'Technology MASTER'!$B$3:$N$107,13,FALSE)</f>
        <v>#NUM!</v>
      </c>
      <c r="Q53" s="503"/>
      <c r="R53" s="503"/>
      <c r="S53" s="504"/>
      <c r="T53" s="235"/>
    </row>
    <row r="54" spans="1:20">
      <c r="A54" s="234"/>
      <c r="B54" s="371" t="e">
        <f>'Vendor Gap Calc'!E13</f>
        <v>#NUM!</v>
      </c>
      <c r="C54" s="500" t="e">
        <f>VLOOKUP(B54,'Technology MASTER'!$B$3:$N$107,4,FALSE)</f>
        <v>#NUM!</v>
      </c>
      <c r="D54" s="500"/>
      <c r="E54" s="501" t="e">
        <f>VLOOKUP(B54,'Technology MASTER'!$B$3:$N$107,5,FALSE)</f>
        <v>#NUM!</v>
      </c>
      <c r="F54" s="501"/>
      <c r="G54" s="501"/>
      <c r="H54" s="501"/>
      <c r="I54" s="501"/>
      <c r="J54" s="501"/>
      <c r="K54" s="502" t="e">
        <f>VLOOKUP(B54,'Technology MASTER'!$B$3:$N$107,10,FALSE)</f>
        <v>#NUM!</v>
      </c>
      <c r="L54" s="502"/>
      <c r="M54" s="502"/>
      <c r="N54" s="503" t="e">
        <f>VLOOKUP(B54,'Technology MASTER'!$B$3:$N$107,11,FALSE)</f>
        <v>#NUM!</v>
      </c>
      <c r="O54" s="503"/>
      <c r="P54" s="503" t="e">
        <f>VLOOKUP(B54,'Technology MASTER'!$B$3:$N$107,13,FALSE)</f>
        <v>#NUM!</v>
      </c>
      <c r="Q54" s="503"/>
      <c r="R54" s="503"/>
      <c r="S54" s="504"/>
      <c r="T54" s="235"/>
    </row>
    <row r="55" spans="1:20">
      <c r="A55" s="234"/>
      <c r="B55" s="371" t="e">
        <f>'Vendor Gap Calc'!E14</f>
        <v>#NUM!</v>
      </c>
      <c r="C55" s="500" t="e">
        <f>VLOOKUP(B55,'Technology MASTER'!$B$3:$N$107,4,FALSE)</f>
        <v>#NUM!</v>
      </c>
      <c r="D55" s="500"/>
      <c r="E55" s="501" t="e">
        <f>VLOOKUP(B55,'Technology MASTER'!$B$3:$N$107,5,FALSE)</f>
        <v>#NUM!</v>
      </c>
      <c r="F55" s="501"/>
      <c r="G55" s="501"/>
      <c r="H55" s="501"/>
      <c r="I55" s="501"/>
      <c r="J55" s="501"/>
      <c r="K55" s="502" t="e">
        <f>VLOOKUP(B55,'Technology MASTER'!$B$3:$N$107,10,FALSE)</f>
        <v>#NUM!</v>
      </c>
      <c r="L55" s="502"/>
      <c r="M55" s="502"/>
      <c r="N55" s="503" t="e">
        <f>VLOOKUP(B55,'Technology MASTER'!$B$3:$N$107,11,FALSE)</f>
        <v>#NUM!</v>
      </c>
      <c r="O55" s="503"/>
      <c r="P55" s="503" t="e">
        <f>VLOOKUP(B55,'Technology MASTER'!$B$3:$N$107,13,FALSE)</f>
        <v>#NUM!</v>
      </c>
      <c r="Q55" s="503"/>
      <c r="R55" s="503"/>
      <c r="S55" s="504"/>
      <c r="T55" s="235"/>
    </row>
    <row r="56" spans="1:20">
      <c r="A56" s="234"/>
      <c r="B56" s="371" t="e">
        <f>'Vendor Gap Calc'!E15</f>
        <v>#NUM!</v>
      </c>
      <c r="C56" s="500" t="e">
        <f>VLOOKUP(B56,'Technology MASTER'!$B$3:$N$107,4,FALSE)</f>
        <v>#NUM!</v>
      </c>
      <c r="D56" s="500"/>
      <c r="E56" s="501" t="e">
        <f>VLOOKUP(B56,'Technology MASTER'!$B$3:$N$107,5,FALSE)</f>
        <v>#NUM!</v>
      </c>
      <c r="F56" s="501"/>
      <c r="G56" s="501"/>
      <c r="H56" s="501"/>
      <c r="I56" s="501"/>
      <c r="J56" s="501"/>
      <c r="K56" s="502" t="e">
        <f>VLOOKUP(B56,'Technology MASTER'!$B$3:$N$107,10,FALSE)</f>
        <v>#NUM!</v>
      </c>
      <c r="L56" s="502"/>
      <c r="M56" s="502"/>
      <c r="N56" s="503" t="e">
        <f>VLOOKUP(B56,'Technology MASTER'!$B$3:$N$107,11,FALSE)</f>
        <v>#NUM!</v>
      </c>
      <c r="O56" s="503"/>
      <c r="P56" s="503" t="e">
        <f>VLOOKUP(B56,'Technology MASTER'!$B$3:$N$107,13,FALSE)</f>
        <v>#NUM!</v>
      </c>
      <c r="Q56" s="503"/>
      <c r="R56" s="503"/>
      <c r="S56" s="504"/>
      <c r="T56" s="235"/>
    </row>
    <row r="57" spans="1:20">
      <c r="A57" s="234"/>
      <c r="B57" s="371" t="e">
        <f>'Vendor Gap Calc'!E16</f>
        <v>#NUM!</v>
      </c>
      <c r="C57" s="500" t="e">
        <f>VLOOKUP(B57,'Technology MASTER'!$B$3:$N$107,4,FALSE)</f>
        <v>#NUM!</v>
      </c>
      <c r="D57" s="500"/>
      <c r="E57" s="501" t="e">
        <f>VLOOKUP(B57,'Technology MASTER'!$B$3:$N$107,5,FALSE)</f>
        <v>#NUM!</v>
      </c>
      <c r="F57" s="501"/>
      <c r="G57" s="501"/>
      <c r="H57" s="501"/>
      <c r="I57" s="501"/>
      <c r="J57" s="501"/>
      <c r="K57" s="502" t="e">
        <f>VLOOKUP(B57,'Technology MASTER'!$B$3:$N$107,10,FALSE)</f>
        <v>#NUM!</v>
      </c>
      <c r="L57" s="502"/>
      <c r="M57" s="502"/>
      <c r="N57" s="503" t="e">
        <f>VLOOKUP(B57,'Technology MASTER'!$B$3:$N$107,11,FALSE)</f>
        <v>#NUM!</v>
      </c>
      <c r="O57" s="503"/>
      <c r="P57" s="503" t="e">
        <f>VLOOKUP(B57,'Technology MASTER'!$B$3:$N$107,13,FALSE)</f>
        <v>#NUM!</v>
      </c>
      <c r="Q57" s="503"/>
      <c r="R57" s="503"/>
      <c r="S57" s="504"/>
      <c r="T57" s="235"/>
    </row>
    <row r="58" spans="1:20">
      <c r="A58" s="234"/>
      <c r="B58" s="371" t="e">
        <f>'Vendor Gap Calc'!E17</f>
        <v>#NUM!</v>
      </c>
      <c r="C58" s="500" t="e">
        <f>VLOOKUP(B58,'Technology MASTER'!$B$3:$N$107,4,FALSE)</f>
        <v>#NUM!</v>
      </c>
      <c r="D58" s="500"/>
      <c r="E58" s="501" t="e">
        <f>VLOOKUP(B58,'Technology MASTER'!$B$3:$N$107,5,FALSE)</f>
        <v>#NUM!</v>
      </c>
      <c r="F58" s="501"/>
      <c r="G58" s="501"/>
      <c r="H58" s="501"/>
      <c r="I58" s="501"/>
      <c r="J58" s="501"/>
      <c r="K58" s="502" t="e">
        <f>VLOOKUP(B58,'Technology MASTER'!$B$3:$N$107,10,FALSE)</f>
        <v>#NUM!</v>
      </c>
      <c r="L58" s="502"/>
      <c r="M58" s="502"/>
      <c r="N58" s="503" t="e">
        <f>VLOOKUP(B58,'Technology MASTER'!$B$3:$N$107,11,FALSE)</f>
        <v>#NUM!</v>
      </c>
      <c r="O58" s="503"/>
      <c r="P58" s="503" t="e">
        <f>VLOOKUP(B58,'Technology MASTER'!$B$3:$N$107,13,FALSE)</f>
        <v>#NUM!</v>
      </c>
      <c r="Q58" s="503"/>
      <c r="R58" s="503"/>
      <c r="S58" s="504"/>
      <c r="T58" s="235"/>
    </row>
    <row r="59" spans="1:20">
      <c r="A59" s="234"/>
      <c r="B59" s="371" t="e">
        <f>'Vendor Gap Calc'!E18</f>
        <v>#NUM!</v>
      </c>
      <c r="C59" s="500" t="e">
        <f>VLOOKUP(B59,'Technology MASTER'!$B$3:$N$107,4,FALSE)</f>
        <v>#NUM!</v>
      </c>
      <c r="D59" s="500"/>
      <c r="E59" s="501" t="e">
        <f>VLOOKUP(B59,'Technology MASTER'!$B$3:$N$107,5,FALSE)</f>
        <v>#NUM!</v>
      </c>
      <c r="F59" s="501"/>
      <c r="G59" s="501"/>
      <c r="H59" s="501"/>
      <c r="I59" s="501"/>
      <c r="J59" s="501"/>
      <c r="K59" s="502" t="e">
        <f>VLOOKUP(B59,'Technology MASTER'!$B$3:$N$107,10,FALSE)</f>
        <v>#NUM!</v>
      </c>
      <c r="L59" s="502"/>
      <c r="M59" s="502"/>
      <c r="N59" s="503" t="e">
        <f>VLOOKUP(B59,'Technology MASTER'!$B$3:$N$107,11,FALSE)</f>
        <v>#NUM!</v>
      </c>
      <c r="O59" s="503"/>
      <c r="P59" s="503" t="e">
        <f>VLOOKUP(B59,'Technology MASTER'!$B$3:$N$107,13,FALSE)</f>
        <v>#NUM!</v>
      </c>
      <c r="Q59" s="503"/>
      <c r="R59" s="503"/>
      <c r="S59" s="504"/>
      <c r="T59" s="235"/>
    </row>
    <row r="60" spans="1:20">
      <c r="A60" s="234"/>
      <c r="B60" s="371" t="e">
        <f>'Vendor Gap Calc'!E19</f>
        <v>#NUM!</v>
      </c>
      <c r="C60" s="500" t="e">
        <f>VLOOKUP(B60,'Technology MASTER'!$B$3:$N$107,4,FALSE)</f>
        <v>#NUM!</v>
      </c>
      <c r="D60" s="500"/>
      <c r="E60" s="501" t="e">
        <f>VLOOKUP(B60,'Technology MASTER'!$B$3:$N$107,5,FALSE)</f>
        <v>#NUM!</v>
      </c>
      <c r="F60" s="501"/>
      <c r="G60" s="501"/>
      <c r="H60" s="501"/>
      <c r="I60" s="501"/>
      <c r="J60" s="501"/>
      <c r="K60" s="502" t="e">
        <f>VLOOKUP(B60,'Technology MASTER'!$B$3:$N$107,10,FALSE)</f>
        <v>#NUM!</v>
      </c>
      <c r="L60" s="502"/>
      <c r="M60" s="502"/>
      <c r="N60" s="503" t="e">
        <f>VLOOKUP(B60,'Technology MASTER'!$B$3:$N$107,11,FALSE)</f>
        <v>#NUM!</v>
      </c>
      <c r="O60" s="503"/>
      <c r="P60" s="503" t="e">
        <f>VLOOKUP(B60,'Technology MASTER'!$B$3:$N$107,13,FALSE)</f>
        <v>#NUM!</v>
      </c>
      <c r="Q60" s="503"/>
      <c r="R60" s="503"/>
      <c r="S60" s="504"/>
      <c r="T60" s="235"/>
    </row>
    <row r="61" spans="1:20">
      <c r="A61" s="234"/>
      <c r="B61" s="371" t="e">
        <f>'Vendor Gap Calc'!E20</f>
        <v>#NUM!</v>
      </c>
      <c r="C61" s="500" t="e">
        <f>VLOOKUP(B61,'Technology MASTER'!$B$3:$N$107,4,FALSE)</f>
        <v>#NUM!</v>
      </c>
      <c r="D61" s="500"/>
      <c r="E61" s="501" t="e">
        <f>VLOOKUP(B61,'Technology MASTER'!$B$3:$N$107,5,FALSE)</f>
        <v>#NUM!</v>
      </c>
      <c r="F61" s="501"/>
      <c r="G61" s="501"/>
      <c r="H61" s="501"/>
      <c r="I61" s="501"/>
      <c r="J61" s="501"/>
      <c r="K61" s="502" t="e">
        <f>VLOOKUP(B61,'Technology MASTER'!$B$3:$N$107,10,FALSE)</f>
        <v>#NUM!</v>
      </c>
      <c r="L61" s="502"/>
      <c r="M61" s="502"/>
      <c r="N61" s="503" t="e">
        <f>VLOOKUP(B61,'Technology MASTER'!$B$3:$N$107,11,FALSE)</f>
        <v>#NUM!</v>
      </c>
      <c r="O61" s="503"/>
      <c r="P61" s="503" t="e">
        <f>VLOOKUP(B61,'Technology MASTER'!$B$3:$N$107,13,FALSE)</f>
        <v>#NUM!</v>
      </c>
      <c r="Q61" s="503"/>
      <c r="R61" s="503"/>
      <c r="S61" s="504"/>
      <c r="T61" s="235"/>
    </row>
    <row r="62" spans="1:20" ht="17" thickBot="1">
      <c r="A62" s="234"/>
      <c r="B62" s="372" t="e">
        <f>'Vendor Gap Calc'!E21</f>
        <v>#NUM!</v>
      </c>
      <c r="C62" s="505" t="e">
        <f>VLOOKUP(B62,'Technology MASTER'!$B$3:$N$107,4,FALSE)</f>
        <v>#NUM!</v>
      </c>
      <c r="D62" s="505"/>
      <c r="E62" s="506" t="e">
        <f>VLOOKUP(B62,'Technology MASTER'!$B$3:$N$107,5,FALSE)</f>
        <v>#NUM!</v>
      </c>
      <c r="F62" s="506"/>
      <c r="G62" s="506"/>
      <c r="H62" s="506"/>
      <c r="I62" s="506"/>
      <c r="J62" s="506"/>
      <c r="K62" s="507" t="e">
        <f>VLOOKUP(B62,'Technology MASTER'!$B$3:$N$107,10,FALSE)</f>
        <v>#NUM!</v>
      </c>
      <c r="L62" s="507"/>
      <c r="M62" s="507"/>
      <c r="N62" s="508" t="e">
        <f>VLOOKUP(B62,'Technology MASTER'!$B$3:$N$107,11,FALSE)</f>
        <v>#NUM!</v>
      </c>
      <c r="O62" s="508"/>
      <c r="P62" s="508" t="e">
        <f>VLOOKUP(B62,'Technology MASTER'!$B$3:$N$107,13,FALSE)</f>
        <v>#NUM!</v>
      </c>
      <c r="Q62" s="508"/>
      <c r="R62" s="508"/>
      <c r="S62" s="509"/>
      <c r="T62" s="235"/>
    </row>
    <row r="63" spans="1:20" ht="15.75" customHeight="1">
      <c r="A63" s="234"/>
      <c r="B63" s="297"/>
      <c r="C63" s="297"/>
      <c r="D63" s="297"/>
      <c r="E63" s="297"/>
      <c r="F63" s="297"/>
      <c r="G63" s="297"/>
      <c r="H63" s="297"/>
      <c r="I63" s="297"/>
      <c r="J63" s="297"/>
      <c r="K63" s="297"/>
      <c r="L63" s="297"/>
      <c r="M63" s="297"/>
      <c r="N63" s="297"/>
      <c r="O63" s="297"/>
      <c r="P63" s="297"/>
      <c r="Q63" s="297"/>
      <c r="R63" s="297"/>
      <c r="S63" s="297"/>
      <c r="T63" s="235"/>
    </row>
    <row r="64" spans="1:20" ht="15.75" customHeight="1">
      <c r="A64" s="234"/>
      <c r="B64" s="521" t="s">
        <v>1538</v>
      </c>
      <c r="C64" s="521"/>
      <c r="D64" s="521"/>
      <c r="E64" s="521"/>
      <c r="F64" s="521"/>
      <c r="G64" s="521"/>
      <c r="H64" s="521"/>
      <c r="I64" s="521"/>
      <c r="J64" s="521"/>
      <c r="K64" s="521"/>
      <c r="L64" s="521"/>
      <c r="M64" s="521"/>
      <c r="N64" s="521"/>
      <c r="O64" s="521"/>
      <c r="P64" s="521"/>
      <c r="Q64" s="521"/>
      <c r="R64" s="521"/>
      <c r="S64" s="521"/>
      <c r="T64" s="235"/>
    </row>
    <row r="65" spans="1:20" ht="19" customHeight="1" thickBot="1">
      <c r="A65" s="234"/>
      <c r="B65" s="521"/>
      <c r="C65" s="521"/>
      <c r="D65" s="521"/>
      <c r="E65" s="521"/>
      <c r="F65" s="521"/>
      <c r="G65" s="521"/>
      <c r="H65" s="521"/>
      <c r="I65" s="521"/>
      <c r="J65" s="521"/>
      <c r="K65" s="521"/>
      <c r="L65" s="521"/>
      <c r="M65" s="521"/>
      <c r="N65" s="521"/>
      <c r="O65" s="521"/>
      <c r="P65" s="521"/>
      <c r="Q65" s="521"/>
      <c r="R65" s="521"/>
      <c r="S65" s="521"/>
      <c r="T65" s="235"/>
    </row>
    <row r="66" spans="1:20">
      <c r="A66" s="234"/>
      <c r="B66" s="286" t="s">
        <v>1432</v>
      </c>
      <c r="C66" s="528" t="s">
        <v>1433</v>
      </c>
      <c r="D66" s="528"/>
      <c r="E66" s="528" t="s">
        <v>1435</v>
      </c>
      <c r="F66" s="528"/>
      <c r="G66" s="528"/>
      <c r="H66" s="528"/>
      <c r="I66" s="528"/>
      <c r="J66" s="528"/>
      <c r="K66" s="528" t="s">
        <v>1539</v>
      </c>
      <c r="L66" s="528"/>
      <c r="M66" s="528"/>
      <c r="N66" s="526" t="s">
        <v>1434</v>
      </c>
      <c r="O66" s="526"/>
      <c r="P66" s="526" t="s">
        <v>1371</v>
      </c>
      <c r="Q66" s="526"/>
      <c r="R66" s="526"/>
      <c r="S66" s="527"/>
      <c r="T66" s="235"/>
    </row>
    <row r="67" spans="1:20">
      <c r="A67" s="234"/>
      <c r="B67" s="369" t="e">
        <f>'Customer Gap Calc'!E2</f>
        <v>#NUM!</v>
      </c>
      <c r="C67" s="524" t="e">
        <f>VLOOKUP(B67,'Technology MASTER'!$B$3:$N$107,4,FALSE)</f>
        <v>#NUM!</v>
      </c>
      <c r="D67" s="524"/>
      <c r="E67" s="510" t="e">
        <f>VLOOKUP(B67,'Technology MASTER'!$B$3:$N$107,5,FALSE)</f>
        <v>#NUM!</v>
      </c>
      <c r="F67" s="510"/>
      <c r="G67" s="510"/>
      <c r="H67" s="510"/>
      <c r="I67" s="510"/>
      <c r="J67" s="510"/>
      <c r="K67" s="511" t="e">
        <f>VLOOKUP(B67,'Technology MASTER'!$B$3:$N$107,10,FALSE)</f>
        <v>#NUM!</v>
      </c>
      <c r="L67" s="511"/>
      <c r="M67" s="511"/>
      <c r="N67" s="512" t="e">
        <f>VLOOKUP(B67,'Technology MASTER'!$B$3:$N$107,11,FALSE)</f>
        <v>#NUM!</v>
      </c>
      <c r="O67" s="512"/>
      <c r="P67" s="512" t="e">
        <f>VLOOKUP(B67,'Technology MASTER'!$B$3:$N$107,13,FALSE)</f>
        <v>#NUM!</v>
      </c>
      <c r="Q67" s="512"/>
      <c r="R67" s="512"/>
      <c r="S67" s="513"/>
      <c r="T67" s="235"/>
    </row>
    <row r="68" spans="1:20">
      <c r="A68" s="234"/>
      <c r="B68" s="369" t="e">
        <f>'Customer Gap Calc'!E3</f>
        <v>#NUM!</v>
      </c>
      <c r="C68" s="524" t="e">
        <f>VLOOKUP(B68,'Technology MASTER'!$B$3:$N$107,4,FALSE)</f>
        <v>#NUM!</v>
      </c>
      <c r="D68" s="524"/>
      <c r="E68" s="510" t="e">
        <f>VLOOKUP(B68,'Technology MASTER'!$B$3:$N$107,5,FALSE)</f>
        <v>#NUM!</v>
      </c>
      <c r="F68" s="510"/>
      <c r="G68" s="510"/>
      <c r="H68" s="510"/>
      <c r="I68" s="510"/>
      <c r="J68" s="510"/>
      <c r="K68" s="511" t="e">
        <f>VLOOKUP(B68,'Technology MASTER'!$B$3:$N$107,10,FALSE)</f>
        <v>#NUM!</v>
      </c>
      <c r="L68" s="511"/>
      <c r="M68" s="511"/>
      <c r="N68" s="512" t="e">
        <f>VLOOKUP(B68,'Technology MASTER'!$B$3:$N$107,11,FALSE)</f>
        <v>#NUM!</v>
      </c>
      <c r="O68" s="512"/>
      <c r="P68" s="512" t="e">
        <f>VLOOKUP(B68,'Technology MASTER'!$B$3:$N$107,13,FALSE)</f>
        <v>#NUM!</v>
      </c>
      <c r="Q68" s="512"/>
      <c r="R68" s="512"/>
      <c r="S68" s="513"/>
      <c r="T68" s="235"/>
    </row>
    <row r="69" spans="1:20">
      <c r="A69" s="234"/>
      <c r="B69" s="369" t="e">
        <f>'Customer Gap Calc'!E4</f>
        <v>#NUM!</v>
      </c>
      <c r="C69" s="524" t="e">
        <f>VLOOKUP(B69,'Technology MASTER'!$B$3:$N$107,4,FALSE)</f>
        <v>#NUM!</v>
      </c>
      <c r="D69" s="524"/>
      <c r="E69" s="510" t="e">
        <f>VLOOKUP(B69,'Technology MASTER'!$B$3:$N$107,5,FALSE)</f>
        <v>#NUM!</v>
      </c>
      <c r="F69" s="510"/>
      <c r="G69" s="510"/>
      <c r="H69" s="510"/>
      <c r="I69" s="510"/>
      <c r="J69" s="510"/>
      <c r="K69" s="511" t="e">
        <f>VLOOKUP(B69,'Technology MASTER'!$B$3:$N$107,10,FALSE)</f>
        <v>#NUM!</v>
      </c>
      <c r="L69" s="511"/>
      <c r="M69" s="511"/>
      <c r="N69" s="512" t="e">
        <f>VLOOKUP(B69,'Technology MASTER'!$B$3:$N$107,11,FALSE)</f>
        <v>#NUM!</v>
      </c>
      <c r="O69" s="512"/>
      <c r="P69" s="512" t="e">
        <f>VLOOKUP(B69,'Technology MASTER'!$B$3:$N$107,13,FALSE)</f>
        <v>#NUM!</v>
      </c>
      <c r="Q69" s="512"/>
      <c r="R69" s="512"/>
      <c r="S69" s="513"/>
      <c r="T69" s="235"/>
    </row>
    <row r="70" spans="1:20">
      <c r="A70" s="234"/>
      <c r="B70" s="369" t="e">
        <f>'Customer Gap Calc'!E5</f>
        <v>#NUM!</v>
      </c>
      <c r="C70" s="524" t="e">
        <f>VLOOKUP(B70,'Technology MASTER'!$B$3:$N$107,4,FALSE)</f>
        <v>#NUM!</v>
      </c>
      <c r="D70" s="524"/>
      <c r="E70" s="510" t="e">
        <f>VLOOKUP(B70,'Technology MASTER'!$B$3:$N$107,5,FALSE)</f>
        <v>#NUM!</v>
      </c>
      <c r="F70" s="510"/>
      <c r="G70" s="510"/>
      <c r="H70" s="510"/>
      <c r="I70" s="510"/>
      <c r="J70" s="510"/>
      <c r="K70" s="511" t="e">
        <f>VLOOKUP(B70,'Technology MASTER'!$B$3:$N$107,10,FALSE)</f>
        <v>#NUM!</v>
      </c>
      <c r="L70" s="511"/>
      <c r="M70" s="511"/>
      <c r="N70" s="512" t="e">
        <f>VLOOKUP(B70,'Technology MASTER'!$B$3:$N$107,11,FALSE)</f>
        <v>#NUM!</v>
      </c>
      <c r="O70" s="512"/>
      <c r="P70" s="512" t="e">
        <f>VLOOKUP(B70,'Technology MASTER'!$B$3:$N$107,13,FALSE)</f>
        <v>#NUM!</v>
      </c>
      <c r="Q70" s="512"/>
      <c r="R70" s="512"/>
      <c r="S70" s="513"/>
      <c r="T70" s="235"/>
    </row>
    <row r="71" spans="1:20">
      <c r="A71" s="234"/>
      <c r="B71" s="369" t="e">
        <f>'Customer Gap Calc'!E6</f>
        <v>#NUM!</v>
      </c>
      <c r="C71" s="524" t="e">
        <f>VLOOKUP(B71,'Technology MASTER'!$B$3:$N$107,4,FALSE)</f>
        <v>#NUM!</v>
      </c>
      <c r="D71" s="524"/>
      <c r="E71" s="510" t="e">
        <f>VLOOKUP(B71,'Technology MASTER'!$B$3:$N$107,5,FALSE)</f>
        <v>#NUM!</v>
      </c>
      <c r="F71" s="510"/>
      <c r="G71" s="510"/>
      <c r="H71" s="510"/>
      <c r="I71" s="510"/>
      <c r="J71" s="510"/>
      <c r="K71" s="511" t="e">
        <f>VLOOKUP(B71,'Technology MASTER'!$B$3:$N$107,10,FALSE)</f>
        <v>#NUM!</v>
      </c>
      <c r="L71" s="511"/>
      <c r="M71" s="511"/>
      <c r="N71" s="512" t="e">
        <f>VLOOKUP(B71,'Technology MASTER'!$B$3:$N$107,11,FALSE)</f>
        <v>#NUM!</v>
      </c>
      <c r="O71" s="512"/>
      <c r="P71" s="512" t="e">
        <f>VLOOKUP(B71,'Technology MASTER'!$B$3:$N$107,13,FALSE)</f>
        <v>#NUM!</v>
      </c>
      <c r="Q71" s="512"/>
      <c r="R71" s="512"/>
      <c r="S71" s="513"/>
      <c r="T71" s="235"/>
    </row>
    <row r="72" spans="1:20">
      <c r="A72" s="234"/>
      <c r="B72" s="369" t="e">
        <f>'Customer Gap Calc'!E7</f>
        <v>#NUM!</v>
      </c>
      <c r="C72" s="524" t="e">
        <f>VLOOKUP(B72,'Technology MASTER'!$B$3:$N$107,4,FALSE)</f>
        <v>#NUM!</v>
      </c>
      <c r="D72" s="524"/>
      <c r="E72" s="510" t="e">
        <f>VLOOKUP(B72,'Technology MASTER'!$B$3:$N$107,5,FALSE)</f>
        <v>#NUM!</v>
      </c>
      <c r="F72" s="510"/>
      <c r="G72" s="510"/>
      <c r="H72" s="510"/>
      <c r="I72" s="510"/>
      <c r="J72" s="510"/>
      <c r="K72" s="511" t="e">
        <f>VLOOKUP(B72,'Technology MASTER'!$B$3:$N$107,10,FALSE)</f>
        <v>#NUM!</v>
      </c>
      <c r="L72" s="511"/>
      <c r="M72" s="511"/>
      <c r="N72" s="512" t="e">
        <f>VLOOKUP(B72,'Technology MASTER'!$B$3:$N$107,11,FALSE)</f>
        <v>#NUM!</v>
      </c>
      <c r="O72" s="512"/>
      <c r="P72" s="512" t="e">
        <f>VLOOKUP(B72,'Technology MASTER'!$B$3:$N$107,13,FALSE)</f>
        <v>#NUM!</v>
      </c>
      <c r="Q72" s="512"/>
      <c r="R72" s="512"/>
      <c r="S72" s="513"/>
      <c r="T72" s="235"/>
    </row>
    <row r="73" spans="1:20">
      <c r="A73" s="234"/>
      <c r="B73" s="369" t="e">
        <f>'Customer Gap Calc'!E8</f>
        <v>#NUM!</v>
      </c>
      <c r="C73" s="524" t="e">
        <f>VLOOKUP(B73,'Technology MASTER'!$B$3:$N$107,4,FALSE)</f>
        <v>#NUM!</v>
      </c>
      <c r="D73" s="524"/>
      <c r="E73" s="510" t="e">
        <f>VLOOKUP(B73,'Technology MASTER'!$B$3:$N$107,5,FALSE)</f>
        <v>#NUM!</v>
      </c>
      <c r="F73" s="510"/>
      <c r="G73" s="510"/>
      <c r="H73" s="510"/>
      <c r="I73" s="510"/>
      <c r="J73" s="510"/>
      <c r="K73" s="511" t="e">
        <f>VLOOKUP(B73,'Technology MASTER'!$B$3:$N$107,10,FALSE)</f>
        <v>#NUM!</v>
      </c>
      <c r="L73" s="511"/>
      <c r="M73" s="511"/>
      <c r="N73" s="512" t="e">
        <f>VLOOKUP(B73,'Technology MASTER'!$B$3:$N$107,11,FALSE)</f>
        <v>#NUM!</v>
      </c>
      <c r="O73" s="512"/>
      <c r="P73" s="512" t="e">
        <f>VLOOKUP(B73,'Technology MASTER'!$B$3:$N$107,13,FALSE)</f>
        <v>#NUM!</v>
      </c>
      <c r="Q73" s="512"/>
      <c r="R73" s="512"/>
      <c r="S73" s="513"/>
      <c r="T73" s="235"/>
    </row>
    <row r="74" spans="1:20">
      <c r="A74" s="234"/>
      <c r="B74" s="369" t="e">
        <f>'Customer Gap Calc'!E9</f>
        <v>#NUM!</v>
      </c>
      <c r="C74" s="524" t="e">
        <f>VLOOKUP(B74,'Technology MASTER'!$B$3:$N$107,4,FALSE)</f>
        <v>#NUM!</v>
      </c>
      <c r="D74" s="524"/>
      <c r="E74" s="510" t="e">
        <f>VLOOKUP(B74,'Technology MASTER'!$B$3:$N$107,5,FALSE)</f>
        <v>#NUM!</v>
      </c>
      <c r="F74" s="510"/>
      <c r="G74" s="510"/>
      <c r="H74" s="510"/>
      <c r="I74" s="510"/>
      <c r="J74" s="510"/>
      <c r="K74" s="511" t="e">
        <f>VLOOKUP(B74,'Technology MASTER'!$B$3:$N$107,10,FALSE)</f>
        <v>#NUM!</v>
      </c>
      <c r="L74" s="511"/>
      <c r="M74" s="511"/>
      <c r="N74" s="512" t="e">
        <f>VLOOKUP(B74,'Technology MASTER'!$B$3:$N$107,11,FALSE)</f>
        <v>#NUM!</v>
      </c>
      <c r="O74" s="512"/>
      <c r="P74" s="512" t="e">
        <f>VLOOKUP(B74,'Technology MASTER'!$B$3:$N$107,13,FALSE)</f>
        <v>#NUM!</v>
      </c>
      <c r="Q74" s="512"/>
      <c r="R74" s="512"/>
      <c r="S74" s="513"/>
      <c r="T74" s="235"/>
    </row>
    <row r="75" spans="1:20">
      <c r="A75" s="234"/>
      <c r="B75" s="369" t="e">
        <f>'Customer Gap Calc'!E10</f>
        <v>#NUM!</v>
      </c>
      <c r="C75" s="524" t="e">
        <f>VLOOKUP(B75,'Technology MASTER'!$B$3:$N$107,4,FALSE)</f>
        <v>#NUM!</v>
      </c>
      <c r="D75" s="524"/>
      <c r="E75" s="510" t="e">
        <f>VLOOKUP(B75,'Technology MASTER'!$B$3:$N$107,5,FALSE)</f>
        <v>#NUM!</v>
      </c>
      <c r="F75" s="510"/>
      <c r="G75" s="510"/>
      <c r="H75" s="510"/>
      <c r="I75" s="510"/>
      <c r="J75" s="510"/>
      <c r="K75" s="511" t="e">
        <f>VLOOKUP(B75,'Technology MASTER'!$B$3:$N$107,10,FALSE)</f>
        <v>#NUM!</v>
      </c>
      <c r="L75" s="511"/>
      <c r="M75" s="511"/>
      <c r="N75" s="512" t="e">
        <f>VLOOKUP(B75,'Technology MASTER'!$B$3:$N$107,11,FALSE)</f>
        <v>#NUM!</v>
      </c>
      <c r="O75" s="512"/>
      <c r="P75" s="512" t="e">
        <f>VLOOKUP(B75,'Technology MASTER'!$B$3:$N$107,13,FALSE)</f>
        <v>#NUM!</v>
      </c>
      <c r="Q75" s="512"/>
      <c r="R75" s="512"/>
      <c r="S75" s="513"/>
      <c r="T75" s="235"/>
    </row>
    <row r="76" spans="1:20">
      <c r="A76" s="234"/>
      <c r="B76" s="369" t="e">
        <f>'Customer Gap Calc'!E11</f>
        <v>#NUM!</v>
      </c>
      <c r="C76" s="524" t="e">
        <f>VLOOKUP(B76,'Technology MASTER'!$B$3:$N$107,4,FALSE)</f>
        <v>#NUM!</v>
      </c>
      <c r="D76" s="524"/>
      <c r="E76" s="510" t="e">
        <f>VLOOKUP(B76,'Technology MASTER'!$B$3:$N$107,5,FALSE)</f>
        <v>#NUM!</v>
      </c>
      <c r="F76" s="510"/>
      <c r="G76" s="510"/>
      <c r="H76" s="510"/>
      <c r="I76" s="510"/>
      <c r="J76" s="510"/>
      <c r="K76" s="511" t="e">
        <f>VLOOKUP(B76,'Technology MASTER'!$B$3:$N$107,10,FALSE)</f>
        <v>#NUM!</v>
      </c>
      <c r="L76" s="511"/>
      <c r="M76" s="511"/>
      <c r="N76" s="512" t="e">
        <f>VLOOKUP(B76,'Technology MASTER'!$B$3:$N$107,11,FALSE)</f>
        <v>#NUM!</v>
      </c>
      <c r="O76" s="512"/>
      <c r="P76" s="512" t="e">
        <f>VLOOKUP(B76,'Technology MASTER'!$B$3:$N$107,13,FALSE)</f>
        <v>#NUM!</v>
      </c>
      <c r="Q76" s="512"/>
      <c r="R76" s="512"/>
      <c r="S76" s="513"/>
      <c r="T76" s="235"/>
    </row>
    <row r="77" spans="1:20">
      <c r="A77" s="234"/>
      <c r="B77" s="369" t="e">
        <f>'Customer Gap Calc'!E12</f>
        <v>#NUM!</v>
      </c>
      <c r="C77" s="524" t="e">
        <f>VLOOKUP(B77,'Technology MASTER'!$B$3:$N$107,4,FALSE)</f>
        <v>#NUM!</v>
      </c>
      <c r="D77" s="524"/>
      <c r="E77" s="510" t="e">
        <f>VLOOKUP(B77,'Technology MASTER'!$B$3:$N$107,5,FALSE)</f>
        <v>#NUM!</v>
      </c>
      <c r="F77" s="510"/>
      <c r="G77" s="510"/>
      <c r="H77" s="510"/>
      <c r="I77" s="510"/>
      <c r="J77" s="510"/>
      <c r="K77" s="511" t="e">
        <f>VLOOKUP(B77,'Technology MASTER'!$B$3:$N$107,10,FALSE)</f>
        <v>#NUM!</v>
      </c>
      <c r="L77" s="511"/>
      <c r="M77" s="511"/>
      <c r="N77" s="512" t="e">
        <f>VLOOKUP(B77,'Technology MASTER'!$B$3:$N$107,11,FALSE)</f>
        <v>#NUM!</v>
      </c>
      <c r="O77" s="512"/>
      <c r="P77" s="512" t="e">
        <f>VLOOKUP(B77,'Technology MASTER'!$B$3:$N$107,13,FALSE)</f>
        <v>#NUM!</v>
      </c>
      <c r="Q77" s="512"/>
      <c r="R77" s="512"/>
      <c r="S77" s="513"/>
      <c r="T77" s="235"/>
    </row>
    <row r="78" spans="1:20">
      <c r="A78" s="234"/>
      <c r="B78" s="369" t="e">
        <f>'Customer Gap Calc'!E13</f>
        <v>#NUM!</v>
      </c>
      <c r="C78" s="524" t="e">
        <f>VLOOKUP(B78,'Technology MASTER'!$B$3:$N$107,4,FALSE)</f>
        <v>#NUM!</v>
      </c>
      <c r="D78" s="524"/>
      <c r="E78" s="510" t="e">
        <f>VLOOKUP(B78,'Technology MASTER'!$B$3:$N$107,5,FALSE)</f>
        <v>#NUM!</v>
      </c>
      <c r="F78" s="510"/>
      <c r="G78" s="510"/>
      <c r="H78" s="510"/>
      <c r="I78" s="510"/>
      <c r="J78" s="510"/>
      <c r="K78" s="511" t="e">
        <f>VLOOKUP(B78,'Technology MASTER'!$B$3:$N$107,10,FALSE)</f>
        <v>#NUM!</v>
      </c>
      <c r="L78" s="511"/>
      <c r="M78" s="511"/>
      <c r="N78" s="512" t="e">
        <f>VLOOKUP(B78,'Technology MASTER'!$B$3:$N$107,11,FALSE)</f>
        <v>#NUM!</v>
      </c>
      <c r="O78" s="512"/>
      <c r="P78" s="512" t="e">
        <f>VLOOKUP(B78,'Technology MASTER'!$B$3:$N$107,13,FALSE)</f>
        <v>#NUM!</v>
      </c>
      <c r="Q78" s="512"/>
      <c r="R78" s="512"/>
      <c r="S78" s="513"/>
      <c r="T78" s="235"/>
    </row>
    <row r="79" spans="1:20">
      <c r="A79" s="234"/>
      <c r="B79" s="369" t="e">
        <f>'Customer Gap Calc'!E14</f>
        <v>#NUM!</v>
      </c>
      <c r="C79" s="524" t="e">
        <f>VLOOKUP(B79,'Technology MASTER'!$B$3:$N$107,4,FALSE)</f>
        <v>#NUM!</v>
      </c>
      <c r="D79" s="524"/>
      <c r="E79" s="510" t="e">
        <f>VLOOKUP(B79,'Technology MASTER'!$B$3:$N$107,5,FALSE)</f>
        <v>#NUM!</v>
      </c>
      <c r="F79" s="510"/>
      <c r="G79" s="510"/>
      <c r="H79" s="510"/>
      <c r="I79" s="510"/>
      <c r="J79" s="510"/>
      <c r="K79" s="511" t="e">
        <f>VLOOKUP(B79,'Technology MASTER'!$B$3:$N$107,10,FALSE)</f>
        <v>#NUM!</v>
      </c>
      <c r="L79" s="511"/>
      <c r="M79" s="511"/>
      <c r="N79" s="512" t="e">
        <f>VLOOKUP(B79,'Technology MASTER'!$B$3:$N$107,11,FALSE)</f>
        <v>#NUM!</v>
      </c>
      <c r="O79" s="512"/>
      <c r="P79" s="512" t="e">
        <f>VLOOKUP(B79,'Technology MASTER'!$B$3:$N$107,13,FALSE)</f>
        <v>#NUM!</v>
      </c>
      <c r="Q79" s="512"/>
      <c r="R79" s="512"/>
      <c r="S79" s="513"/>
      <c r="T79" s="235"/>
    </row>
    <row r="80" spans="1:20">
      <c r="A80" s="234"/>
      <c r="B80" s="369" t="e">
        <f>'Customer Gap Calc'!E15</f>
        <v>#NUM!</v>
      </c>
      <c r="C80" s="524" t="e">
        <f>VLOOKUP(B80,'Technology MASTER'!$B$3:$N$107,4,FALSE)</f>
        <v>#NUM!</v>
      </c>
      <c r="D80" s="524"/>
      <c r="E80" s="510" t="e">
        <f>VLOOKUP(B80,'Technology MASTER'!$B$3:$N$107,5,FALSE)</f>
        <v>#NUM!</v>
      </c>
      <c r="F80" s="510"/>
      <c r="G80" s="510"/>
      <c r="H80" s="510"/>
      <c r="I80" s="510"/>
      <c r="J80" s="510"/>
      <c r="K80" s="511" t="e">
        <f>VLOOKUP(B80,'Technology MASTER'!$B$3:$N$107,10,FALSE)</f>
        <v>#NUM!</v>
      </c>
      <c r="L80" s="511"/>
      <c r="M80" s="511"/>
      <c r="N80" s="512" t="e">
        <f>VLOOKUP(B80,'Technology MASTER'!$B$3:$N$107,11,FALSE)</f>
        <v>#NUM!</v>
      </c>
      <c r="O80" s="512"/>
      <c r="P80" s="512" t="e">
        <f>VLOOKUP(B80,'Technology MASTER'!$B$3:$N$107,13,FALSE)</f>
        <v>#NUM!</v>
      </c>
      <c r="Q80" s="512"/>
      <c r="R80" s="512"/>
      <c r="S80" s="513"/>
      <c r="T80" s="235"/>
    </row>
    <row r="81" spans="1:20">
      <c r="A81" s="234"/>
      <c r="B81" s="369" t="e">
        <f>'Customer Gap Calc'!E16</f>
        <v>#NUM!</v>
      </c>
      <c r="C81" s="524" t="e">
        <f>VLOOKUP(B81,'Technology MASTER'!$B$3:$N$107,4,FALSE)</f>
        <v>#NUM!</v>
      </c>
      <c r="D81" s="524"/>
      <c r="E81" s="510" t="e">
        <f>VLOOKUP(B81,'Technology MASTER'!$B$3:$N$107,5,FALSE)</f>
        <v>#NUM!</v>
      </c>
      <c r="F81" s="510"/>
      <c r="G81" s="510"/>
      <c r="H81" s="510"/>
      <c r="I81" s="510"/>
      <c r="J81" s="510"/>
      <c r="K81" s="511" t="e">
        <f>VLOOKUP(B81,'Technology MASTER'!$B$3:$N$107,10,FALSE)</f>
        <v>#NUM!</v>
      </c>
      <c r="L81" s="511"/>
      <c r="M81" s="511"/>
      <c r="N81" s="512" t="e">
        <f>VLOOKUP(B81,'Technology MASTER'!$B$3:$N$107,11,FALSE)</f>
        <v>#NUM!</v>
      </c>
      <c r="O81" s="512"/>
      <c r="P81" s="512" t="e">
        <f>VLOOKUP(B81,'Technology MASTER'!$B$3:$N$107,13,FALSE)</f>
        <v>#NUM!</v>
      </c>
      <c r="Q81" s="512"/>
      <c r="R81" s="512"/>
      <c r="S81" s="513"/>
      <c r="T81" s="235"/>
    </row>
    <row r="82" spans="1:20">
      <c r="A82" s="234"/>
      <c r="B82" s="369" t="e">
        <f>'Customer Gap Calc'!E17</f>
        <v>#NUM!</v>
      </c>
      <c r="C82" s="524" t="e">
        <f>VLOOKUP(B82,'Technology MASTER'!$B$3:$N$107,4,FALSE)</f>
        <v>#NUM!</v>
      </c>
      <c r="D82" s="524"/>
      <c r="E82" s="510" t="e">
        <f>VLOOKUP(B82,'Technology MASTER'!$B$3:$N$107,5,FALSE)</f>
        <v>#NUM!</v>
      </c>
      <c r="F82" s="510"/>
      <c r="G82" s="510"/>
      <c r="H82" s="510"/>
      <c r="I82" s="510"/>
      <c r="J82" s="510"/>
      <c r="K82" s="511" t="e">
        <f>VLOOKUP(B82,'Technology MASTER'!$B$3:$N$107,10,FALSE)</f>
        <v>#NUM!</v>
      </c>
      <c r="L82" s="511"/>
      <c r="M82" s="511"/>
      <c r="N82" s="512" t="e">
        <f>VLOOKUP(B82,'Technology MASTER'!$B$3:$N$107,11,FALSE)</f>
        <v>#NUM!</v>
      </c>
      <c r="O82" s="512"/>
      <c r="P82" s="512" t="e">
        <f>VLOOKUP(B82,'Technology MASTER'!$B$3:$N$107,13,FALSE)</f>
        <v>#NUM!</v>
      </c>
      <c r="Q82" s="512"/>
      <c r="R82" s="512"/>
      <c r="S82" s="513"/>
      <c r="T82" s="235"/>
    </row>
    <row r="83" spans="1:20">
      <c r="A83" s="234"/>
      <c r="B83" s="369" t="e">
        <f>'Customer Gap Calc'!E18</f>
        <v>#NUM!</v>
      </c>
      <c r="C83" s="524" t="e">
        <f>VLOOKUP(B83,'Technology MASTER'!$B$3:$N$107,4,FALSE)</f>
        <v>#NUM!</v>
      </c>
      <c r="D83" s="524"/>
      <c r="E83" s="510" t="e">
        <f>VLOOKUP(B83,'Technology MASTER'!$B$3:$N$107,5,FALSE)</f>
        <v>#NUM!</v>
      </c>
      <c r="F83" s="510"/>
      <c r="G83" s="510"/>
      <c r="H83" s="510"/>
      <c r="I83" s="510"/>
      <c r="J83" s="510"/>
      <c r="K83" s="511" t="e">
        <f>VLOOKUP(B83,'Technology MASTER'!$B$3:$N$107,10,FALSE)</f>
        <v>#NUM!</v>
      </c>
      <c r="L83" s="511"/>
      <c r="M83" s="511"/>
      <c r="N83" s="512" t="e">
        <f>VLOOKUP(B83,'Technology MASTER'!$B$3:$N$107,11,FALSE)</f>
        <v>#NUM!</v>
      </c>
      <c r="O83" s="512"/>
      <c r="P83" s="512" t="e">
        <f>VLOOKUP(B83,'Technology MASTER'!$B$3:$N$107,13,FALSE)</f>
        <v>#NUM!</v>
      </c>
      <c r="Q83" s="512"/>
      <c r="R83" s="512"/>
      <c r="S83" s="513"/>
      <c r="T83" s="235"/>
    </row>
    <row r="84" spans="1:20">
      <c r="A84" s="234"/>
      <c r="B84" s="369" t="e">
        <f>'Customer Gap Calc'!E19</f>
        <v>#NUM!</v>
      </c>
      <c r="C84" s="524" t="e">
        <f>VLOOKUP(B84,'Technology MASTER'!$B$3:$N$107,4,FALSE)</f>
        <v>#NUM!</v>
      </c>
      <c r="D84" s="524"/>
      <c r="E84" s="510" t="e">
        <f>VLOOKUP(B84,'Technology MASTER'!$B$3:$N$107,5,FALSE)</f>
        <v>#NUM!</v>
      </c>
      <c r="F84" s="510"/>
      <c r="G84" s="510"/>
      <c r="H84" s="510"/>
      <c r="I84" s="510"/>
      <c r="J84" s="510"/>
      <c r="K84" s="511" t="e">
        <f>VLOOKUP(B84,'Technology MASTER'!$B$3:$N$107,10,FALSE)</f>
        <v>#NUM!</v>
      </c>
      <c r="L84" s="511"/>
      <c r="M84" s="511"/>
      <c r="N84" s="512" t="e">
        <f>VLOOKUP(B84,'Technology MASTER'!$B$3:$N$107,11,FALSE)</f>
        <v>#NUM!</v>
      </c>
      <c r="O84" s="512"/>
      <c r="P84" s="512" t="e">
        <f>VLOOKUP(B84,'Technology MASTER'!$B$3:$N$107,13,FALSE)</f>
        <v>#NUM!</v>
      </c>
      <c r="Q84" s="512"/>
      <c r="R84" s="512"/>
      <c r="S84" s="513"/>
      <c r="T84" s="235"/>
    </row>
    <row r="85" spans="1:20">
      <c r="A85" s="234"/>
      <c r="B85" s="369" t="e">
        <f>'Customer Gap Calc'!E20</f>
        <v>#NUM!</v>
      </c>
      <c r="C85" s="524" t="e">
        <f>VLOOKUP(B85,'Technology MASTER'!$B$3:$N$107,4,FALSE)</f>
        <v>#NUM!</v>
      </c>
      <c r="D85" s="524"/>
      <c r="E85" s="510" t="e">
        <f>VLOOKUP(B85,'Technology MASTER'!$B$3:$N$107,5,FALSE)</f>
        <v>#NUM!</v>
      </c>
      <c r="F85" s="510"/>
      <c r="G85" s="510"/>
      <c r="H85" s="510"/>
      <c r="I85" s="510"/>
      <c r="J85" s="510"/>
      <c r="K85" s="511" t="e">
        <f>VLOOKUP(B85,'Technology MASTER'!$B$3:$N$107,10,FALSE)</f>
        <v>#NUM!</v>
      </c>
      <c r="L85" s="511"/>
      <c r="M85" s="511"/>
      <c r="N85" s="512" t="e">
        <f>VLOOKUP(B85,'Technology MASTER'!$B$3:$N$107,11,FALSE)</f>
        <v>#NUM!</v>
      </c>
      <c r="O85" s="512"/>
      <c r="P85" s="512" t="e">
        <f>VLOOKUP(B85,'Technology MASTER'!$B$3:$N$107,13,FALSE)</f>
        <v>#NUM!</v>
      </c>
      <c r="Q85" s="512"/>
      <c r="R85" s="512"/>
      <c r="S85" s="513"/>
      <c r="T85" s="235"/>
    </row>
    <row r="86" spans="1:20" ht="17" thickBot="1">
      <c r="A86" s="234"/>
      <c r="B86" s="370" t="e">
        <f>'Customer Gap Calc'!E21</f>
        <v>#NUM!</v>
      </c>
      <c r="C86" s="525" t="e">
        <f>VLOOKUP(B86,'Technology MASTER'!$B$3:$N$107,4,FALSE)</f>
        <v>#NUM!</v>
      </c>
      <c r="D86" s="525"/>
      <c r="E86" s="520" t="e">
        <f>VLOOKUP(B86,'Technology MASTER'!$B$3:$N$107,5,FALSE)</f>
        <v>#NUM!</v>
      </c>
      <c r="F86" s="520"/>
      <c r="G86" s="520"/>
      <c r="H86" s="520"/>
      <c r="I86" s="520"/>
      <c r="J86" s="520"/>
      <c r="K86" s="517" t="e">
        <f>VLOOKUP(B86,'Technology MASTER'!$B$3:$N$107,10,FALSE)</f>
        <v>#NUM!</v>
      </c>
      <c r="L86" s="517"/>
      <c r="M86" s="517"/>
      <c r="N86" s="518" t="e">
        <f>VLOOKUP(B86,'Technology MASTER'!$B$3:$N$107,11,FALSE)</f>
        <v>#NUM!</v>
      </c>
      <c r="O86" s="518"/>
      <c r="P86" s="518" t="e">
        <f>VLOOKUP(B86,'Technology MASTER'!$B$3:$N$107,13,FALSE)</f>
        <v>#NUM!</v>
      </c>
      <c r="Q86" s="518"/>
      <c r="R86" s="518"/>
      <c r="S86" s="519"/>
      <c r="T86" s="235"/>
    </row>
    <row r="87" spans="1:20">
      <c r="A87" s="234"/>
      <c r="B87" s="296"/>
      <c r="C87" s="296"/>
      <c r="D87" s="296"/>
      <c r="E87" s="296"/>
      <c r="F87" s="296"/>
      <c r="G87" s="296"/>
      <c r="H87" s="296"/>
      <c r="I87" s="296"/>
      <c r="J87" s="296"/>
      <c r="K87" s="296"/>
      <c r="L87" s="296"/>
      <c r="M87" s="296"/>
      <c r="N87" s="296"/>
      <c r="O87" s="296"/>
      <c r="P87" s="296"/>
      <c r="Q87" s="296"/>
      <c r="R87" s="296"/>
      <c r="S87" s="296"/>
      <c r="T87" s="235"/>
    </row>
    <row r="88" spans="1:20">
      <c r="A88" s="234"/>
      <c r="B88" s="296"/>
      <c r="C88" s="296"/>
      <c r="D88" s="521" t="s">
        <v>1617</v>
      </c>
      <c r="E88" s="521"/>
      <c r="F88" s="521"/>
      <c r="G88" s="521"/>
      <c r="H88" s="521"/>
      <c r="I88" s="521"/>
      <c r="J88" s="521"/>
      <c r="K88" s="521"/>
      <c r="L88" s="521"/>
      <c r="M88" s="521"/>
      <c r="N88" s="521"/>
      <c r="O88" s="521"/>
      <c r="P88" s="521"/>
      <c r="Q88" s="521"/>
      <c r="R88" s="296"/>
      <c r="S88" s="296"/>
      <c r="T88" s="235"/>
    </row>
    <row r="89" spans="1:20" ht="21.75" customHeight="1">
      <c r="A89" s="234"/>
      <c r="B89" s="296"/>
      <c r="C89" s="296"/>
      <c r="D89" s="521"/>
      <c r="E89" s="521"/>
      <c r="F89" s="521"/>
      <c r="G89" s="521"/>
      <c r="H89" s="521"/>
      <c r="I89" s="521"/>
      <c r="J89" s="521"/>
      <c r="K89" s="521"/>
      <c r="L89" s="521"/>
      <c r="M89" s="521"/>
      <c r="N89" s="521"/>
      <c r="O89" s="521"/>
      <c r="P89" s="521"/>
      <c r="Q89" s="521"/>
      <c r="R89" s="296"/>
      <c r="S89" s="296"/>
      <c r="T89" s="235"/>
    </row>
    <row r="90" spans="1:20" ht="21">
      <c r="A90" s="234"/>
      <c r="B90" s="296"/>
      <c r="C90" s="296"/>
      <c r="D90" s="127"/>
      <c r="E90" s="127"/>
      <c r="F90" s="127"/>
      <c r="G90" s="127"/>
      <c r="H90" s="127"/>
      <c r="I90" s="127"/>
      <c r="J90" s="127"/>
      <c r="K90" s="127"/>
      <c r="L90" s="127"/>
      <c r="M90" s="127"/>
      <c r="N90" s="327"/>
      <c r="O90" s="327"/>
      <c r="P90" s="327"/>
      <c r="Q90" s="327"/>
      <c r="R90" s="296"/>
      <c r="S90" s="296"/>
      <c r="T90" s="235"/>
    </row>
    <row r="91" spans="1:20">
      <c r="A91" s="234"/>
      <c r="B91" s="296"/>
      <c r="C91" s="296"/>
      <c r="D91" s="328"/>
      <c r="E91" s="328"/>
      <c r="F91" s="328"/>
      <c r="G91" s="522" t="s">
        <v>433</v>
      </c>
      <c r="H91" s="522"/>
      <c r="I91" s="522"/>
      <c r="J91" s="522"/>
      <c r="K91" s="127"/>
      <c r="L91" s="127"/>
      <c r="M91" s="514" t="s">
        <v>1614</v>
      </c>
      <c r="N91" s="514"/>
      <c r="O91" s="514"/>
      <c r="P91" s="127"/>
      <c r="Q91" s="127"/>
      <c r="R91" s="296"/>
      <c r="S91" s="296"/>
      <c r="T91" s="235"/>
    </row>
    <row r="92" spans="1:20" ht="31.5" customHeight="1">
      <c r="A92" s="234"/>
      <c r="B92" s="296"/>
      <c r="C92" s="296"/>
      <c r="D92" s="515" t="s">
        <v>1457</v>
      </c>
      <c r="E92" s="515"/>
      <c r="F92" s="516"/>
      <c r="G92" s="324" t="s">
        <v>1613</v>
      </c>
      <c r="H92" s="325" t="s">
        <v>1337</v>
      </c>
      <c r="I92" s="326" t="s">
        <v>1338</v>
      </c>
      <c r="J92" s="91" t="s">
        <v>1346</v>
      </c>
      <c r="K92" s="495" t="s">
        <v>1615</v>
      </c>
      <c r="L92" s="495"/>
      <c r="M92" s="523" t="s">
        <v>1393</v>
      </c>
      <c r="N92" s="523"/>
      <c r="O92" s="91" t="s">
        <v>1452</v>
      </c>
      <c r="P92" s="495" t="s">
        <v>1616</v>
      </c>
      <c r="Q92" s="495"/>
      <c r="R92" s="296"/>
      <c r="S92" s="296"/>
      <c r="T92" s="235"/>
    </row>
    <row r="93" spans="1:20">
      <c r="A93" s="234"/>
      <c r="B93" s="296"/>
      <c r="C93" s="296"/>
      <c r="D93" s="498" t="s">
        <v>1364</v>
      </c>
      <c r="E93" s="498"/>
      <c r="F93" s="498"/>
      <c r="G93" s="323">
        <f>'Risk Calc'!T40</f>
        <v>0</v>
      </c>
      <c r="H93" s="323">
        <f>'Risk Calc'!U40</f>
        <v>0</v>
      </c>
      <c r="I93" s="323">
        <f>'Risk Calc'!V40</f>
        <v>0</v>
      </c>
      <c r="J93" s="329" t="e">
        <f>'Risk Calc'!W40</f>
        <v>#DIV/0!</v>
      </c>
      <c r="K93" s="499" t="e">
        <f>'Risk Calc'!X40</f>
        <v>#DIV/0!</v>
      </c>
      <c r="L93" s="499"/>
      <c r="M93" s="493">
        <f>'Risk Calc'!Y40+'Risk Calc'!Z40+'Risk Calc'!AA40+'Risk Calc'!AB40+'Risk Calc'!AC40</f>
        <v>0</v>
      </c>
      <c r="N93" s="494"/>
      <c r="O93" s="330">
        <f>'Risk Calc'!AD40</f>
        <v>0</v>
      </c>
      <c r="P93" s="496" t="e">
        <f>'Risk Calc'!AE40</f>
        <v>#DIV/0!</v>
      </c>
      <c r="Q93" s="497"/>
      <c r="R93" s="296"/>
      <c r="S93" s="296"/>
      <c r="T93" s="235"/>
    </row>
    <row r="94" spans="1:20">
      <c r="A94" s="234"/>
      <c r="B94" s="296"/>
      <c r="C94" s="296"/>
      <c r="D94" s="498" t="s">
        <v>1678</v>
      </c>
      <c r="E94" s="498"/>
      <c r="F94" s="498"/>
      <c r="G94" s="323">
        <f>'Risk Calc'!T41</f>
        <v>0</v>
      </c>
      <c r="H94" s="323">
        <f>'Risk Calc'!U41</f>
        <v>0</v>
      </c>
      <c r="I94" s="323">
        <f>'Risk Calc'!V41</f>
        <v>0</v>
      </c>
      <c r="J94" s="329" t="e">
        <f>'Risk Calc'!W41</f>
        <v>#DIV/0!</v>
      </c>
      <c r="K94" s="499" t="e">
        <f>'Risk Calc'!X41</f>
        <v>#DIV/0!</v>
      </c>
      <c r="L94" s="499"/>
      <c r="M94" s="493">
        <f>'Risk Calc'!Y41+'Risk Calc'!Z41+'Risk Calc'!AA41+'Risk Calc'!AB41+'Risk Calc'!AC41</f>
        <v>0</v>
      </c>
      <c r="N94" s="494"/>
      <c r="O94" s="330">
        <f>'Risk Calc'!AD41</f>
        <v>0</v>
      </c>
      <c r="P94" s="496" t="e">
        <f>'Risk Calc'!AE41</f>
        <v>#DIV/0!</v>
      </c>
      <c r="Q94" s="497"/>
      <c r="R94" s="296"/>
      <c r="S94" s="296"/>
      <c r="T94" s="235"/>
    </row>
    <row r="95" spans="1:20">
      <c r="A95" s="234"/>
      <c r="B95" s="296"/>
      <c r="C95" s="296"/>
      <c r="D95" s="498" t="s">
        <v>1438</v>
      </c>
      <c r="E95" s="498"/>
      <c r="F95" s="498"/>
      <c r="G95" s="323">
        <f>'Risk Calc'!T42</f>
        <v>0</v>
      </c>
      <c r="H95" s="323">
        <f>'Risk Calc'!U42</f>
        <v>0</v>
      </c>
      <c r="I95" s="323">
        <f>'Risk Calc'!V42</f>
        <v>0</v>
      </c>
      <c r="J95" s="329" t="e">
        <f>'Risk Calc'!W42</f>
        <v>#DIV/0!</v>
      </c>
      <c r="K95" s="499" t="e">
        <f>'Risk Calc'!X42</f>
        <v>#DIV/0!</v>
      </c>
      <c r="L95" s="499"/>
      <c r="M95" s="493">
        <f>'Risk Calc'!Y42+'Risk Calc'!Z42+'Risk Calc'!AA42+'Risk Calc'!AB42+'Risk Calc'!AC42</f>
        <v>0</v>
      </c>
      <c r="N95" s="494"/>
      <c r="O95" s="330">
        <f>'Risk Calc'!AD42</f>
        <v>0</v>
      </c>
      <c r="P95" s="496" t="e">
        <f>'Risk Calc'!AE42</f>
        <v>#DIV/0!</v>
      </c>
      <c r="Q95" s="497"/>
      <c r="R95" s="296"/>
      <c r="S95" s="296"/>
      <c r="T95" s="235"/>
    </row>
    <row r="96" spans="1:20">
      <c r="A96" s="234"/>
      <c r="B96" s="296"/>
      <c r="C96" s="296"/>
      <c r="D96" s="498" t="s">
        <v>1437</v>
      </c>
      <c r="E96" s="498"/>
      <c r="F96" s="498"/>
      <c r="G96" s="323">
        <f>'Risk Calc'!T43</f>
        <v>0</v>
      </c>
      <c r="H96" s="323">
        <f>'Risk Calc'!U43</f>
        <v>0</v>
      </c>
      <c r="I96" s="323">
        <f>'Risk Calc'!V43</f>
        <v>0</v>
      </c>
      <c r="J96" s="329" t="e">
        <f>'Risk Calc'!W43</f>
        <v>#DIV/0!</v>
      </c>
      <c r="K96" s="499" t="e">
        <f>'Risk Calc'!X43</f>
        <v>#DIV/0!</v>
      </c>
      <c r="L96" s="499"/>
      <c r="M96" s="493">
        <f>'Risk Calc'!Y43+'Risk Calc'!Z43+'Risk Calc'!AA43+'Risk Calc'!AB43+'Risk Calc'!AC43</f>
        <v>0</v>
      </c>
      <c r="N96" s="494"/>
      <c r="O96" s="330">
        <f>'Risk Calc'!AD43</f>
        <v>0</v>
      </c>
      <c r="P96" s="496" t="e">
        <f>'Risk Calc'!AE43</f>
        <v>#DIV/0!</v>
      </c>
      <c r="Q96" s="497"/>
      <c r="R96" s="296"/>
      <c r="S96" s="296"/>
      <c r="T96" s="235"/>
    </row>
    <row r="97" spans="1:20">
      <c r="A97" s="234"/>
      <c r="B97" s="296"/>
      <c r="C97" s="296"/>
      <c r="D97" s="498" t="s">
        <v>1439</v>
      </c>
      <c r="E97" s="498"/>
      <c r="F97" s="498"/>
      <c r="G97" s="323">
        <f>'Risk Calc'!T44</f>
        <v>0</v>
      </c>
      <c r="H97" s="323">
        <f>'Risk Calc'!U44</f>
        <v>0</v>
      </c>
      <c r="I97" s="323">
        <f>'Risk Calc'!V44</f>
        <v>0</v>
      </c>
      <c r="J97" s="329" t="e">
        <f>'Risk Calc'!W44</f>
        <v>#DIV/0!</v>
      </c>
      <c r="K97" s="499" t="e">
        <f>'Risk Calc'!X44</f>
        <v>#DIV/0!</v>
      </c>
      <c r="L97" s="499"/>
      <c r="M97" s="493">
        <f>'Risk Calc'!Y44+'Risk Calc'!Z44+'Risk Calc'!AA44+'Risk Calc'!AB44+'Risk Calc'!AC44</f>
        <v>0</v>
      </c>
      <c r="N97" s="494"/>
      <c r="O97" s="330">
        <f>'Risk Calc'!AD44</f>
        <v>0</v>
      </c>
      <c r="P97" s="496" t="e">
        <f>'Risk Calc'!AE44</f>
        <v>#DIV/0!</v>
      </c>
      <c r="Q97" s="497"/>
      <c r="R97" s="296"/>
      <c r="S97" s="296"/>
      <c r="T97" s="235"/>
    </row>
    <row r="98" spans="1:20" ht="17" thickBot="1">
      <c r="A98" s="234"/>
      <c r="B98" s="296"/>
      <c r="C98" s="296"/>
      <c r="D98" s="296"/>
      <c r="E98" s="296"/>
      <c r="F98" s="296"/>
      <c r="G98" s="296"/>
      <c r="H98" s="296"/>
      <c r="I98" s="296"/>
      <c r="J98" s="296"/>
      <c r="K98" s="296"/>
      <c r="L98" s="296"/>
      <c r="M98" s="296"/>
      <c r="N98" s="296"/>
      <c r="O98" s="296"/>
      <c r="P98" s="296"/>
      <c r="Q98" s="296"/>
      <c r="R98" s="296"/>
      <c r="S98" s="296"/>
      <c r="T98" s="235"/>
    </row>
    <row r="99" spans="1:20" ht="15.75" customHeight="1" thickTop="1">
      <c r="A99" s="234"/>
      <c r="B99" s="296"/>
      <c r="C99" s="296"/>
      <c r="D99" s="296"/>
      <c r="E99" s="611" t="s">
        <v>1618</v>
      </c>
      <c r="F99" s="335"/>
      <c r="G99" s="335"/>
      <c r="H99" s="335"/>
      <c r="I99" s="335"/>
      <c r="J99" s="335"/>
      <c r="K99" s="335"/>
      <c r="L99" s="608" t="e">
        <f>'Risk Calc'!AE43</f>
        <v>#DIV/0!</v>
      </c>
      <c r="M99" s="609"/>
      <c r="N99" s="335"/>
      <c r="O99" s="335"/>
      <c r="P99" s="338"/>
      <c r="Q99" s="296"/>
      <c r="R99" s="296"/>
      <c r="S99" s="296"/>
      <c r="T99" s="235"/>
    </row>
    <row r="100" spans="1:20" ht="15.75" customHeight="1">
      <c r="A100" s="234"/>
      <c r="B100" s="296"/>
      <c r="C100" s="296"/>
      <c r="D100" s="296"/>
      <c r="E100" s="612"/>
      <c r="F100" s="336"/>
      <c r="G100" s="606" t="e">
        <f>'Risk Calc'!AE40</f>
        <v>#DIV/0!</v>
      </c>
      <c r="H100" s="607"/>
      <c r="I100" s="336"/>
      <c r="J100" s="336"/>
      <c r="K100" s="336"/>
      <c r="L100" s="607"/>
      <c r="M100" s="607"/>
      <c r="N100" s="336"/>
      <c r="O100" s="336"/>
      <c r="P100" s="339"/>
      <c r="Q100" s="296"/>
      <c r="R100" s="296"/>
      <c r="S100" s="296"/>
      <c r="T100" s="235"/>
    </row>
    <row r="101" spans="1:20" ht="15.75" customHeight="1">
      <c r="A101" s="234"/>
      <c r="B101" s="296"/>
      <c r="C101" s="296"/>
      <c r="D101" s="296"/>
      <c r="E101" s="612"/>
      <c r="F101" s="336"/>
      <c r="G101" s="607"/>
      <c r="H101" s="607"/>
      <c r="I101" s="336"/>
      <c r="J101" s="336"/>
      <c r="K101" s="336"/>
      <c r="L101" s="336"/>
      <c r="M101" s="336"/>
      <c r="N101" s="606" t="e">
        <f>'Risk Calc'!AE41</f>
        <v>#DIV/0!</v>
      </c>
      <c r="O101" s="607"/>
      <c r="P101" s="339"/>
      <c r="Q101" s="296"/>
      <c r="R101" s="296"/>
      <c r="S101" s="296"/>
      <c r="T101" s="235"/>
    </row>
    <row r="102" spans="1:20" ht="15.75" customHeight="1">
      <c r="A102" s="234"/>
      <c r="B102" s="296"/>
      <c r="C102" s="296"/>
      <c r="D102" s="296"/>
      <c r="E102" s="612"/>
      <c r="F102" s="336"/>
      <c r="G102" s="336"/>
      <c r="H102" s="336"/>
      <c r="I102" s="336"/>
      <c r="J102" s="336"/>
      <c r="K102" s="336"/>
      <c r="L102" s="336"/>
      <c r="M102" s="336"/>
      <c r="N102" s="607"/>
      <c r="O102" s="607"/>
      <c r="P102" s="339"/>
      <c r="Q102" s="296"/>
      <c r="R102" s="296"/>
      <c r="S102" s="296"/>
      <c r="T102" s="235"/>
    </row>
    <row r="103" spans="1:20">
      <c r="A103" s="234"/>
      <c r="B103" s="296"/>
      <c r="C103" s="296"/>
      <c r="D103" s="296"/>
      <c r="E103" s="612"/>
      <c r="F103" s="336"/>
      <c r="G103" s="336"/>
      <c r="H103" s="336"/>
      <c r="I103" s="336"/>
      <c r="J103" s="336"/>
      <c r="K103" s="336"/>
      <c r="L103" s="336"/>
      <c r="M103" s="336"/>
      <c r="N103" s="336"/>
      <c r="O103" s="336"/>
      <c r="P103" s="339"/>
      <c r="Q103" s="296"/>
      <c r="R103" s="296"/>
      <c r="S103" s="296"/>
      <c r="T103" s="235"/>
    </row>
    <row r="104" spans="1:20">
      <c r="A104" s="234"/>
      <c r="B104" s="296"/>
      <c r="C104" s="296"/>
      <c r="D104" s="296"/>
      <c r="E104" s="612"/>
      <c r="F104" s="336"/>
      <c r="G104" s="336"/>
      <c r="H104" s="336"/>
      <c r="I104" s="336"/>
      <c r="J104" s="336"/>
      <c r="K104" s="336"/>
      <c r="L104" s="336"/>
      <c r="M104" s="336"/>
      <c r="N104" s="336"/>
      <c r="O104" s="336"/>
      <c r="P104" s="339"/>
      <c r="Q104" s="296"/>
      <c r="R104" s="296"/>
      <c r="S104" s="296"/>
      <c r="T104" s="235"/>
    </row>
    <row r="105" spans="1:20">
      <c r="A105" s="234"/>
      <c r="B105" s="296"/>
      <c r="C105" s="296"/>
      <c r="D105" s="296"/>
      <c r="E105" s="612"/>
      <c r="F105" s="336"/>
      <c r="G105" s="336"/>
      <c r="H105" s="336"/>
      <c r="I105" s="336"/>
      <c r="J105" s="336"/>
      <c r="K105" s="336"/>
      <c r="L105" s="336"/>
      <c r="M105" s="336"/>
      <c r="N105" s="336"/>
      <c r="O105" s="336"/>
      <c r="P105" s="339"/>
      <c r="Q105" s="296"/>
      <c r="R105" s="296"/>
      <c r="S105" s="296"/>
      <c r="T105" s="235"/>
    </row>
    <row r="106" spans="1:20">
      <c r="A106" s="234"/>
      <c r="B106" s="296"/>
      <c r="C106" s="296"/>
      <c r="D106" s="296"/>
      <c r="E106" s="612"/>
      <c r="F106" s="336"/>
      <c r="G106" s="336"/>
      <c r="H106" s="336"/>
      <c r="I106" s="336"/>
      <c r="J106" s="337"/>
      <c r="K106" s="337"/>
      <c r="L106" s="336"/>
      <c r="M106" s="336"/>
      <c r="N106" s="336"/>
      <c r="O106" s="336"/>
      <c r="P106" s="339"/>
      <c r="Q106" s="296"/>
      <c r="R106" s="296"/>
      <c r="S106" s="296"/>
      <c r="T106" s="235"/>
    </row>
    <row r="107" spans="1:20">
      <c r="A107" s="234"/>
      <c r="B107" s="296"/>
      <c r="C107" s="296"/>
      <c r="D107" s="296"/>
      <c r="E107" s="612"/>
      <c r="F107" s="336"/>
      <c r="G107" s="336"/>
      <c r="H107" s="336"/>
      <c r="I107" s="336"/>
      <c r="J107" s="337"/>
      <c r="K107" s="337"/>
      <c r="L107" s="336"/>
      <c r="M107" s="336"/>
      <c r="N107" s="336"/>
      <c r="O107" s="336"/>
      <c r="P107" s="339"/>
      <c r="Q107" s="296"/>
      <c r="R107" s="296"/>
      <c r="S107" s="296"/>
      <c r="T107" s="235"/>
    </row>
    <row r="108" spans="1:20">
      <c r="A108" s="234"/>
      <c r="B108" s="296"/>
      <c r="C108" s="296"/>
      <c r="D108" s="296"/>
      <c r="E108" s="612"/>
      <c r="F108" s="336"/>
      <c r="G108" s="336"/>
      <c r="H108" s="336"/>
      <c r="I108" s="336"/>
      <c r="J108" s="336"/>
      <c r="K108" s="336"/>
      <c r="L108" s="336"/>
      <c r="M108" s="336"/>
      <c r="N108" s="336"/>
      <c r="O108" s="336"/>
      <c r="P108" s="339"/>
      <c r="Q108" s="296"/>
      <c r="R108" s="296"/>
      <c r="S108" s="296"/>
      <c r="T108" s="235"/>
    </row>
    <row r="109" spans="1:20">
      <c r="A109" s="234"/>
      <c r="B109" s="296"/>
      <c r="C109" s="296"/>
      <c r="D109" s="296"/>
      <c r="E109" s="612"/>
      <c r="F109" s="336"/>
      <c r="G109" s="336"/>
      <c r="H109" s="336"/>
      <c r="I109" s="336"/>
      <c r="J109" s="336"/>
      <c r="K109" s="336"/>
      <c r="L109" s="336"/>
      <c r="M109" s="336"/>
      <c r="N109" s="336"/>
      <c r="O109" s="336"/>
      <c r="P109" s="339"/>
      <c r="Q109" s="296"/>
      <c r="R109" s="296"/>
      <c r="S109" s="296"/>
      <c r="T109" s="235"/>
    </row>
    <row r="110" spans="1:20">
      <c r="A110" s="234"/>
      <c r="B110" s="296"/>
      <c r="C110" s="296"/>
      <c r="D110" s="296"/>
      <c r="E110" s="612"/>
      <c r="F110" s="336"/>
      <c r="G110" s="336"/>
      <c r="H110" s="336"/>
      <c r="I110" s="336"/>
      <c r="J110" s="336"/>
      <c r="K110" s="336"/>
      <c r="L110" s="336"/>
      <c r="M110" s="336"/>
      <c r="N110" s="336"/>
      <c r="O110" s="336"/>
      <c r="P110" s="339"/>
      <c r="Q110" s="296"/>
      <c r="R110" s="296"/>
      <c r="S110" s="296"/>
      <c r="T110" s="235"/>
    </row>
    <row r="111" spans="1:20">
      <c r="A111" s="234"/>
      <c r="B111" s="296"/>
      <c r="C111" s="296"/>
      <c r="D111" s="296"/>
      <c r="E111" s="612"/>
      <c r="F111" s="336"/>
      <c r="G111" s="336"/>
      <c r="H111" s="336"/>
      <c r="I111" s="336"/>
      <c r="J111" s="336"/>
      <c r="K111" s="336"/>
      <c r="L111" s="336"/>
      <c r="M111" s="336"/>
      <c r="N111" s="336"/>
      <c r="O111" s="336"/>
      <c r="P111" s="339"/>
      <c r="Q111" s="296"/>
      <c r="R111" s="296"/>
      <c r="S111" s="296"/>
      <c r="T111" s="235"/>
    </row>
    <row r="112" spans="1:20">
      <c r="A112" s="234"/>
      <c r="B112" s="296"/>
      <c r="C112" s="296"/>
      <c r="D112" s="296"/>
      <c r="E112" s="612"/>
      <c r="F112" s="336"/>
      <c r="G112" s="336"/>
      <c r="H112" s="336"/>
      <c r="I112" s="336"/>
      <c r="J112" s="336"/>
      <c r="K112" s="336"/>
      <c r="L112" s="336"/>
      <c r="M112" s="336"/>
      <c r="N112" s="336"/>
      <c r="O112" s="336"/>
      <c r="P112" s="339"/>
      <c r="Q112" s="296"/>
      <c r="R112" s="296"/>
      <c r="S112" s="296"/>
      <c r="T112" s="235"/>
    </row>
    <row r="113" spans="1:20">
      <c r="A113" s="234"/>
      <c r="B113" s="296"/>
      <c r="C113" s="296"/>
      <c r="D113" s="296"/>
      <c r="E113" s="612"/>
      <c r="F113" s="336"/>
      <c r="G113" s="336"/>
      <c r="H113" s="336"/>
      <c r="I113" s="336"/>
      <c r="J113" s="336"/>
      <c r="K113" s="336"/>
      <c r="L113" s="336"/>
      <c r="M113" s="336"/>
      <c r="N113" s="336"/>
      <c r="O113" s="336"/>
      <c r="P113" s="339"/>
      <c r="Q113" s="296"/>
      <c r="R113" s="296"/>
      <c r="S113" s="296"/>
      <c r="T113" s="235"/>
    </row>
    <row r="114" spans="1:20">
      <c r="A114" s="234"/>
      <c r="B114" s="296"/>
      <c r="C114" s="296"/>
      <c r="D114" s="296"/>
      <c r="E114" s="612"/>
      <c r="F114" s="336"/>
      <c r="G114" s="336"/>
      <c r="H114" s="336"/>
      <c r="I114" s="336"/>
      <c r="J114" s="336"/>
      <c r="K114" s="336"/>
      <c r="L114" s="336"/>
      <c r="M114" s="336"/>
      <c r="N114" s="336"/>
      <c r="O114" s="336"/>
      <c r="P114" s="339"/>
      <c r="Q114" s="296"/>
      <c r="R114" s="296"/>
      <c r="S114" s="296"/>
      <c r="T114" s="235"/>
    </row>
    <row r="115" spans="1:20" ht="15.75" customHeight="1">
      <c r="A115" s="234"/>
      <c r="B115" s="296"/>
      <c r="C115" s="296"/>
      <c r="D115" s="296"/>
      <c r="E115" s="612"/>
      <c r="F115" s="336"/>
      <c r="G115" s="336"/>
      <c r="H115" s="336"/>
      <c r="I115" s="336"/>
      <c r="J115" s="606" t="e">
        <f>'Risk Calc'!AE44</f>
        <v>#DIV/0!</v>
      </c>
      <c r="K115" s="607"/>
      <c r="L115" s="336"/>
      <c r="M115" s="336"/>
      <c r="N115" s="336"/>
      <c r="O115" s="336"/>
      <c r="P115" s="339"/>
      <c r="Q115" s="296"/>
      <c r="R115" s="296"/>
      <c r="S115" s="296"/>
      <c r="T115" s="235"/>
    </row>
    <row r="116" spans="1:20" ht="15.75" customHeight="1">
      <c r="A116" s="234"/>
      <c r="B116" s="296"/>
      <c r="C116" s="296"/>
      <c r="D116" s="296"/>
      <c r="E116" s="612"/>
      <c r="F116" s="336"/>
      <c r="G116" s="336"/>
      <c r="H116" s="336"/>
      <c r="I116" s="336"/>
      <c r="J116" s="607"/>
      <c r="K116" s="607"/>
      <c r="L116" s="336"/>
      <c r="M116" s="336"/>
      <c r="N116" s="336"/>
      <c r="O116" s="336"/>
      <c r="P116" s="339"/>
      <c r="Q116" s="296"/>
      <c r="R116" s="296"/>
      <c r="S116" s="296"/>
      <c r="T116" s="235"/>
    </row>
    <row r="117" spans="1:20">
      <c r="A117" s="234"/>
      <c r="B117" s="296"/>
      <c r="C117" s="296"/>
      <c r="D117" s="296"/>
      <c r="E117" s="612"/>
      <c r="F117" s="336"/>
      <c r="G117" s="336"/>
      <c r="H117" s="336"/>
      <c r="I117" s="336"/>
      <c r="J117" s="336"/>
      <c r="K117" s="336"/>
      <c r="L117" s="336"/>
      <c r="M117" s="336"/>
      <c r="N117" s="336"/>
      <c r="O117" s="336"/>
      <c r="P117" s="339"/>
      <c r="Q117" s="296"/>
      <c r="R117" s="296"/>
      <c r="S117" s="296"/>
      <c r="T117" s="235"/>
    </row>
    <row r="118" spans="1:20">
      <c r="A118" s="234"/>
      <c r="B118" s="296"/>
      <c r="C118" s="296"/>
      <c r="D118" s="296"/>
      <c r="E118" s="612"/>
      <c r="F118" s="336"/>
      <c r="G118" s="336"/>
      <c r="H118" s="336"/>
      <c r="I118" s="336"/>
      <c r="J118" s="336"/>
      <c r="K118" s="336"/>
      <c r="L118" s="336"/>
      <c r="M118" s="336"/>
      <c r="N118" s="336"/>
      <c r="O118" s="336"/>
      <c r="P118" s="339"/>
      <c r="Q118" s="296"/>
      <c r="R118" s="296"/>
      <c r="S118" s="296"/>
      <c r="T118" s="235"/>
    </row>
    <row r="119" spans="1:20">
      <c r="A119" s="234"/>
      <c r="B119" s="296"/>
      <c r="C119" s="296"/>
      <c r="D119" s="296"/>
      <c r="E119" s="612"/>
      <c r="F119" s="336"/>
      <c r="G119" s="336"/>
      <c r="H119" s="336"/>
      <c r="I119" s="336"/>
      <c r="J119" s="336"/>
      <c r="K119" s="336"/>
      <c r="L119" s="336"/>
      <c r="M119" s="336"/>
      <c r="N119" s="336"/>
      <c r="O119" s="336"/>
      <c r="P119" s="339"/>
      <c r="Q119" s="296"/>
      <c r="R119" s="296"/>
      <c r="S119" s="296"/>
      <c r="T119" s="235"/>
    </row>
    <row r="120" spans="1:20">
      <c r="A120" s="234"/>
      <c r="B120" s="296"/>
      <c r="C120" s="296"/>
      <c r="D120" s="296"/>
      <c r="E120" s="612"/>
      <c r="F120" s="336"/>
      <c r="G120" s="336"/>
      <c r="H120" s="336"/>
      <c r="I120" s="336"/>
      <c r="J120" s="336"/>
      <c r="K120" s="336"/>
      <c r="L120" s="336"/>
      <c r="M120" s="336"/>
      <c r="N120" s="336"/>
      <c r="O120" s="336"/>
      <c r="P120" s="339"/>
      <c r="Q120" s="296"/>
      <c r="R120" s="296"/>
      <c r="S120" s="296"/>
      <c r="T120" s="235"/>
    </row>
    <row r="121" spans="1:20">
      <c r="A121" s="234"/>
      <c r="B121" s="296"/>
      <c r="C121" s="296"/>
      <c r="D121" s="296"/>
      <c r="E121" s="612"/>
      <c r="F121" s="336"/>
      <c r="G121" s="336"/>
      <c r="H121" s="336"/>
      <c r="I121" s="336"/>
      <c r="J121" s="336"/>
      <c r="K121" s="336"/>
      <c r="L121" s="336"/>
      <c r="M121" s="336"/>
      <c r="N121" s="336"/>
      <c r="O121" s="336"/>
      <c r="P121" s="339"/>
      <c r="Q121" s="296"/>
      <c r="R121" s="296"/>
      <c r="S121" s="296"/>
      <c r="T121" s="235"/>
    </row>
    <row r="122" spans="1:20">
      <c r="A122" s="234"/>
      <c r="B122" s="296"/>
      <c r="C122" s="296"/>
      <c r="D122" s="296"/>
      <c r="E122" s="612"/>
      <c r="F122" s="336"/>
      <c r="G122" s="336"/>
      <c r="H122" s="336"/>
      <c r="I122" s="336"/>
      <c r="J122" s="336"/>
      <c r="K122" s="336"/>
      <c r="L122" s="336"/>
      <c r="M122" s="336"/>
      <c r="N122" s="336"/>
      <c r="O122" s="336"/>
      <c r="P122" s="339"/>
      <c r="Q122" s="296"/>
      <c r="R122" s="296"/>
      <c r="S122" s="296"/>
      <c r="T122" s="235"/>
    </row>
    <row r="123" spans="1:20" ht="15.75" customHeight="1">
      <c r="A123" s="234"/>
      <c r="B123" s="296"/>
      <c r="C123" s="296"/>
      <c r="D123" s="296"/>
      <c r="E123" s="612"/>
      <c r="F123" s="336"/>
      <c r="G123" s="336"/>
      <c r="H123" s="336"/>
      <c r="I123" s="336"/>
      <c r="J123" s="336"/>
      <c r="K123" s="336"/>
      <c r="L123" s="606" t="e">
        <f>'Risk Calc'!AE42</f>
        <v>#DIV/0!</v>
      </c>
      <c r="M123" s="607"/>
      <c r="N123" s="336"/>
      <c r="O123" s="336"/>
      <c r="P123" s="339"/>
      <c r="Q123" s="296"/>
      <c r="R123" s="296"/>
      <c r="S123" s="296"/>
      <c r="T123" s="235"/>
    </row>
    <row r="124" spans="1:20" ht="15.75" customHeight="1" thickBot="1">
      <c r="A124" s="234"/>
      <c r="B124" s="296"/>
      <c r="C124" s="296"/>
      <c r="D124" s="296"/>
      <c r="E124" s="613"/>
      <c r="F124" s="340"/>
      <c r="G124" s="340"/>
      <c r="H124" s="340"/>
      <c r="I124" s="340"/>
      <c r="J124" s="340"/>
      <c r="K124" s="340"/>
      <c r="L124" s="610"/>
      <c r="M124" s="610"/>
      <c r="N124" s="340"/>
      <c r="O124" s="340"/>
      <c r="P124" s="341"/>
      <c r="Q124" s="296"/>
      <c r="R124" s="296"/>
      <c r="S124" s="296"/>
      <c r="T124" s="235"/>
    </row>
    <row r="125" spans="1:20" ht="17" thickTop="1">
      <c r="A125" s="234"/>
      <c r="B125" s="296"/>
      <c r="C125" s="296"/>
      <c r="D125" s="296"/>
      <c r="E125" s="296"/>
      <c r="F125" s="296"/>
      <c r="G125" s="296"/>
      <c r="H125" s="296"/>
      <c r="I125" s="296"/>
      <c r="J125" s="296"/>
      <c r="K125" s="296"/>
      <c r="L125" s="296"/>
      <c r="M125" s="296"/>
      <c r="N125" s="296"/>
      <c r="O125" s="296"/>
      <c r="P125" s="296"/>
      <c r="Q125" s="296"/>
      <c r="R125" s="296"/>
      <c r="S125" s="296"/>
      <c r="T125" s="235"/>
    </row>
    <row r="126" spans="1:20">
      <c r="A126" s="234"/>
      <c r="B126" s="521" t="s">
        <v>1677</v>
      </c>
      <c r="C126" s="521"/>
      <c r="D126" s="521"/>
      <c r="E126" s="521"/>
      <c r="F126" s="521"/>
      <c r="G126" s="521"/>
      <c r="H126" s="521"/>
      <c r="I126" s="521"/>
      <c r="J126" s="521"/>
      <c r="K126" s="521"/>
      <c r="L126" s="521"/>
      <c r="M126" s="521"/>
      <c r="N126" s="521"/>
      <c r="O126" s="521"/>
      <c r="P126" s="521"/>
      <c r="Q126" s="521"/>
      <c r="R126" s="521"/>
      <c r="S126" s="521"/>
      <c r="T126" s="235"/>
    </row>
    <row r="127" spans="1:20" ht="17" thickBot="1">
      <c r="A127" s="234"/>
      <c r="B127" s="521"/>
      <c r="C127" s="521"/>
      <c r="D127" s="521"/>
      <c r="E127" s="521"/>
      <c r="F127" s="521"/>
      <c r="G127" s="521"/>
      <c r="H127" s="521"/>
      <c r="I127" s="521"/>
      <c r="J127" s="521"/>
      <c r="K127" s="521"/>
      <c r="L127" s="521"/>
      <c r="M127" s="521"/>
      <c r="N127" s="521"/>
      <c r="O127" s="521"/>
      <c r="P127" s="521"/>
      <c r="Q127" s="521"/>
      <c r="R127" s="521"/>
      <c r="S127" s="521"/>
      <c r="T127" s="235"/>
    </row>
    <row r="128" spans="1:20">
      <c r="A128" s="234"/>
      <c r="B128" s="366" t="s">
        <v>1432</v>
      </c>
      <c r="C128" s="614" t="s">
        <v>1676</v>
      </c>
      <c r="D128" s="615"/>
      <c r="E128" s="615"/>
      <c r="F128" s="615"/>
      <c r="G128" s="615"/>
      <c r="H128" s="615"/>
      <c r="I128" s="615"/>
      <c r="J128" s="615"/>
      <c r="K128" s="615"/>
      <c r="L128" s="615"/>
      <c r="M128" s="615"/>
      <c r="N128" s="615"/>
      <c r="O128" s="615"/>
      <c r="P128" s="615"/>
      <c r="Q128" s="615"/>
      <c r="R128" s="615"/>
      <c r="S128" s="616"/>
      <c r="T128" s="235"/>
    </row>
    <row r="129" spans="1:20">
      <c r="A129" s="234"/>
      <c r="B129" s="367" t="str">
        <f>'Override Calc'!V2</f>
        <v/>
      </c>
      <c r="C129" s="602"/>
      <c r="D129" s="602"/>
      <c r="E129" s="602"/>
      <c r="F129" s="602"/>
      <c r="G129" s="602"/>
      <c r="H129" s="602"/>
      <c r="I129" s="602"/>
      <c r="J129" s="602"/>
      <c r="K129" s="602"/>
      <c r="L129" s="602"/>
      <c r="M129" s="602"/>
      <c r="N129" s="602"/>
      <c r="O129" s="602"/>
      <c r="P129" s="602"/>
      <c r="Q129" s="602"/>
      <c r="R129" s="602"/>
      <c r="S129" s="603"/>
      <c r="T129" s="235"/>
    </row>
    <row r="130" spans="1:20">
      <c r="A130" s="234"/>
      <c r="B130" s="367" t="str">
        <f>'Override Calc'!V3</f>
        <v/>
      </c>
      <c r="C130" s="602"/>
      <c r="D130" s="602"/>
      <c r="E130" s="602"/>
      <c r="F130" s="602"/>
      <c r="G130" s="602"/>
      <c r="H130" s="602"/>
      <c r="I130" s="602"/>
      <c r="J130" s="602"/>
      <c r="K130" s="602"/>
      <c r="L130" s="602"/>
      <c r="M130" s="602"/>
      <c r="N130" s="602"/>
      <c r="O130" s="602"/>
      <c r="P130" s="602"/>
      <c r="Q130" s="602"/>
      <c r="R130" s="602"/>
      <c r="S130" s="603"/>
      <c r="T130" s="235"/>
    </row>
    <row r="131" spans="1:20">
      <c r="A131" s="234"/>
      <c r="B131" s="367" t="str">
        <f>'Override Calc'!V4</f>
        <v/>
      </c>
      <c r="C131" s="602"/>
      <c r="D131" s="602"/>
      <c r="E131" s="602"/>
      <c r="F131" s="602"/>
      <c r="G131" s="602"/>
      <c r="H131" s="602"/>
      <c r="I131" s="602"/>
      <c r="J131" s="602"/>
      <c r="K131" s="602"/>
      <c r="L131" s="602"/>
      <c r="M131" s="602"/>
      <c r="N131" s="602"/>
      <c r="O131" s="602"/>
      <c r="P131" s="602"/>
      <c r="Q131" s="602"/>
      <c r="R131" s="602"/>
      <c r="S131" s="603"/>
      <c r="T131" s="235"/>
    </row>
    <row r="132" spans="1:20">
      <c r="A132" s="234"/>
      <c r="B132" s="367" t="str">
        <f>'Override Calc'!V5</f>
        <v/>
      </c>
      <c r="C132" s="602"/>
      <c r="D132" s="602"/>
      <c r="E132" s="602"/>
      <c r="F132" s="602"/>
      <c r="G132" s="602"/>
      <c r="H132" s="602"/>
      <c r="I132" s="602"/>
      <c r="J132" s="602"/>
      <c r="K132" s="602"/>
      <c r="L132" s="602"/>
      <c r="M132" s="602"/>
      <c r="N132" s="602"/>
      <c r="O132" s="602"/>
      <c r="P132" s="602"/>
      <c r="Q132" s="602"/>
      <c r="R132" s="602"/>
      <c r="S132" s="603"/>
      <c r="T132" s="235"/>
    </row>
    <row r="133" spans="1:20">
      <c r="A133" s="234"/>
      <c r="B133" s="367" t="str">
        <f>'Override Calc'!V6</f>
        <v/>
      </c>
      <c r="C133" s="602"/>
      <c r="D133" s="602"/>
      <c r="E133" s="602"/>
      <c r="F133" s="602"/>
      <c r="G133" s="602"/>
      <c r="H133" s="602"/>
      <c r="I133" s="602"/>
      <c r="J133" s="602"/>
      <c r="K133" s="602"/>
      <c r="L133" s="602"/>
      <c r="M133" s="602"/>
      <c r="N133" s="602"/>
      <c r="O133" s="602"/>
      <c r="P133" s="602"/>
      <c r="Q133" s="602"/>
      <c r="R133" s="602"/>
      <c r="S133" s="603"/>
      <c r="T133" s="235"/>
    </row>
    <row r="134" spans="1:20">
      <c r="A134" s="234"/>
      <c r="B134" s="367" t="str">
        <f>'Override Calc'!V7</f>
        <v/>
      </c>
      <c r="C134" s="602"/>
      <c r="D134" s="602"/>
      <c r="E134" s="602"/>
      <c r="F134" s="602"/>
      <c r="G134" s="602"/>
      <c r="H134" s="602"/>
      <c r="I134" s="602"/>
      <c r="J134" s="602"/>
      <c r="K134" s="602"/>
      <c r="L134" s="602"/>
      <c r="M134" s="602"/>
      <c r="N134" s="602"/>
      <c r="O134" s="602"/>
      <c r="P134" s="602"/>
      <c r="Q134" s="602"/>
      <c r="R134" s="602"/>
      <c r="S134" s="603"/>
      <c r="T134" s="235"/>
    </row>
    <row r="135" spans="1:20">
      <c r="A135" s="234"/>
      <c r="B135" s="367" t="str">
        <f>'Override Calc'!V8</f>
        <v/>
      </c>
      <c r="C135" s="602"/>
      <c r="D135" s="602"/>
      <c r="E135" s="602"/>
      <c r="F135" s="602"/>
      <c r="G135" s="602"/>
      <c r="H135" s="602"/>
      <c r="I135" s="602"/>
      <c r="J135" s="602"/>
      <c r="K135" s="602"/>
      <c r="L135" s="602"/>
      <c r="M135" s="602"/>
      <c r="N135" s="602"/>
      <c r="O135" s="602"/>
      <c r="P135" s="602"/>
      <c r="Q135" s="602"/>
      <c r="R135" s="602"/>
      <c r="S135" s="603"/>
      <c r="T135" s="235"/>
    </row>
    <row r="136" spans="1:20">
      <c r="A136" s="234"/>
      <c r="B136" s="367" t="str">
        <f>'Override Calc'!V9</f>
        <v/>
      </c>
      <c r="C136" s="602"/>
      <c r="D136" s="602"/>
      <c r="E136" s="602"/>
      <c r="F136" s="602"/>
      <c r="G136" s="602"/>
      <c r="H136" s="602"/>
      <c r="I136" s="602"/>
      <c r="J136" s="602"/>
      <c r="K136" s="602"/>
      <c r="L136" s="602"/>
      <c r="M136" s="602"/>
      <c r="N136" s="602"/>
      <c r="O136" s="602"/>
      <c r="P136" s="602"/>
      <c r="Q136" s="602"/>
      <c r="R136" s="602"/>
      <c r="S136" s="603"/>
      <c r="T136" s="235"/>
    </row>
    <row r="137" spans="1:20">
      <c r="A137" s="234"/>
      <c r="B137" s="367" t="str">
        <f>'Override Calc'!V10</f>
        <v/>
      </c>
      <c r="C137" s="602"/>
      <c r="D137" s="602"/>
      <c r="E137" s="602"/>
      <c r="F137" s="602"/>
      <c r="G137" s="602"/>
      <c r="H137" s="602"/>
      <c r="I137" s="602"/>
      <c r="J137" s="602"/>
      <c r="K137" s="602"/>
      <c r="L137" s="602"/>
      <c r="M137" s="602"/>
      <c r="N137" s="602"/>
      <c r="O137" s="602"/>
      <c r="P137" s="602"/>
      <c r="Q137" s="602"/>
      <c r="R137" s="602"/>
      <c r="S137" s="603"/>
      <c r="T137" s="235"/>
    </row>
    <row r="138" spans="1:20">
      <c r="A138" s="234"/>
      <c r="B138" s="367" t="str">
        <f>'Override Calc'!V11</f>
        <v/>
      </c>
      <c r="C138" s="602"/>
      <c r="D138" s="602"/>
      <c r="E138" s="602"/>
      <c r="F138" s="602"/>
      <c r="G138" s="602"/>
      <c r="H138" s="602"/>
      <c r="I138" s="602"/>
      <c r="J138" s="602"/>
      <c r="K138" s="602"/>
      <c r="L138" s="602"/>
      <c r="M138" s="602"/>
      <c r="N138" s="602"/>
      <c r="O138" s="602"/>
      <c r="P138" s="602"/>
      <c r="Q138" s="602"/>
      <c r="R138" s="602"/>
      <c r="S138" s="603"/>
      <c r="T138" s="235"/>
    </row>
    <row r="139" spans="1:20">
      <c r="A139" s="234"/>
      <c r="B139" s="367" t="str">
        <f>'Override Calc'!V12</f>
        <v/>
      </c>
      <c r="C139" s="602"/>
      <c r="D139" s="602"/>
      <c r="E139" s="602"/>
      <c r="F139" s="602"/>
      <c r="G139" s="602"/>
      <c r="H139" s="602"/>
      <c r="I139" s="602"/>
      <c r="J139" s="602"/>
      <c r="K139" s="602"/>
      <c r="L139" s="602"/>
      <c r="M139" s="602"/>
      <c r="N139" s="602"/>
      <c r="O139" s="602"/>
      <c r="P139" s="602"/>
      <c r="Q139" s="602"/>
      <c r="R139" s="602"/>
      <c r="S139" s="603"/>
      <c r="T139" s="235"/>
    </row>
    <row r="140" spans="1:20">
      <c r="A140" s="234"/>
      <c r="B140" s="367" t="str">
        <f>'Override Calc'!V13</f>
        <v/>
      </c>
      <c r="C140" s="602"/>
      <c r="D140" s="602"/>
      <c r="E140" s="602"/>
      <c r="F140" s="602"/>
      <c r="G140" s="602"/>
      <c r="H140" s="602"/>
      <c r="I140" s="602"/>
      <c r="J140" s="602"/>
      <c r="K140" s="602"/>
      <c r="L140" s="602"/>
      <c r="M140" s="602"/>
      <c r="N140" s="602"/>
      <c r="O140" s="602"/>
      <c r="P140" s="602"/>
      <c r="Q140" s="602"/>
      <c r="R140" s="602"/>
      <c r="S140" s="603"/>
      <c r="T140" s="235"/>
    </row>
    <row r="141" spans="1:20">
      <c r="A141" s="234"/>
      <c r="B141" s="367" t="str">
        <f>'Override Calc'!V14</f>
        <v/>
      </c>
      <c r="C141" s="602"/>
      <c r="D141" s="602"/>
      <c r="E141" s="602"/>
      <c r="F141" s="602"/>
      <c r="G141" s="602"/>
      <c r="H141" s="602"/>
      <c r="I141" s="602"/>
      <c r="J141" s="602"/>
      <c r="K141" s="602"/>
      <c r="L141" s="602"/>
      <c r="M141" s="602"/>
      <c r="N141" s="602"/>
      <c r="O141" s="602"/>
      <c r="P141" s="602"/>
      <c r="Q141" s="602"/>
      <c r="R141" s="602"/>
      <c r="S141" s="603"/>
      <c r="T141" s="235"/>
    </row>
    <row r="142" spans="1:20">
      <c r="A142" s="234"/>
      <c r="B142" s="367" t="str">
        <f>'Override Calc'!V15</f>
        <v/>
      </c>
      <c r="C142" s="602"/>
      <c r="D142" s="602"/>
      <c r="E142" s="602"/>
      <c r="F142" s="602"/>
      <c r="G142" s="602"/>
      <c r="H142" s="602"/>
      <c r="I142" s="602"/>
      <c r="J142" s="602"/>
      <c r="K142" s="602"/>
      <c r="L142" s="602"/>
      <c r="M142" s="602"/>
      <c r="N142" s="602"/>
      <c r="O142" s="602"/>
      <c r="P142" s="602"/>
      <c r="Q142" s="602"/>
      <c r="R142" s="602"/>
      <c r="S142" s="603"/>
      <c r="T142" s="235"/>
    </row>
    <row r="143" spans="1:20" ht="17" thickBot="1">
      <c r="A143" s="234"/>
      <c r="B143" s="368" t="str">
        <f>'Override Calc'!V16</f>
        <v/>
      </c>
      <c r="C143" s="604"/>
      <c r="D143" s="604"/>
      <c r="E143" s="604"/>
      <c r="F143" s="604"/>
      <c r="G143" s="604"/>
      <c r="H143" s="604"/>
      <c r="I143" s="604"/>
      <c r="J143" s="604"/>
      <c r="K143" s="604"/>
      <c r="L143" s="604"/>
      <c r="M143" s="604"/>
      <c r="N143" s="604"/>
      <c r="O143" s="604"/>
      <c r="P143" s="604"/>
      <c r="Q143" s="604"/>
      <c r="R143" s="604"/>
      <c r="S143" s="605"/>
      <c r="T143" s="235"/>
    </row>
    <row r="144" spans="1:20" ht="17" thickBot="1">
      <c r="A144" s="252"/>
      <c r="B144" s="298"/>
      <c r="C144" s="298"/>
      <c r="D144" s="298"/>
      <c r="E144" s="298"/>
      <c r="F144" s="298"/>
      <c r="G144" s="298"/>
      <c r="H144" s="298"/>
      <c r="I144" s="298"/>
      <c r="J144" s="298"/>
      <c r="K144" s="298"/>
      <c r="L144" s="298"/>
      <c r="M144" s="298"/>
      <c r="N144" s="298"/>
      <c r="O144" s="298"/>
      <c r="P144" s="298"/>
      <c r="Q144" s="298"/>
      <c r="R144" s="298"/>
      <c r="S144" s="298"/>
      <c r="T144" s="247"/>
    </row>
    <row r="145" ht="17" thickTop="1"/>
  </sheetData>
  <mergeCells count="320">
    <mergeCell ref="A18:A23"/>
    <mergeCell ref="A24:A33"/>
    <mergeCell ref="A34:A37"/>
    <mergeCell ref="C136:S136"/>
    <mergeCell ref="C137:S137"/>
    <mergeCell ref="C138:S138"/>
    <mergeCell ref="C139:S139"/>
    <mergeCell ref="C140:S140"/>
    <mergeCell ref="C141:S141"/>
    <mergeCell ref="B32:I32"/>
    <mergeCell ref="B33:I33"/>
    <mergeCell ref="B34:I34"/>
    <mergeCell ref="B35:I35"/>
    <mergeCell ref="B64:S65"/>
    <mergeCell ref="B40:S41"/>
    <mergeCell ref="C42:D42"/>
    <mergeCell ref="E42:J42"/>
    <mergeCell ref="K42:M42"/>
    <mergeCell ref="B37:I37"/>
    <mergeCell ref="H38:I38"/>
    <mergeCell ref="B36:I36"/>
    <mergeCell ref="N42:O42"/>
    <mergeCell ref="P42:S42"/>
    <mergeCell ref="C43:D43"/>
    <mergeCell ref="C142:S142"/>
    <mergeCell ref="C143:S143"/>
    <mergeCell ref="G100:H101"/>
    <mergeCell ref="L99:M100"/>
    <mergeCell ref="L123:M124"/>
    <mergeCell ref="N101:O102"/>
    <mergeCell ref="J115:K116"/>
    <mergeCell ref="E99:E124"/>
    <mergeCell ref="B126:S127"/>
    <mergeCell ref="C128:S128"/>
    <mergeCell ref="C129:S129"/>
    <mergeCell ref="C130:S130"/>
    <mergeCell ref="C131:S131"/>
    <mergeCell ref="C132:S132"/>
    <mergeCell ref="C133:S133"/>
    <mergeCell ref="C134:S134"/>
    <mergeCell ref="C135:S135"/>
    <mergeCell ref="E43:J43"/>
    <mergeCell ref="K43:M43"/>
    <mergeCell ref="N43:O43"/>
    <mergeCell ref="P43:S43"/>
    <mergeCell ref="C44:D44"/>
    <mergeCell ref="E44:J44"/>
    <mergeCell ref="K44:M44"/>
    <mergeCell ref="N44:O44"/>
    <mergeCell ref="P44:S44"/>
    <mergeCell ref="B16:I17"/>
    <mergeCell ref="S1:T1"/>
    <mergeCell ref="R16:R17"/>
    <mergeCell ref="S16:S17"/>
    <mergeCell ref="O15:S15"/>
    <mergeCell ref="C4:D5"/>
    <mergeCell ref="E4:F5"/>
    <mergeCell ref="K4:L5"/>
    <mergeCell ref="M4:N5"/>
    <mergeCell ref="O4:P5"/>
    <mergeCell ref="J15:N15"/>
    <mergeCell ref="O16:O17"/>
    <mergeCell ref="N16:N17"/>
    <mergeCell ref="M16:M17"/>
    <mergeCell ref="G4:H5"/>
    <mergeCell ref="G6:H10"/>
    <mergeCell ref="Q4:R5"/>
    <mergeCell ref="Q6:R10"/>
    <mergeCell ref="B14:I15"/>
    <mergeCell ref="C6:D10"/>
    <mergeCell ref="P16:P17"/>
    <mergeCell ref="Q16:Q17"/>
    <mergeCell ref="E1:P1"/>
    <mergeCell ref="E2:P2"/>
    <mergeCell ref="B18:I18"/>
    <mergeCell ref="B31:I31"/>
    <mergeCell ref="E6:F10"/>
    <mergeCell ref="I11:N11"/>
    <mergeCell ref="K6:L10"/>
    <mergeCell ref="O6:P10"/>
    <mergeCell ref="M6:N10"/>
    <mergeCell ref="B12:S13"/>
    <mergeCell ref="L16:L17"/>
    <mergeCell ref="K16:K17"/>
    <mergeCell ref="J16:J17"/>
    <mergeCell ref="J14:N14"/>
    <mergeCell ref="B25:I25"/>
    <mergeCell ref="B26:I26"/>
    <mergeCell ref="B27:I27"/>
    <mergeCell ref="B28:I28"/>
    <mergeCell ref="B29:I29"/>
    <mergeCell ref="B30:I30"/>
    <mergeCell ref="B19:I19"/>
    <mergeCell ref="B20:I20"/>
    <mergeCell ref="B21:I21"/>
    <mergeCell ref="B22:I22"/>
    <mergeCell ref="B23:I23"/>
    <mergeCell ref="B24:I24"/>
    <mergeCell ref="C66:D66"/>
    <mergeCell ref="C67:D67"/>
    <mergeCell ref="C68:D68"/>
    <mergeCell ref="C45:D45"/>
    <mergeCell ref="E45:J45"/>
    <mergeCell ref="K45:M45"/>
    <mergeCell ref="N45:O45"/>
    <mergeCell ref="P45:S45"/>
    <mergeCell ref="C46:D46"/>
    <mergeCell ref="E46:J46"/>
    <mergeCell ref="K46:M46"/>
    <mergeCell ref="N46:O46"/>
    <mergeCell ref="P46:S46"/>
    <mergeCell ref="C47:D47"/>
    <mergeCell ref="E47:J47"/>
    <mergeCell ref="K47:M47"/>
    <mergeCell ref="N47:O47"/>
    <mergeCell ref="P47:S47"/>
    <mergeCell ref="C48:D48"/>
    <mergeCell ref="E48:J48"/>
    <mergeCell ref="K48:M48"/>
    <mergeCell ref="N48:O48"/>
    <mergeCell ref="P48:S48"/>
    <mergeCell ref="C49:D49"/>
    <mergeCell ref="C69:D69"/>
    <mergeCell ref="C70:D70"/>
    <mergeCell ref="C71:D71"/>
    <mergeCell ref="N70:O70"/>
    <mergeCell ref="P70:S70"/>
    <mergeCell ref="E71:J71"/>
    <mergeCell ref="K71:M71"/>
    <mergeCell ref="N71:O71"/>
    <mergeCell ref="P71:S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P66:S66"/>
    <mergeCell ref="E66:J66"/>
    <mergeCell ref="K66:M66"/>
    <mergeCell ref="N66:O66"/>
    <mergeCell ref="E67:J67"/>
    <mergeCell ref="K67:M67"/>
    <mergeCell ref="N67:O67"/>
    <mergeCell ref="P67:S67"/>
    <mergeCell ref="E68:J68"/>
    <mergeCell ref="K68:M68"/>
    <mergeCell ref="N68:O68"/>
    <mergeCell ref="P68:S68"/>
    <mergeCell ref="E69:J69"/>
    <mergeCell ref="K69:M69"/>
    <mergeCell ref="N69:O69"/>
    <mergeCell ref="P69:S69"/>
    <mergeCell ref="E70:J70"/>
    <mergeCell ref="K70:M70"/>
    <mergeCell ref="E72:J72"/>
    <mergeCell ref="K72:M72"/>
    <mergeCell ref="N72:O72"/>
    <mergeCell ref="P72:S72"/>
    <mergeCell ref="E73:J73"/>
    <mergeCell ref="K73:M73"/>
    <mergeCell ref="N73:O73"/>
    <mergeCell ref="P73:S73"/>
    <mergeCell ref="E74:J74"/>
    <mergeCell ref="K74:M74"/>
    <mergeCell ref="N74:O74"/>
    <mergeCell ref="P74:S74"/>
    <mergeCell ref="E75:J75"/>
    <mergeCell ref="K75:M75"/>
    <mergeCell ref="N75:O75"/>
    <mergeCell ref="P75:S75"/>
    <mergeCell ref="E76:J76"/>
    <mergeCell ref="K76:M76"/>
    <mergeCell ref="N76:O76"/>
    <mergeCell ref="P76:S76"/>
    <mergeCell ref="E77:J77"/>
    <mergeCell ref="K77:M77"/>
    <mergeCell ref="N77:O77"/>
    <mergeCell ref="P77:S77"/>
    <mergeCell ref="E78:J78"/>
    <mergeCell ref="K78:M78"/>
    <mergeCell ref="N78:O78"/>
    <mergeCell ref="P78:S78"/>
    <mergeCell ref="E79:J79"/>
    <mergeCell ref="K79:M79"/>
    <mergeCell ref="N79:O79"/>
    <mergeCell ref="P79:S79"/>
    <mergeCell ref="E80:J80"/>
    <mergeCell ref="K80:M80"/>
    <mergeCell ref="N80:O80"/>
    <mergeCell ref="P80:S80"/>
    <mergeCell ref="E81:J81"/>
    <mergeCell ref="K81:M81"/>
    <mergeCell ref="N81:O81"/>
    <mergeCell ref="P81:S81"/>
    <mergeCell ref="E82:J82"/>
    <mergeCell ref="K82:M82"/>
    <mergeCell ref="N82:O82"/>
    <mergeCell ref="P82:S82"/>
    <mergeCell ref="E83:J83"/>
    <mergeCell ref="K83:M83"/>
    <mergeCell ref="N83:O83"/>
    <mergeCell ref="P83:S83"/>
    <mergeCell ref="E49:J49"/>
    <mergeCell ref="K49:M49"/>
    <mergeCell ref="N49:O49"/>
    <mergeCell ref="P49:S49"/>
    <mergeCell ref="C50:D50"/>
    <mergeCell ref="E50:J50"/>
    <mergeCell ref="K50:M50"/>
    <mergeCell ref="N50:O50"/>
    <mergeCell ref="P50:S50"/>
    <mergeCell ref="C51:D51"/>
    <mergeCell ref="E51:J51"/>
    <mergeCell ref="K51:M51"/>
    <mergeCell ref="N51:O51"/>
    <mergeCell ref="P51:S51"/>
    <mergeCell ref="C52:D52"/>
    <mergeCell ref="E52:J52"/>
    <mergeCell ref="K52:M52"/>
    <mergeCell ref="N52:O52"/>
    <mergeCell ref="P52:S52"/>
    <mergeCell ref="C53:D53"/>
    <mergeCell ref="E53:J53"/>
    <mergeCell ref="K53:M53"/>
    <mergeCell ref="N53:O53"/>
    <mergeCell ref="P53:S53"/>
    <mergeCell ref="C54:D54"/>
    <mergeCell ref="E54:J54"/>
    <mergeCell ref="K54:M54"/>
    <mergeCell ref="N54:O54"/>
    <mergeCell ref="P54:S54"/>
    <mergeCell ref="C55:D55"/>
    <mergeCell ref="E55:J55"/>
    <mergeCell ref="K55:M55"/>
    <mergeCell ref="N55:O55"/>
    <mergeCell ref="P55:S55"/>
    <mergeCell ref="C56:D56"/>
    <mergeCell ref="E56:J56"/>
    <mergeCell ref="K56:M56"/>
    <mergeCell ref="N56:O56"/>
    <mergeCell ref="P56:S56"/>
    <mergeCell ref="C57:D57"/>
    <mergeCell ref="E57:J57"/>
    <mergeCell ref="K57:M57"/>
    <mergeCell ref="N57:O57"/>
    <mergeCell ref="P57:S57"/>
    <mergeCell ref="C58:D58"/>
    <mergeCell ref="E58:J58"/>
    <mergeCell ref="K58:M58"/>
    <mergeCell ref="N58:O58"/>
    <mergeCell ref="P58:S58"/>
    <mergeCell ref="C59:D59"/>
    <mergeCell ref="E59:J59"/>
    <mergeCell ref="K59:M59"/>
    <mergeCell ref="N59:O59"/>
    <mergeCell ref="P59:S59"/>
    <mergeCell ref="C60:D60"/>
    <mergeCell ref="E60:J60"/>
    <mergeCell ref="K60:M60"/>
    <mergeCell ref="N60:O60"/>
    <mergeCell ref="P60:S60"/>
    <mergeCell ref="E84:J84"/>
    <mergeCell ref="K84:M84"/>
    <mergeCell ref="N84:O84"/>
    <mergeCell ref="P84:S84"/>
    <mergeCell ref="P95:Q95"/>
    <mergeCell ref="P94:Q94"/>
    <mergeCell ref="P93:Q93"/>
    <mergeCell ref="M91:O91"/>
    <mergeCell ref="D92:F92"/>
    <mergeCell ref="K86:M86"/>
    <mergeCell ref="N86:O86"/>
    <mergeCell ref="P86:S86"/>
    <mergeCell ref="E85:J85"/>
    <mergeCell ref="K85:M85"/>
    <mergeCell ref="N85:O85"/>
    <mergeCell ref="P85:S85"/>
    <mergeCell ref="E86:J86"/>
    <mergeCell ref="D88:Q89"/>
    <mergeCell ref="G91:J91"/>
    <mergeCell ref="M92:N92"/>
    <mergeCell ref="C61:D61"/>
    <mergeCell ref="E61:J61"/>
    <mergeCell ref="K61:M61"/>
    <mergeCell ref="N61:O61"/>
    <mergeCell ref="P61:S61"/>
    <mergeCell ref="C62:D62"/>
    <mergeCell ref="E62:J62"/>
    <mergeCell ref="K62:M62"/>
    <mergeCell ref="N62:O62"/>
    <mergeCell ref="P62:S62"/>
    <mergeCell ref="M97:N97"/>
    <mergeCell ref="M96:N96"/>
    <mergeCell ref="M95:N95"/>
    <mergeCell ref="M94:N94"/>
    <mergeCell ref="M93:N93"/>
    <mergeCell ref="P92:Q92"/>
    <mergeCell ref="P97:Q97"/>
    <mergeCell ref="P96:Q96"/>
    <mergeCell ref="D97:F97"/>
    <mergeCell ref="D96:F96"/>
    <mergeCell ref="D95:F95"/>
    <mergeCell ref="D94:F94"/>
    <mergeCell ref="D93:F93"/>
    <mergeCell ref="K92:L92"/>
    <mergeCell ref="K97:L97"/>
    <mergeCell ref="K96:L96"/>
    <mergeCell ref="K95:L95"/>
    <mergeCell ref="K94:L94"/>
    <mergeCell ref="K93:L93"/>
  </mergeCells>
  <conditionalFormatting sqref="B43:S62">
    <cfRule type="containsErrors" dxfId="1025" priority="32">
      <formula>ISERROR(B43)</formula>
    </cfRule>
  </conditionalFormatting>
  <conditionalFormatting sqref="B67:S86">
    <cfRule type="containsErrors" dxfId="1024" priority="33">
      <formula>ISERROR(B67)</formula>
    </cfRule>
  </conditionalFormatting>
  <conditionalFormatting sqref="O18:S37">
    <cfRule type="cellIs" dxfId="1023" priority="30" operator="equal">
      <formula>0</formula>
    </cfRule>
  </conditionalFormatting>
  <conditionalFormatting sqref="N18:N38">
    <cfRule type="containsErrors" dxfId="1022" priority="24">
      <formula>ISERROR(N18)</formula>
    </cfRule>
  </conditionalFormatting>
  <conditionalFormatting sqref="C2:E2 Q2:T2">
    <cfRule type="containsErrors" dxfId="1021" priority="23">
      <formula>ISERROR(C2)</formula>
    </cfRule>
  </conditionalFormatting>
  <conditionalFormatting sqref="E2:P2">
    <cfRule type="cellIs" dxfId="1020" priority="22" operator="equal">
      <formula>0</formula>
    </cfRule>
  </conditionalFormatting>
  <conditionalFormatting sqref="J93:L97 P93:Q97">
    <cfRule type="containsErrors" dxfId="1019" priority="21">
      <formula>ISERROR(J93)</formula>
    </cfRule>
  </conditionalFormatting>
  <conditionalFormatting sqref="P93:Q97">
    <cfRule type="cellIs" dxfId="1018" priority="20" operator="equal">
      <formula>0</formula>
    </cfRule>
  </conditionalFormatting>
  <conditionalFormatting sqref="G100:H101 L99:M100 J115:K116 L123:M124 N101:O102">
    <cfRule type="containsErrors" dxfId="1017" priority="34">
      <formula>ISERROR(G99)</formula>
    </cfRule>
  </conditionalFormatting>
  <conditionalFormatting sqref="G100:H101">
    <cfRule type="containsText" dxfId="1016" priority="16" operator="containsText" text="Rare">
      <formula>NOT(ISERROR(SEARCH("Rare",G100)))</formula>
    </cfRule>
    <cfRule type="containsText" dxfId="1015" priority="17" operator="containsText" text="Possible">
      <formula>NOT(ISERROR(SEARCH("Possible",G100)))</formula>
    </cfRule>
    <cfRule type="containsText" dxfId="1014" priority="18" operator="containsText" text="Almost Certain">
      <formula>NOT(ISERROR(SEARCH("Almost Certain",G100)))</formula>
    </cfRule>
  </conditionalFormatting>
  <conditionalFormatting sqref="L99:M100">
    <cfRule type="containsText" dxfId="1013" priority="13" operator="containsText" text="Rare">
      <formula>NOT(ISERROR(SEARCH("Rare",L99)))</formula>
    </cfRule>
    <cfRule type="containsText" dxfId="1012" priority="14" operator="containsText" text="Possible">
      <formula>NOT(ISERROR(SEARCH("Possible",L99)))</formula>
    </cfRule>
    <cfRule type="containsText" dxfId="1011" priority="15" operator="containsText" text="Almost Certain">
      <formula>NOT(ISERROR(SEARCH("Almost Certain",L99)))</formula>
    </cfRule>
  </conditionalFormatting>
  <conditionalFormatting sqref="J115:K116">
    <cfRule type="containsText" dxfId="1010" priority="10" operator="containsText" text="Rare">
      <formula>NOT(ISERROR(SEARCH("Rare",J115)))</formula>
    </cfRule>
    <cfRule type="containsText" dxfId="1009" priority="11" operator="containsText" text="Possible">
      <formula>NOT(ISERROR(SEARCH("Possible",J115)))</formula>
    </cfRule>
    <cfRule type="containsText" dxfId="1008" priority="12" operator="containsText" text="Almost Certain">
      <formula>NOT(ISERROR(SEARCH("Almost Certain",J115)))</formula>
    </cfRule>
  </conditionalFormatting>
  <conditionalFormatting sqref="L123:M124">
    <cfRule type="containsText" dxfId="1007" priority="7" operator="containsText" text="Rare">
      <formula>NOT(ISERROR(SEARCH("Rare",L123)))</formula>
    </cfRule>
    <cfRule type="containsText" dxfId="1006" priority="8" operator="containsText" text="Possible">
      <formula>NOT(ISERROR(SEARCH("Possible",L123)))</formula>
    </cfRule>
    <cfRule type="containsText" dxfId="1005" priority="9" operator="containsText" text="Almost Certain">
      <formula>NOT(ISERROR(SEARCH("Almost Certain",L123)))</formula>
    </cfRule>
  </conditionalFormatting>
  <conditionalFormatting sqref="N101:O102">
    <cfRule type="containsText" dxfId="1004" priority="4" operator="containsText" text="Rare">
      <formula>NOT(ISERROR(SEARCH("Rare",N101)))</formula>
    </cfRule>
    <cfRule type="containsText" dxfId="1003" priority="5" operator="containsText" text="Possible">
      <formula>NOT(ISERROR(SEARCH("Possible",N101)))</formula>
    </cfRule>
    <cfRule type="containsText" dxfId="1002" priority="6" operator="containsText" text="Almost Certain">
      <formula>NOT(ISERROR(SEARCH("Almost Certain",N101)))</formula>
    </cfRule>
  </conditionalFormatting>
  <conditionalFormatting sqref="S1:T1">
    <cfRule type="containsErrors" dxfId="1001" priority="3">
      <formula>ISERROR(S1)</formula>
    </cfRule>
  </conditionalFormatting>
  <conditionalFormatting sqref="K43:O62">
    <cfRule type="cellIs" dxfId="1000" priority="2" operator="equal">
      <formula>0</formula>
    </cfRule>
  </conditionalFormatting>
  <conditionalFormatting sqref="K67:O86">
    <cfRule type="cellIs" priority="1" operator="equal">
      <formula>0</formula>
    </cfRule>
  </conditionalFormatting>
  <pageMargins left="0.25" right="0.25" top="0.75" bottom="0.75" header="0.3" footer="0.3"/>
  <pageSetup scale="54" fitToHeight="0" orientation="landscape" verticalDpi="0" r:id="rId1"/>
  <rowBreaks count="2" manualBreakCount="2">
    <brk id="39" max="16383" man="1"/>
    <brk id="87" max="16383" man="1"/>
  </rowBreaks>
  <drawing r:id="rId2"/>
  <extLst>
    <ext xmlns:x14="http://schemas.microsoft.com/office/spreadsheetml/2009/9/main" uri="{78C0D931-6437-407d-A8EE-F0AAD7539E65}">
      <x14:conditionalFormattings>
        <x14:conditionalFormatting xmlns:xm="http://schemas.microsoft.com/office/excel/2006/main">
          <x14:cfRule type="cellIs" priority="25" operator="greaterThan" id="{F19BF33A-5672-48B1-BD2F-39F23027A0D6}">
            <xm:f>'Risk Calc'!$U$50</xm:f>
            <x14:dxf>
              <fill>
                <patternFill>
                  <bgColor theme="9" tint="0.59996337778862885"/>
                </patternFill>
              </fill>
            </x14:dxf>
          </x14:cfRule>
          <x14:cfRule type="cellIs" priority="26" operator="between" id="{89D0EFBC-D65F-42EC-97AC-E13F74C090FD}">
            <xm:f>'Risk Calc'!$U$48</xm:f>
            <xm:f>'Risk Calc'!$U$49</xm:f>
            <x14:dxf>
              <fill>
                <patternFill>
                  <bgColor theme="7" tint="0.79998168889431442"/>
                </patternFill>
              </fill>
            </x14:dxf>
          </x14:cfRule>
          <x14:cfRule type="cellIs" priority="27" operator="lessThan" id="{6C6B2D2C-40D9-4302-9ACF-34DAC9ABD0A6}">
            <xm:f>'Risk Calc'!$U$47</xm:f>
            <x14:dxf>
              <fill>
                <patternFill>
                  <bgColor rgb="FFFFCCCC"/>
                </patternFill>
              </fill>
            </x14:dxf>
          </x14:cfRule>
          <xm:sqref>N18:N38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47AA-3706-4C56-8206-04E8C3926F46}">
  <sheetPr>
    <tabColor theme="1"/>
  </sheetPr>
  <dimension ref="A1:FP11"/>
  <sheetViews>
    <sheetView showGridLines="0" workbookViewId="0">
      <selection activeCell="O1" sqref="O1"/>
    </sheetView>
  </sheetViews>
  <sheetFormatPr baseColWidth="10" defaultColWidth="8.83203125" defaultRowHeight="16"/>
  <cols>
    <col min="1" max="1" width="16.6640625" style="113" bestFit="1" customWidth="1"/>
    <col min="2" max="3" width="13.6640625" style="113" customWidth="1"/>
    <col min="4" max="4" width="18.33203125" style="113" customWidth="1"/>
    <col min="5" max="5" width="15.6640625" style="113" customWidth="1"/>
    <col min="6" max="6" width="13.83203125" style="113" customWidth="1"/>
    <col min="7" max="7" width="16" style="113" customWidth="1"/>
    <col min="8" max="8" width="19.6640625" style="113" customWidth="1"/>
    <col min="9" max="9" width="40.1640625" style="113" customWidth="1"/>
    <col min="10" max="10" width="11.6640625" style="113" customWidth="1"/>
    <col min="11" max="11" width="14" style="113" customWidth="1"/>
    <col min="12" max="12" width="14.33203125" style="113" customWidth="1"/>
    <col min="13" max="13" width="16.1640625" style="113" customWidth="1"/>
    <col min="14" max="14" width="14.83203125" style="113" customWidth="1"/>
    <col min="15" max="15" width="17.6640625" style="113" customWidth="1"/>
    <col min="16" max="16" width="21.6640625" style="113" customWidth="1"/>
    <col min="17" max="17" width="43.1640625" style="113" customWidth="1"/>
    <col min="18" max="18" width="43.83203125" style="113" customWidth="1"/>
    <col min="19" max="19" width="47.1640625" style="113" customWidth="1"/>
    <col min="20" max="20" width="37.5" style="113" customWidth="1"/>
    <col min="21" max="21" width="88.1640625" style="113" bestFit="1" customWidth="1"/>
    <col min="22" max="22" width="45.6640625" style="113" customWidth="1"/>
    <col min="23" max="23" width="31.6640625" style="113" customWidth="1"/>
    <col min="24" max="24" width="18" style="113" customWidth="1"/>
    <col min="25" max="25" width="54.33203125" style="113" customWidth="1"/>
    <col min="26" max="26" width="24.6640625" style="113" customWidth="1"/>
    <col min="27" max="27" width="70.5" style="113" bestFit="1" customWidth="1"/>
    <col min="28" max="28" width="17.6640625" style="113" customWidth="1"/>
    <col min="29" max="29" width="15.33203125" style="113" customWidth="1"/>
    <col min="30" max="30" width="40.1640625" style="113" customWidth="1"/>
    <col min="31" max="31" width="22.33203125" style="113" customWidth="1"/>
    <col min="32" max="32" width="28.5" style="113" customWidth="1"/>
    <col min="33" max="33" width="47" style="113" customWidth="1"/>
    <col min="34" max="34" width="26.33203125" style="113" customWidth="1"/>
    <col min="35" max="35" width="32.33203125" style="113" customWidth="1"/>
    <col min="36" max="36" width="37.1640625" style="113" customWidth="1"/>
    <col min="37" max="150" width="9" style="113"/>
    <col min="151" max="151" width="19.83203125" style="113" bestFit="1" customWidth="1"/>
    <col min="152" max="152" width="24" style="113" bestFit="1" customWidth="1"/>
    <col min="153" max="153" width="24" style="113" customWidth="1"/>
    <col min="154" max="154" width="8.1640625" style="113" customWidth="1"/>
    <col min="155" max="155" width="27.1640625" style="113" bestFit="1" customWidth="1"/>
    <col min="156" max="156" width="19.1640625" style="113" bestFit="1" customWidth="1"/>
    <col min="157" max="157" width="19.1640625" style="113" customWidth="1"/>
    <col min="158" max="158" width="13.83203125" style="113" customWidth="1"/>
    <col min="159" max="159" width="19.5" style="113" bestFit="1" customWidth="1"/>
    <col min="160" max="160" width="19.5" style="113" customWidth="1"/>
    <col min="161" max="161" width="14" style="113" customWidth="1"/>
    <col min="162" max="162" width="19.1640625" style="113" bestFit="1" customWidth="1"/>
    <col min="163" max="163" width="19.1640625" style="113" customWidth="1"/>
    <col min="164" max="164" width="13.83203125" style="113" customWidth="1"/>
    <col min="165" max="165" width="18.83203125" style="113" bestFit="1" customWidth="1"/>
    <col min="166" max="166" width="18.83203125" style="113" customWidth="1"/>
    <col min="167" max="167" width="16.1640625" style="113" bestFit="1" customWidth="1"/>
    <col min="168" max="168" width="20.1640625" style="113" bestFit="1" customWidth="1"/>
    <col min="169" max="169" width="20.1640625" style="113" customWidth="1"/>
    <col min="170" max="170" width="13.83203125" style="113" customWidth="1"/>
    <col min="171" max="171" width="24.6640625" bestFit="1" customWidth="1"/>
    <col min="172" max="172" width="15.1640625" bestFit="1" customWidth="1"/>
  </cols>
  <sheetData>
    <row r="1" spans="1:172" s="113" customFormat="1">
      <c r="A1" s="113" t="s">
        <v>1620</v>
      </c>
      <c r="B1" s="113" t="s">
        <v>1545</v>
      </c>
      <c r="C1" s="113" t="s">
        <v>1673</v>
      </c>
      <c r="D1" s="113" t="s">
        <v>1621</v>
      </c>
      <c r="E1" s="113" t="s">
        <v>1515</v>
      </c>
      <c r="F1" s="113" t="s">
        <v>1295</v>
      </c>
      <c r="G1" s="113" t="s">
        <v>1296</v>
      </c>
      <c r="H1" s="113" t="s">
        <v>1294</v>
      </c>
      <c r="I1" s="113" t="s">
        <v>1628</v>
      </c>
      <c r="J1" s="113" t="s">
        <v>1334</v>
      </c>
      <c r="K1" s="113" t="s">
        <v>1317</v>
      </c>
      <c r="L1" s="113" t="s">
        <v>1400</v>
      </c>
      <c r="M1" s="113" t="s">
        <v>1622</v>
      </c>
      <c r="N1" s="113" t="s">
        <v>1348</v>
      </c>
      <c r="O1" s="113" t="s">
        <v>1714</v>
      </c>
      <c r="P1" s="113" t="s">
        <v>1393</v>
      </c>
      <c r="Q1" s="113" t="s">
        <v>9</v>
      </c>
      <c r="R1" s="113" t="s">
        <v>10</v>
      </c>
      <c r="S1" s="113" t="s">
        <v>11</v>
      </c>
      <c r="T1" s="113" t="s">
        <v>12</v>
      </c>
      <c r="U1" s="113" t="s">
        <v>16</v>
      </c>
      <c r="V1" s="113" t="s">
        <v>17</v>
      </c>
      <c r="W1" s="113" t="s">
        <v>18</v>
      </c>
      <c r="X1" s="113" t="s">
        <v>21</v>
      </c>
      <c r="Y1" s="113" t="s">
        <v>22</v>
      </c>
      <c r="Z1" s="113" t="s">
        <v>28</v>
      </c>
      <c r="AA1" s="113" t="s">
        <v>29</v>
      </c>
      <c r="AB1" s="113" t="s">
        <v>32</v>
      </c>
      <c r="AC1" s="113" t="s">
        <v>33</v>
      </c>
      <c r="AD1" s="113" t="s">
        <v>34</v>
      </c>
      <c r="AE1" s="113" t="s">
        <v>35</v>
      </c>
      <c r="AF1" s="113" t="s">
        <v>36</v>
      </c>
      <c r="AG1" s="113" t="s">
        <v>37</v>
      </c>
      <c r="AH1" s="113" t="s">
        <v>38</v>
      </c>
      <c r="AI1" s="113" t="s">
        <v>39</v>
      </c>
      <c r="AJ1" s="113" t="s">
        <v>40</v>
      </c>
      <c r="AK1" s="113" t="s">
        <v>1498</v>
      </c>
      <c r="AL1" s="113" t="s">
        <v>1499</v>
      </c>
      <c r="AM1" s="113" t="s">
        <v>1500</v>
      </c>
      <c r="AN1" s="113" t="s">
        <v>1501</v>
      </c>
      <c r="AO1" s="113" t="s">
        <v>1502</v>
      </c>
      <c r="AP1" s="113" t="s">
        <v>1503</v>
      </c>
      <c r="AQ1" s="113" t="s">
        <v>1504</v>
      </c>
      <c r="AR1" s="113" t="s">
        <v>1505</v>
      </c>
      <c r="AS1" s="113" t="s">
        <v>1506</v>
      </c>
      <c r="AT1" s="113" t="s">
        <v>69</v>
      </c>
      <c r="AU1" s="113" t="s">
        <v>70</v>
      </c>
      <c r="AV1" s="113" t="s">
        <v>71</v>
      </c>
      <c r="AW1" s="113" t="s">
        <v>72</v>
      </c>
      <c r="AX1" s="113" t="s">
        <v>73</v>
      </c>
      <c r="AY1" s="113" t="s">
        <v>75</v>
      </c>
      <c r="AZ1" s="113" t="s">
        <v>76</v>
      </c>
      <c r="BA1" s="113" t="s">
        <v>77</v>
      </c>
      <c r="BB1" s="113" t="s">
        <v>78</v>
      </c>
      <c r="BC1" s="113" t="s">
        <v>1629</v>
      </c>
      <c r="BD1" s="113" t="s">
        <v>1630</v>
      </c>
      <c r="BE1" s="113" t="s">
        <v>1631</v>
      </c>
      <c r="BF1" s="113" t="s">
        <v>1632</v>
      </c>
      <c r="BG1" s="113" t="s">
        <v>1633</v>
      </c>
      <c r="BH1" s="113" t="s">
        <v>1634</v>
      </c>
      <c r="BI1" s="113" t="s">
        <v>1635</v>
      </c>
      <c r="BJ1" s="113" t="s">
        <v>1636</v>
      </c>
      <c r="BK1" s="113" t="s">
        <v>1637</v>
      </c>
      <c r="BL1" s="113" t="s">
        <v>1638</v>
      </c>
      <c r="BM1" s="113" t="s">
        <v>1639</v>
      </c>
      <c r="BN1" s="113" t="s">
        <v>1640</v>
      </c>
      <c r="BO1" s="113" t="s">
        <v>1641</v>
      </c>
      <c r="BP1" s="113" t="s">
        <v>1642</v>
      </c>
      <c r="BQ1" s="113" t="s">
        <v>1643</v>
      </c>
      <c r="BR1" s="113" t="s">
        <v>1644</v>
      </c>
      <c r="BS1" s="113" t="s">
        <v>1645</v>
      </c>
      <c r="BT1" s="113" t="s">
        <v>1646</v>
      </c>
      <c r="BU1" s="113" t="s">
        <v>85</v>
      </c>
      <c r="BV1" s="113" t="s">
        <v>86</v>
      </c>
      <c r="BW1" s="113" t="s">
        <v>87</v>
      </c>
      <c r="BX1" s="113" t="s">
        <v>88</v>
      </c>
      <c r="BY1" s="113" t="s">
        <v>89</v>
      </c>
      <c r="BZ1" s="113" t="s">
        <v>91</v>
      </c>
      <c r="CA1" s="113" t="s">
        <v>92</v>
      </c>
      <c r="CB1" s="113" t="s">
        <v>93</v>
      </c>
      <c r="CC1" s="113" t="s">
        <v>94</v>
      </c>
      <c r="CD1" s="113" t="s">
        <v>95</v>
      </c>
      <c r="CE1" s="113" t="s">
        <v>96</v>
      </c>
      <c r="CF1" s="113" t="s">
        <v>100</v>
      </c>
      <c r="CG1" s="113" t="s">
        <v>101</v>
      </c>
      <c r="CH1" s="113" t="s">
        <v>102</v>
      </c>
      <c r="CI1" s="113" t="s">
        <v>103</v>
      </c>
      <c r="CJ1" s="113" t="s">
        <v>106</v>
      </c>
      <c r="CK1" s="113" t="s">
        <v>107</v>
      </c>
      <c r="CL1" s="113" t="s">
        <v>108</v>
      </c>
      <c r="CM1" s="113" t="s">
        <v>109</v>
      </c>
      <c r="CN1" s="113" t="s">
        <v>111</v>
      </c>
      <c r="CO1" s="113" t="s">
        <v>112</v>
      </c>
      <c r="CP1" s="113" t="s">
        <v>113</v>
      </c>
      <c r="CQ1" s="113" t="s">
        <v>114</v>
      </c>
      <c r="CR1" s="113" t="s">
        <v>1647</v>
      </c>
      <c r="CS1" s="113" t="s">
        <v>115</v>
      </c>
      <c r="CT1" s="113" t="s">
        <v>116</v>
      </c>
      <c r="CU1" s="113" t="s">
        <v>117</v>
      </c>
      <c r="CV1" s="113" t="s">
        <v>118</v>
      </c>
      <c r="CW1" s="113" t="s">
        <v>119</v>
      </c>
      <c r="CX1" s="113" t="s">
        <v>122</v>
      </c>
      <c r="CY1" s="113" t="s">
        <v>123</v>
      </c>
      <c r="CZ1" s="113" t="s">
        <v>124</v>
      </c>
      <c r="DA1" s="113" t="s">
        <v>125</v>
      </c>
      <c r="DB1" s="113" t="s">
        <v>126</v>
      </c>
      <c r="DC1" s="113" t="s">
        <v>127</v>
      </c>
      <c r="DD1" s="113" t="s">
        <v>132</v>
      </c>
      <c r="DE1" s="113" t="s">
        <v>133</v>
      </c>
      <c r="DF1" s="113" t="s">
        <v>134</v>
      </c>
      <c r="DG1" s="113" t="s">
        <v>135</v>
      </c>
      <c r="DH1" s="113" t="s">
        <v>136</v>
      </c>
      <c r="DI1" s="113" t="s">
        <v>141</v>
      </c>
      <c r="DJ1" s="113" t="s">
        <v>142</v>
      </c>
      <c r="DK1" s="113" t="s">
        <v>143</v>
      </c>
      <c r="DL1" s="113" t="s">
        <v>144</v>
      </c>
      <c r="DM1" s="113" t="s">
        <v>148</v>
      </c>
      <c r="DN1" s="113" t="s">
        <v>149</v>
      </c>
      <c r="DO1" s="113" t="s">
        <v>150</v>
      </c>
      <c r="DP1" s="113" t="s">
        <v>151</v>
      </c>
      <c r="DQ1" s="113" t="s">
        <v>152</v>
      </c>
      <c r="DR1" s="113" t="s">
        <v>158</v>
      </c>
      <c r="DS1" s="113" t="s">
        <v>159</v>
      </c>
      <c r="DT1" s="113" t="s">
        <v>160</v>
      </c>
      <c r="DU1" s="113" t="s">
        <v>161</v>
      </c>
      <c r="DV1" s="113" t="s">
        <v>162</v>
      </c>
      <c r="DW1" s="113" t="s">
        <v>163</v>
      </c>
      <c r="DX1" s="113" t="s">
        <v>164</v>
      </c>
      <c r="DY1" s="113" t="s">
        <v>165</v>
      </c>
      <c r="DZ1" s="113" t="s">
        <v>166</v>
      </c>
      <c r="EA1" s="345" t="s">
        <v>167</v>
      </c>
      <c r="EB1" s="113" t="s">
        <v>171</v>
      </c>
      <c r="EC1" s="113" t="s">
        <v>172</v>
      </c>
      <c r="ED1" s="113" t="s">
        <v>173</v>
      </c>
      <c r="EE1" s="113" t="s">
        <v>174</v>
      </c>
      <c r="EF1" s="113" t="s">
        <v>175</v>
      </c>
      <c r="EG1" s="113" t="s">
        <v>1648</v>
      </c>
      <c r="EH1" s="113" t="s">
        <v>176</v>
      </c>
      <c r="EI1" s="113" t="s">
        <v>177</v>
      </c>
      <c r="EJ1" s="113" t="s">
        <v>178</v>
      </c>
      <c r="EK1" s="113" t="s">
        <v>179</v>
      </c>
      <c r="EL1" s="113" t="s">
        <v>180</v>
      </c>
      <c r="EM1" s="113" t="s">
        <v>181</v>
      </c>
      <c r="EN1" s="113" t="s">
        <v>186</v>
      </c>
      <c r="EO1" s="113" t="s">
        <v>187</v>
      </c>
      <c r="EP1" s="113" t="s">
        <v>188</v>
      </c>
      <c r="EQ1" s="113" t="s">
        <v>189</v>
      </c>
      <c r="ER1" s="113" t="s">
        <v>190</v>
      </c>
      <c r="ES1" s="113" t="s">
        <v>193</v>
      </c>
      <c r="ET1" s="113" t="s">
        <v>194</v>
      </c>
      <c r="EU1" s="113" t="s">
        <v>1681</v>
      </c>
      <c r="EV1" s="113" t="s">
        <v>1671</v>
      </c>
      <c r="EW1" s="113" t="s">
        <v>1672</v>
      </c>
      <c r="EX1" s="113" t="s">
        <v>1308</v>
      </c>
      <c r="EY1" s="113" t="s">
        <v>1655</v>
      </c>
      <c r="EZ1" s="113" t="s">
        <v>1651</v>
      </c>
      <c r="FA1" s="113" t="s">
        <v>1656</v>
      </c>
      <c r="FB1" s="113" t="s">
        <v>1623</v>
      </c>
      <c r="FC1" s="113" t="s">
        <v>1652</v>
      </c>
      <c r="FD1" s="113" t="s">
        <v>1657</v>
      </c>
      <c r="FE1" s="113" t="s">
        <v>1624</v>
      </c>
      <c r="FF1" s="113" t="s">
        <v>1653</v>
      </c>
      <c r="FG1" s="113" t="s">
        <v>1658</v>
      </c>
      <c r="FH1" s="113" t="s">
        <v>1625</v>
      </c>
      <c r="FI1" s="113" t="s">
        <v>1654</v>
      </c>
      <c r="FJ1" s="113" t="s">
        <v>1659</v>
      </c>
      <c r="FK1" s="113" t="s">
        <v>1626</v>
      </c>
      <c r="FL1" s="113" t="s">
        <v>1682</v>
      </c>
      <c r="FM1" s="113" t="s">
        <v>1683</v>
      </c>
      <c r="FN1" s="113" t="s">
        <v>1627</v>
      </c>
      <c r="FO1" s="113" t="s">
        <v>1689</v>
      </c>
      <c r="FP1" s="113" t="s">
        <v>1690</v>
      </c>
    </row>
    <row r="2" spans="1:172" s="343" customFormat="1" ht="17">
      <c r="A2" s="1">
        <f>'VENDOR QUESTIONNAIRE'!E6</f>
        <v>0</v>
      </c>
      <c r="B2" s="373">
        <f>'VENDOR QUESTIONNAIRE'!P6</f>
        <v>0</v>
      </c>
      <c r="C2" s="373">
        <f>'VENDOR QUESTIONNAIRE'!P7</f>
        <v>0</v>
      </c>
      <c r="D2" s="1">
        <f>'VENDOR QUESTIONNAIRE'!N13</f>
        <v>0</v>
      </c>
      <c r="E2" s="1">
        <f>'VENDOR QUESTIONNAIRE'!N16</f>
        <v>0</v>
      </c>
      <c r="F2" s="1">
        <f>'VENDOR QUESTIONNAIRE'!E21</f>
        <v>0</v>
      </c>
      <c r="G2" s="1">
        <f>'VENDOR QUESTIONNAIRE'!E22</f>
        <v>0</v>
      </c>
      <c r="H2" s="1">
        <f>'VENDOR QUESTIONNAIRE'!E23</f>
        <v>0</v>
      </c>
      <c r="I2" s="2" t="str">
        <f>_xlfn.TEXTJOIN(CHAR(10),TRUE,'VENDOR QUESTIONNAIRE'!B28:E32)</f>
        <v/>
      </c>
      <c r="J2" s="1" t="str">
        <f>'Assessment Results'!C6</f>
        <v>Unknown</v>
      </c>
      <c r="K2" s="1" t="str">
        <f>'Assessment Results'!E6</f>
        <v>Unknown</v>
      </c>
      <c r="L2" s="1" t="str">
        <f>'Assessment Results'!G6</f>
        <v>Unknown</v>
      </c>
      <c r="M2" s="1">
        <f>'Assessment Results'!K6</f>
        <v>0</v>
      </c>
      <c r="N2" s="1">
        <f>'Assessment Results'!M6</f>
        <v>0</v>
      </c>
      <c r="O2" s="1">
        <f>'Assessment Results'!O6</f>
        <v>0</v>
      </c>
      <c r="P2" s="1">
        <f>'Assessment Results'!Q6</f>
        <v>0</v>
      </c>
      <c r="Q2" s="344" t="e">
        <f>'Assessment Results'!$N18</f>
        <v>#DIV/0!</v>
      </c>
      <c r="R2" s="344" t="e">
        <f>'Assessment Results'!$N19</f>
        <v>#DIV/0!</v>
      </c>
      <c r="S2" s="344" t="e">
        <f>'Assessment Results'!$N20</f>
        <v>#DIV/0!</v>
      </c>
      <c r="T2" s="344" t="e">
        <f>'Assessment Results'!$N21</f>
        <v>#DIV/0!</v>
      </c>
      <c r="U2" s="344" t="e">
        <f>'Assessment Results'!$N22</f>
        <v>#DIV/0!</v>
      </c>
      <c r="V2" s="344" t="e">
        <f>'Assessment Results'!$N23</f>
        <v>#DIV/0!</v>
      </c>
      <c r="W2" s="344" t="e">
        <f>'Assessment Results'!$N24</f>
        <v>#DIV/0!</v>
      </c>
      <c r="X2" s="344" t="e">
        <f>'Assessment Results'!$N25</f>
        <v>#DIV/0!</v>
      </c>
      <c r="Y2" s="344" t="e">
        <f>'Assessment Results'!$N26</f>
        <v>#DIV/0!</v>
      </c>
      <c r="Z2" s="344" t="e">
        <f>'Assessment Results'!$N27</f>
        <v>#DIV/0!</v>
      </c>
      <c r="AA2" s="344" t="e">
        <f>'Assessment Results'!$N28</f>
        <v>#DIV/0!</v>
      </c>
      <c r="AB2" s="344" t="e">
        <f>'Assessment Results'!$N29</f>
        <v>#DIV/0!</v>
      </c>
      <c r="AC2" s="344" t="e">
        <f>'Assessment Results'!$N30</f>
        <v>#DIV/0!</v>
      </c>
      <c r="AD2" s="344" t="e">
        <f>'Assessment Results'!$N31</f>
        <v>#DIV/0!</v>
      </c>
      <c r="AE2" s="344" t="e">
        <f>'Assessment Results'!$N32</f>
        <v>#DIV/0!</v>
      </c>
      <c r="AF2" s="344" t="e">
        <f>'Assessment Results'!$N33</f>
        <v>#DIV/0!</v>
      </c>
      <c r="AG2" s="344" t="e">
        <f>'Assessment Results'!$N34</f>
        <v>#DIV/0!</v>
      </c>
      <c r="AH2" s="344" t="e">
        <f>'Assessment Results'!$N35</f>
        <v>#DIV/0!</v>
      </c>
      <c r="AI2" s="344" t="e">
        <f>'Assessment Results'!$N36</f>
        <v>#DIV/0!</v>
      </c>
      <c r="AJ2" s="344" t="e">
        <f>'Assessment Results'!$N37</f>
        <v>#DIV/0!</v>
      </c>
      <c r="AK2" s="1">
        <f>'VENDOR QUESTIONNAIRE'!$L45</f>
        <v>0</v>
      </c>
      <c r="AL2" s="1">
        <f>'VENDOR QUESTIONNAIRE'!$L46</f>
        <v>0</v>
      </c>
      <c r="AM2" s="1">
        <f>'VENDOR QUESTIONNAIRE'!$L47</f>
        <v>0</v>
      </c>
      <c r="AN2" s="1">
        <f>'VENDOR QUESTIONNAIRE'!$L48</f>
        <v>0</v>
      </c>
      <c r="AO2" s="1">
        <f>'VENDOR QUESTIONNAIRE'!$L49</f>
        <v>0</v>
      </c>
      <c r="AP2" s="1">
        <f>'VENDOR QUESTIONNAIRE'!$L50</f>
        <v>0</v>
      </c>
      <c r="AQ2" s="1">
        <f>'VENDOR QUESTIONNAIRE'!$L51</f>
        <v>0</v>
      </c>
      <c r="AR2" s="1">
        <f>'VENDOR QUESTIONNAIRE'!$L52</f>
        <v>0</v>
      </c>
      <c r="AS2" s="1">
        <f>'VENDOR QUESTIONNAIRE'!$L53</f>
        <v>0</v>
      </c>
      <c r="AT2" s="1">
        <f>'VENDOR QUESTIONNAIRE'!$L58</f>
        <v>0</v>
      </c>
      <c r="AU2" s="1">
        <f>'VENDOR QUESTIONNAIRE'!$L59</f>
        <v>0</v>
      </c>
      <c r="AV2" s="1">
        <f>'VENDOR QUESTIONNAIRE'!$L60</f>
        <v>0</v>
      </c>
      <c r="AW2" s="1">
        <f>'VENDOR QUESTIONNAIRE'!$L61</f>
        <v>0</v>
      </c>
      <c r="AX2" s="1">
        <f>'VENDOR QUESTIONNAIRE'!$L62</f>
        <v>0</v>
      </c>
      <c r="AY2" s="1">
        <f>'VENDOR QUESTIONNAIRE'!$L64</f>
        <v>0</v>
      </c>
      <c r="AZ2" s="1">
        <f>'VENDOR QUESTIONNAIRE'!$L65</f>
        <v>0</v>
      </c>
      <c r="BA2" s="1">
        <f>'VENDOR QUESTIONNAIRE'!$L66</f>
        <v>0</v>
      </c>
      <c r="BB2" s="1">
        <f>'VENDOR QUESTIONNAIRE'!$L67</f>
        <v>0</v>
      </c>
      <c r="BC2" s="1">
        <f>'VENDOR QUESTIONNAIRE'!$L69</f>
        <v>0</v>
      </c>
      <c r="BD2" s="1">
        <f>'VENDOR QUESTIONNAIRE'!$L70</f>
        <v>0</v>
      </c>
      <c r="BE2" s="1">
        <f>'VENDOR QUESTIONNAIRE'!$L71</f>
        <v>0</v>
      </c>
      <c r="BF2" s="1">
        <f>'VENDOR QUESTIONNAIRE'!$L72</f>
        <v>0</v>
      </c>
      <c r="BG2" s="1">
        <f>'VENDOR QUESTIONNAIRE'!$L73</f>
        <v>0</v>
      </c>
      <c r="BH2" s="1">
        <f>'VENDOR QUESTIONNAIRE'!$L74</f>
        <v>0</v>
      </c>
      <c r="BI2" s="1">
        <f>'VENDOR QUESTIONNAIRE'!$L76</f>
        <v>0</v>
      </c>
      <c r="BJ2" s="1">
        <f>'VENDOR QUESTIONNAIRE'!$L77</f>
        <v>0</v>
      </c>
      <c r="BK2" s="1">
        <f>'VENDOR QUESTIONNAIRE'!$L78</f>
        <v>0</v>
      </c>
      <c r="BL2" s="1">
        <f>'VENDOR QUESTIONNAIRE'!$L79</f>
        <v>0</v>
      </c>
      <c r="BM2" s="1">
        <f>'VENDOR QUESTIONNAIRE'!$L80</f>
        <v>0</v>
      </c>
      <c r="BN2" s="1">
        <f>'VENDOR QUESTIONNAIRE'!$L81</f>
        <v>0</v>
      </c>
      <c r="BO2" s="1">
        <f>'VENDOR QUESTIONNAIRE'!$L82</f>
        <v>0</v>
      </c>
      <c r="BP2" s="1">
        <f>'VENDOR QUESTIONNAIRE'!$L83</f>
        <v>0</v>
      </c>
      <c r="BQ2" s="1">
        <f>'VENDOR QUESTIONNAIRE'!$L85</f>
        <v>0</v>
      </c>
      <c r="BR2" s="1">
        <f>'VENDOR QUESTIONNAIRE'!$L86</f>
        <v>0</v>
      </c>
      <c r="BS2" s="1">
        <f>'VENDOR QUESTIONNAIRE'!$L87</f>
        <v>0</v>
      </c>
      <c r="BT2" s="1">
        <f>'VENDOR QUESTIONNAIRE'!$L88</f>
        <v>0</v>
      </c>
      <c r="BU2" s="1">
        <f>'VENDOR QUESTIONNAIRE'!$L90</f>
        <v>0</v>
      </c>
      <c r="BV2" s="1">
        <f>'VENDOR QUESTIONNAIRE'!$L91</f>
        <v>0</v>
      </c>
      <c r="BW2" s="1">
        <f>'VENDOR QUESTIONNAIRE'!$L92</f>
        <v>0</v>
      </c>
      <c r="BX2" s="1">
        <f>'VENDOR QUESTIONNAIRE'!$L93</f>
        <v>0</v>
      </c>
      <c r="BY2" s="1">
        <f>'VENDOR QUESTIONNAIRE'!$L94</f>
        <v>0</v>
      </c>
      <c r="BZ2" s="1">
        <f>'VENDOR QUESTIONNAIRE'!$L96</f>
        <v>0</v>
      </c>
      <c r="CA2" s="1">
        <f>'VENDOR QUESTIONNAIRE'!$L97</f>
        <v>0</v>
      </c>
      <c r="CB2" s="1">
        <f>'VENDOR QUESTIONNAIRE'!$L98</f>
        <v>0</v>
      </c>
      <c r="CC2" s="1">
        <f>'VENDOR QUESTIONNAIRE'!$L99</f>
        <v>0</v>
      </c>
      <c r="CD2" s="1">
        <f>'VENDOR QUESTIONNAIRE'!$L100</f>
        <v>0</v>
      </c>
      <c r="CE2" s="1">
        <f>'VENDOR QUESTIONNAIRE'!$L101</f>
        <v>0</v>
      </c>
      <c r="CF2" s="1">
        <f>'VENDOR QUESTIONNAIRE'!$L103</f>
        <v>0</v>
      </c>
      <c r="CG2" s="1">
        <f>'VENDOR QUESTIONNAIRE'!$L104</f>
        <v>0</v>
      </c>
      <c r="CH2" s="1">
        <f>'VENDOR QUESTIONNAIRE'!$L105</f>
        <v>0</v>
      </c>
      <c r="CI2" s="1">
        <f>'VENDOR QUESTIONNAIRE'!$L106</f>
        <v>0</v>
      </c>
      <c r="CJ2" s="1">
        <f>'VENDOR QUESTIONNAIRE'!$L108</f>
        <v>0</v>
      </c>
      <c r="CK2" s="1">
        <f>'VENDOR QUESTIONNAIRE'!$L109</f>
        <v>0</v>
      </c>
      <c r="CL2" s="1">
        <f>'VENDOR QUESTIONNAIRE'!$L110</f>
        <v>0</v>
      </c>
      <c r="CM2" s="1">
        <f>'VENDOR QUESTIONNAIRE'!$L111</f>
        <v>0</v>
      </c>
      <c r="CN2" s="1">
        <f>'VENDOR QUESTIONNAIRE'!$L113</f>
        <v>0</v>
      </c>
      <c r="CO2" s="1">
        <f>'VENDOR QUESTIONNAIRE'!$L114</f>
        <v>0</v>
      </c>
      <c r="CP2" s="1">
        <f>'VENDOR QUESTIONNAIRE'!$L115</f>
        <v>0</v>
      </c>
      <c r="CQ2" s="1">
        <f>'VENDOR QUESTIONNAIRE'!$L116</f>
        <v>0</v>
      </c>
      <c r="CR2" s="1">
        <f>'VENDOR QUESTIONNAIRE'!$L117</f>
        <v>0</v>
      </c>
      <c r="CS2" s="1">
        <f>'VENDOR QUESTIONNAIRE'!$L119</f>
        <v>0</v>
      </c>
      <c r="CT2" s="1">
        <f>'VENDOR QUESTIONNAIRE'!$L120</f>
        <v>0</v>
      </c>
      <c r="CU2" s="1">
        <f>'VENDOR QUESTIONNAIRE'!$L121</f>
        <v>0</v>
      </c>
      <c r="CV2" s="1">
        <f>'VENDOR QUESTIONNAIRE'!$L122</f>
        <v>0</v>
      </c>
      <c r="CW2" s="1">
        <f>'VENDOR QUESTIONNAIRE'!$L123</f>
        <v>0</v>
      </c>
      <c r="CX2" s="1">
        <f>'VENDOR QUESTIONNAIRE'!$L125</f>
        <v>0</v>
      </c>
      <c r="CY2" s="1">
        <f>'VENDOR QUESTIONNAIRE'!$L126</f>
        <v>0</v>
      </c>
      <c r="CZ2" s="1">
        <f>'VENDOR QUESTIONNAIRE'!$L127</f>
        <v>0</v>
      </c>
      <c r="DA2" s="1">
        <f>'VENDOR QUESTIONNAIRE'!$L128</f>
        <v>0</v>
      </c>
      <c r="DB2" s="1">
        <f>'VENDOR QUESTIONNAIRE'!$L129</f>
        <v>0</v>
      </c>
      <c r="DC2" s="1">
        <f>'VENDOR QUESTIONNAIRE'!$L130</f>
        <v>0</v>
      </c>
      <c r="DD2" s="1">
        <f>'VENDOR QUESTIONNAIRE'!$L132</f>
        <v>0</v>
      </c>
      <c r="DE2" s="1">
        <f>'VENDOR QUESTIONNAIRE'!$L133</f>
        <v>0</v>
      </c>
      <c r="DF2" s="1">
        <f>'VENDOR QUESTIONNAIRE'!$L134</f>
        <v>0</v>
      </c>
      <c r="DG2" s="1">
        <f>'VENDOR QUESTIONNAIRE'!$L135</f>
        <v>0</v>
      </c>
      <c r="DH2" s="1">
        <f>'VENDOR QUESTIONNAIRE'!$L136</f>
        <v>0</v>
      </c>
      <c r="DI2" s="1">
        <f>'VENDOR QUESTIONNAIRE'!$L138</f>
        <v>0</v>
      </c>
      <c r="DJ2" s="1">
        <f>'VENDOR QUESTIONNAIRE'!$L139</f>
        <v>0</v>
      </c>
      <c r="DK2" s="1">
        <f>'VENDOR QUESTIONNAIRE'!$L140</f>
        <v>0</v>
      </c>
      <c r="DL2" s="1">
        <f>'VENDOR QUESTIONNAIRE'!$L141</f>
        <v>0</v>
      </c>
      <c r="DM2" s="1">
        <f>'VENDOR QUESTIONNAIRE'!$L143</f>
        <v>0</v>
      </c>
      <c r="DN2" s="1">
        <f>'VENDOR QUESTIONNAIRE'!$L144</f>
        <v>0</v>
      </c>
      <c r="DO2" s="1">
        <f>'VENDOR QUESTIONNAIRE'!$L145</f>
        <v>0</v>
      </c>
      <c r="DP2" s="1">
        <f>'VENDOR QUESTIONNAIRE'!$L146</f>
        <v>0</v>
      </c>
      <c r="DQ2" s="1">
        <f>'VENDOR QUESTIONNAIRE'!$L147</f>
        <v>0</v>
      </c>
      <c r="DR2" s="1">
        <f>'VENDOR QUESTIONNAIRE'!$L149</f>
        <v>0</v>
      </c>
      <c r="DS2" s="1">
        <f>'VENDOR QUESTIONNAIRE'!$L150</f>
        <v>0</v>
      </c>
      <c r="DT2" s="1">
        <f>'VENDOR QUESTIONNAIRE'!$L151</f>
        <v>0</v>
      </c>
      <c r="DU2" s="1">
        <f>'VENDOR QUESTIONNAIRE'!$L152</f>
        <v>0</v>
      </c>
      <c r="DV2" s="1">
        <f>'VENDOR QUESTIONNAIRE'!$L153</f>
        <v>0</v>
      </c>
      <c r="DW2" s="1">
        <f>'VENDOR QUESTIONNAIRE'!$L154</f>
        <v>0</v>
      </c>
      <c r="DX2" s="1">
        <f>'VENDOR QUESTIONNAIRE'!$L155</f>
        <v>0</v>
      </c>
      <c r="DY2" s="1">
        <f>'VENDOR QUESTIONNAIRE'!$L156</f>
        <v>0</v>
      </c>
      <c r="DZ2" s="1">
        <f>'VENDOR QUESTIONNAIRE'!$L157</f>
        <v>0</v>
      </c>
      <c r="EA2" s="1">
        <f>'VENDOR QUESTIONNAIRE'!$L158</f>
        <v>0</v>
      </c>
      <c r="EB2" s="1">
        <f>'VENDOR QUESTIONNAIRE'!$L160</f>
        <v>0</v>
      </c>
      <c r="EC2" s="1">
        <f>'VENDOR QUESTIONNAIRE'!$L161</f>
        <v>0</v>
      </c>
      <c r="ED2" s="1">
        <f>'VENDOR QUESTIONNAIRE'!$L162</f>
        <v>0</v>
      </c>
      <c r="EE2" s="1">
        <f>'VENDOR QUESTIONNAIRE'!$L163</f>
        <v>0</v>
      </c>
      <c r="EF2" s="1">
        <f>'VENDOR QUESTIONNAIRE'!$L164</f>
        <v>0</v>
      </c>
      <c r="EG2" s="1">
        <f>'VENDOR QUESTIONNAIRE'!$L165</f>
        <v>0</v>
      </c>
      <c r="EH2" s="1">
        <f>'VENDOR QUESTIONNAIRE'!$L167</f>
        <v>0</v>
      </c>
      <c r="EI2" s="1">
        <f>'VENDOR QUESTIONNAIRE'!$L168</f>
        <v>0</v>
      </c>
      <c r="EJ2" s="1">
        <f>'VENDOR QUESTIONNAIRE'!$L169</f>
        <v>0</v>
      </c>
      <c r="EK2" s="1">
        <f>'VENDOR QUESTIONNAIRE'!$L170</f>
        <v>0</v>
      </c>
      <c r="EL2" s="1">
        <f>'VENDOR QUESTIONNAIRE'!$L171</f>
        <v>0</v>
      </c>
      <c r="EM2" s="1">
        <f>'VENDOR QUESTIONNAIRE'!$L172</f>
        <v>0</v>
      </c>
      <c r="EN2" s="1">
        <f>'VENDOR QUESTIONNAIRE'!$L174</f>
        <v>0</v>
      </c>
      <c r="EO2" s="1">
        <f>'VENDOR QUESTIONNAIRE'!$L175</f>
        <v>0</v>
      </c>
      <c r="EP2" s="1">
        <f>'VENDOR QUESTIONNAIRE'!$L176</f>
        <v>0</v>
      </c>
      <c r="EQ2" s="1">
        <f>'VENDOR QUESTIONNAIRE'!$L177</f>
        <v>0</v>
      </c>
      <c r="ER2" s="1">
        <f>'VENDOR QUESTIONNAIRE'!$L178</f>
        <v>0</v>
      </c>
      <c r="ES2" s="1">
        <f>'VENDOR QUESTIONNAIRE'!$L180</f>
        <v>0</v>
      </c>
      <c r="ET2" s="1">
        <f>'VENDOR QUESTIONNAIRE'!$L181</f>
        <v>0</v>
      </c>
      <c r="EU2" s="1">
        <f>DATEDIF('VENDOR QUESTIONNAIRE'!P6,'VENDOR QUESTIONNAIRE'!P7,"D")</f>
        <v>0</v>
      </c>
      <c r="EV2" s="1">
        <f>COUNTIF('Override Calc'!V2:V26,"?*")</f>
        <v>0</v>
      </c>
      <c r="EW2" s="1" t="str">
        <f>'Override Calc'!X8</f>
        <v xml:space="preserve">                        </v>
      </c>
      <c r="EX2" s="1" t="e">
        <f>'Risk Calc'!I57</f>
        <v>#N/A</v>
      </c>
      <c r="EY2" s="344" t="e">
        <f>AVERAGE('Risk Calc'!W40:W44)</f>
        <v>#DIV/0!</v>
      </c>
      <c r="EZ2" s="344" t="e">
        <f>'Risk Calc'!W40</f>
        <v>#DIV/0!</v>
      </c>
      <c r="FA2" s="344">
        <f>'Risk Calc'!AD40</f>
        <v>0</v>
      </c>
      <c r="FB2" s="344" t="e">
        <f>'VENDOR QUESTIONNAIRE'!N189</f>
        <v>#DIV/0!</v>
      </c>
      <c r="FC2" s="344" t="e">
        <f>'Risk Calc'!W41</f>
        <v>#DIV/0!</v>
      </c>
      <c r="FD2" s="344">
        <f>'Risk Calc'!AD41</f>
        <v>0</v>
      </c>
      <c r="FE2" s="344" t="e">
        <f>'VENDOR QUESTIONNAIRE'!N191</f>
        <v>#DIV/0!</v>
      </c>
      <c r="FF2" s="344" t="e">
        <f>'Risk Calc'!W42</f>
        <v>#DIV/0!</v>
      </c>
      <c r="FG2" s="344">
        <f>'Risk Calc'!AD42</f>
        <v>0</v>
      </c>
      <c r="FH2" s="344" t="e">
        <f>'VENDOR QUESTIONNAIRE'!N193</f>
        <v>#DIV/0!</v>
      </c>
      <c r="FI2" s="344" t="e">
        <f>'Risk Calc'!W43</f>
        <v>#DIV/0!</v>
      </c>
      <c r="FJ2" s="344">
        <f>'Risk Calc'!AD43</f>
        <v>0</v>
      </c>
      <c r="FK2" s="344" t="e">
        <f>'VENDOR QUESTIONNAIRE'!N195</f>
        <v>#DIV/0!</v>
      </c>
      <c r="FL2" s="344" t="e">
        <f>'Risk Calc'!W44</f>
        <v>#DIV/0!</v>
      </c>
      <c r="FM2" s="344">
        <f>'Risk Calc'!AD44</f>
        <v>0</v>
      </c>
      <c r="FN2" s="344" t="e">
        <f>'VENDOR QUESTIONNAIRE'!N197</f>
        <v>#DIV/0!</v>
      </c>
      <c r="FO2" s="374">
        <f>'VENDOR QUESTIONNAIRE'!P8</f>
        <v>44320</v>
      </c>
      <c r="FP2" s="375" t="e">
        <f>'VENDOR QUESTIONNAIRE'!P9</f>
        <v>#NUM!</v>
      </c>
    </row>
    <row r="3" spans="1:172">
      <c r="I3" s="342"/>
      <c r="AK3" s="1"/>
      <c r="AT3" s="1"/>
      <c r="AY3" s="1"/>
      <c r="BC3" s="1"/>
      <c r="BI3" s="1"/>
      <c r="BQ3" s="1"/>
      <c r="BU3" s="1"/>
      <c r="BZ3" s="1"/>
      <c r="CF3" s="1"/>
      <c r="CJ3" s="1"/>
      <c r="CN3" s="1"/>
      <c r="CS3" s="1"/>
      <c r="CX3" s="1"/>
      <c r="DD3" s="1"/>
      <c r="DI3" s="1"/>
      <c r="DM3" s="1"/>
      <c r="DR3" s="1"/>
      <c r="EB3" s="1"/>
      <c r="EH3" s="1"/>
      <c r="EN3" s="1"/>
      <c r="FB3" s="344"/>
      <c r="FC3" s="344"/>
      <c r="FD3" s="344"/>
    </row>
    <row r="4" spans="1:172">
      <c r="AK4" s="1"/>
      <c r="AT4" s="1"/>
      <c r="AY4" s="1"/>
      <c r="BC4" s="1"/>
      <c r="BI4" s="1"/>
      <c r="BQ4" s="1"/>
      <c r="BU4" s="1"/>
      <c r="BZ4" s="1"/>
      <c r="CF4" s="1"/>
      <c r="CJ4" s="1"/>
      <c r="CN4" s="1"/>
      <c r="CS4" s="1"/>
      <c r="CX4" s="1"/>
      <c r="DD4" s="1"/>
      <c r="DI4" s="1"/>
      <c r="DM4" s="1"/>
      <c r="DR4" s="1"/>
      <c r="EB4" s="1"/>
      <c r="EH4" s="1"/>
      <c r="EN4" s="1"/>
      <c r="FB4" s="344"/>
      <c r="FC4" s="344"/>
      <c r="FD4" s="344"/>
    </row>
    <row r="5" spans="1:172">
      <c r="AK5" s="1"/>
      <c r="AT5" s="1"/>
      <c r="AY5" s="1"/>
      <c r="BC5" s="1"/>
      <c r="BI5" s="1"/>
      <c r="BQ5" s="1"/>
      <c r="BU5" s="1"/>
      <c r="BZ5" s="1"/>
      <c r="CF5" s="1"/>
      <c r="CJ5" s="1"/>
      <c r="CN5" s="1"/>
      <c r="CS5" s="1"/>
      <c r="CX5" s="1"/>
      <c r="DD5" s="1"/>
      <c r="DI5" s="1"/>
      <c r="DM5" s="1"/>
      <c r="DR5" s="1"/>
      <c r="EB5" s="1"/>
      <c r="EH5" s="1"/>
      <c r="EN5" s="1"/>
      <c r="FB5" s="344"/>
      <c r="FC5" s="344"/>
      <c r="FD5" s="344"/>
    </row>
    <row r="6" spans="1:172">
      <c r="AK6" s="1"/>
      <c r="AT6" s="1"/>
      <c r="BC6" s="1"/>
      <c r="BI6" s="1"/>
      <c r="BU6" s="1"/>
      <c r="BZ6" s="1"/>
      <c r="CN6" s="1"/>
      <c r="CS6" s="1"/>
      <c r="CX6" s="1"/>
      <c r="DD6" s="1"/>
      <c r="DM6" s="1"/>
      <c r="DR6" s="1"/>
      <c r="EB6" s="1"/>
      <c r="EH6" s="1"/>
      <c r="EN6" s="1"/>
      <c r="FB6" s="344"/>
      <c r="FC6" s="344"/>
      <c r="FD6" s="344"/>
    </row>
    <row r="7" spans="1:172">
      <c r="AK7" s="1"/>
      <c r="BC7" s="1"/>
      <c r="BI7" s="1"/>
      <c r="BZ7" s="1"/>
      <c r="CX7" s="1"/>
      <c r="DR7" s="1"/>
      <c r="EB7" s="1"/>
      <c r="EH7" s="1"/>
    </row>
    <row r="8" spans="1:172">
      <c r="AK8" s="1"/>
      <c r="BI8" s="1"/>
      <c r="DR8" s="1"/>
    </row>
    <row r="9" spans="1:172">
      <c r="AK9" s="1"/>
      <c r="BI9" s="1"/>
      <c r="DR9" s="1"/>
    </row>
    <row r="10" spans="1:172">
      <c r="DR10" s="1"/>
    </row>
    <row r="11" spans="1:172">
      <c r="DR11" s="1"/>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2B62-AB10-4AD5-9053-771FD1502B6B}">
  <sheetPr>
    <tabColor theme="7"/>
  </sheetPr>
  <dimension ref="B2:B4"/>
  <sheetViews>
    <sheetView showGridLines="0" zoomScale="70" zoomScaleNormal="70" workbookViewId="0">
      <selection activeCell="B2" sqref="B2:B4"/>
    </sheetView>
  </sheetViews>
  <sheetFormatPr baseColWidth="10" defaultColWidth="8.83203125" defaultRowHeight="16"/>
  <cols>
    <col min="1" max="1" width="2.83203125" customWidth="1"/>
    <col min="2" max="2" width="95.83203125" customWidth="1"/>
  </cols>
  <sheetData>
    <row r="2" spans="2:2" ht="208.5" customHeight="1">
      <c r="B2" s="627" t="s">
        <v>1715</v>
      </c>
    </row>
    <row r="3" spans="2:2" ht="208.5" customHeight="1">
      <c r="B3" s="627"/>
    </row>
    <row r="4" spans="2:2" ht="228.75" customHeight="1">
      <c r="B4" s="627"/>
    </row>
  </sheetData>
  <mergeCells count="1">
    <mergeCell ref="B2:B4"/>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2782-6CD8-DA45-A8E3-D3DBD351DED9}">
  <sheetPr>
    <tabColor theme="7"/>
  </sheetPr>
  <dimension ref="A1:B35"/>
  <sheetViews>
    <sheetView showGridLines="0" zoomScale="70" zoomScaleNormal="70" workbookViewId="0">
      <selection activeCell="B22" sqref="B22"/>
    </sheetView>
  </sheetViews>
  <sheetFormatPr baseColWidth="10" defaultColWidth="11" defaultRowHeight="16"/>
  <cols>
    <col min="2" max="2" width="214.5" customWidth="1"/>
  </cols>
  <sheetData>
    <row r="1" spans="1:2">
      <c r="A1" s="208"/>
      <c r="B1" s="628" t="s">
        <v>1485</v>
      </c>
    </row>
    <row r="2" spans="1:2">
      <c r="A2" s="209"/>
      <c r="B2" s="629"/>
    </row>
    <row r="3" spans="1:2" ht="17">
      <c r="A3" s="209"/>
      <c r="B3" s="210"/>
    </row>
    <row r="4" spans="1:2">
      <c r="A4" s="211" t="s">
        <v>1486</v>
      </c>
      <c r="B4" s="212"/>
    </row>
    <row r="5" spans="1:2">
      <c r="A5" s="213">
        <v>1</v>
      </c>
      <c r="B5" s="212" t="s">
        <v>1558</v>
      </c>
    </row>
    <row r="6" spans="1:2">
      <c r="A6" s="213">
        <v>1.1000000000000001</v>
      </c>
      <c r="B6" s="212" t="s">
        <v>1619</v>
      </c>
    </row>
    <row r="7" spans="1:2">
      <c r="A7" s="213">
        <v>1.2</v>
      </c>
      <c r="B7" s="212" t="s">
        <v>1649</v>
      </c>
    </row>
    <row r="8" spans="1:2">
      <c r="A8" s="213">
        <v>1.3</v>
      </c>
      <c r="B8" s="212" t="s">
        <v>1650</v>
      </c>
    </row>
    <row r="9" spans="1:2">
      <c r="A9" s="213"/>
      <c r="B9" s="212" t="s">
        <v>1663</v>
      </c>
    </row>
    <row r="10" spans="1:2">
      <c r="A10" s="213"/>
      <c r="B10" s="212" t="s">
        <v>1675</v>
      </c>
    </row>
    <row r="11" spans="1:2">
      <c r="A11" s="213"/>
      <c r="B11" s="212" t="s">
        <v>1664</v>
      </c>
    </row>
    <row r="12" spans="1:2">
      <c r="A12" s="213"/>
      <c r="B12" s="212" t="s">
        <v>1668</v>
      </c>
    </row>
    <row r="13" spans="1:2">
      <c r="A13" s="213"/>
      <c r="B13" s="212" t="s">
        <v>1670</v>
      </c>
    </row>
    <row r="14" spans="1:2">
      <c r="A14" s="213"/>
      <c r="B14" s="212" t="s">
        <v>1674</v>
      </c>
    </row>
    <row r="15" spans="1:2">
      <c r="A15" s="213"/>
      <c r="B15" s="212" t="s">
        <v>1680</v>
      </c>
    </row>
    <row r="16" spans="1:2">
      <c r="A16" s="213"/>
      <c r="B16" s="212" t="s">
        <v>1679</v>
      </c>
    </row>
    <row r="17" spans="1:2">
      <c r="A17" s="213">
        <v>1.4</v>
      </c>
      <c r="B17" s="212" t="s">
        <v>1684</v>
      </c>
    </row>
    <row r="18" spans="1:2">
      <c r="A18" s="213"/>
      <c r="B18" s="212" t="s">
        <v>1685</v>
      </c>
    </row>
    <row r="19" spans="1:2">
      <c r="A19" s="213"/>
      <c r="B19" s="212" t="s">
        <v>1687</v>
      </c>
    </row>
    <row r="20" spans="1:2">
      <c r="A20" s="213"/>
      <c r="B20" s="315" t="s">
        <v>1688</v>
      </c>
    </row>
    <row r="21" spans="1:2">
      <c r="A21" s="213"/>
      <c r="B21" s="315" t="s">
        <v>1692</v>
      </c>
    </row>
    <row r="22" spans="1:2">
      <c r="A22" s="213">
        <v>1.5</v>
      </c>
      <c r="B22" s="315" t="s">
        <v>1693</v>
      </c>
    </row>
    <row r="23" spans="1:2">
      <c r="A23" s="213"/>
      <c r="B23" s="315" t="s">
        <v>1694</v>
      </c>
    </row>
    <row r="24" spans="1:2">
      <c r="A24" s="213"/>
      <c r="B24" s="315" t="s">
        <v>1695</v>
      </c>
    </row>
    <row r="25" spans="1:2">
      <c r="A25" s="213"/>
      <c r="B25" s="315" t="s">
        <v>1699</v>
      </c>
    </row>
    <row r="26" spans="1:2">
      <c r="A26" s="213"/>
      <c r="B26" s="315" t="s">
        <v>1707</v>
      </c>
    </row>
    <row r="27" spans="1:2">
      <c r="A27" s="213"/>
      <c r="B27" s="315"/>
    </row>
    <row r="28" spans="1:2">
      <c r="A28" s="213"/>
      <c r="B28" s="315"/>
    </row>
    <row r="29" spans="1:2">
      <c r="A29" s="213"/>
      <c r="B29" s="315"/>
    </row>
    <row r="30" spans="1:2">
      <c r="A30" s="213"/>
      <c r="B30" s="315"/>
    </row>
    <row r="31" spans="1:2">
      <c r="A31" s="213"/>
      <c r="B31" s="315"/>
    </row>
    <row r="32" spans="1:2">
      <c r="A32" s="213"/>
      <c r="B32" s="315"/>
    </row>
    <row r="33" spans="1:2">
      <c r="A33" s="213"/>
      <c r="B33" s="315"/>
    </row>
    <row r="34" spans="1:2">
      <c r="A34" s="213"/>
      <c r="B34" s="315"/>
    </row>
    <row r="35" spans="1:2">
      <c r="A35" s="213"/>
      <c r="B35" s="315"/>
    </row>
  </sheetData>
  <mergeCells count="1">
    <mergeCell ref="B1:B2"/>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4FF-FB7F-0A4A-9E7E-03A3691F2F2C}">
  <sheetPr>
    <tabColor theme="4" tint="0.59999389629810485"/>
    <pageSetUpPr fitToPage="1"/>
  </sheetPr>
  <dimension ref="A1:U114"/>
  <sheetViews>
    <sheetView showGridLines="0" zoomScale="50" zoomScaleNormal="50" workbookViewId="0">
      <selection activeCell="B89" sqref="B89"/>
    </sheetView>
  </sheetViews>
  <sheetFormatPr baseColWidth="10" defaultColWidth="11" defaultRowHeight="16"/>
  <cols>
    <col min="1" max="1" width="15.33203125" style="1" customWidth="1"/>
    <col min="2" max="2" width="15.1640625" style="1" bestFit="1" customWidth="1"/>
    <col min="3" max="3" width="12.33203125" style="43" bestFit="1" customWidth="1"/>
    <col min="4" max="4" width="37.5" style="2" customWidth="1"/>
    <col min="5" max="5" width="18.33203125" style="43" customWidth="1"/>
    <col min="6" max="6" width="79.83203125" style="3" customWidth="1"/>
    <col min="7" max="7" width="13" style="1" customWidth="1"/>
    <col min="8" max="8" width="14.5" style="1" customWidth="1"/>
    <col min="9" max="9" width="13" style="1" customWidth="1"/>
    <col min="10" max="10" width="22" style="1" customWidth="1"/>
    <col min="11" max="11" width="62" style="1" customWidth="1"/>
    <col min="12" max="12" width="68.83203125" style="1" customWidth="1"/>
    <col min="13" max="13" width="14.33203125" style="1" customWidth="1"/>
    <col min="14" max="15" width="38.33203125" style="2" customWidth="1"/>
    <col min="16" max="16" width="38.1640625" style="2" customWidth="1"/>
    <col min="17" max="17" width="38" style="49" bestFit="1" customWidth="1"/>
  </cols>
  <sheetData>
    <row r="1" spans="1:21">
      <c r="G1" s="630" t="s">
        <v>1396</v>
      </c>
      <c r="H1" s="630"/>
      <c r="I1" s="630"/>
    </row>
    <row r="2" spans="1:21" ht="20">
      <c r="A2" s="9" t="s">
        <v>1225</v>
      </c>
      <c r="B2" s="9" t="s">
        <v>4</v>
      </c>
      <c r="C2" s="64" t="s">
        <v>1231</v>
      </c>
      <c r="D2" s="10" t="s">
        <v>1226</v>
      </c>
      <c r="E2" s="64" t="s">
        <v>1238</v>
      </c>
      <c r="F2" s="10" t="s">
        <v>62</v>
      </c>
      <c r="G2" s="9" t="s">
        <v>1394</v>
      </c>
      <c r="H2" s="9" t="s">
        <v>1534</v>
      </c>
      <c r="I2" s="9" t="s">
        <v>1395</v>
      </c>
      <c r="J2" s="9" t="s">
        <v>61</v>
      </c>
      <c r="K2" s="9" t="s">
        <v>1612</v>
      </c>
      <c r="L2" s="9" t="s">
        <v>3</v>
      </c>
      <c r="M2" s="9" t="s">
        <v>1064</v>
      </c>
      <c r="N2" s="60" t="s">
        <v>65</v>
      </c>
      <c r="O2" s="27" t="s">
        <v>1487</v>
      </c>
      <c r="P2" s="12" t="s">
        <v>1113</v>
      </c>
      <c r="Q2" s="134" t="s">
        <v>1436</v>
      </c>
      <c r="S2" s="631" t="s">
        <v>1535</v>
      </c>
      <c r="T2" s="631"/>
      <c r="U2" s="631"/>
    </row>
    <row r="3" spans="1:21" ht="85">
      <c r="A3" s="4" t="s">
        <v>23</v>
      </c>
      <c r="B3" s="50">
        <v>1.1000000000000001</v>
      </c>
      <c r="C3" s="65">
        <v>1.4</v>
      </c>
      <c r="D3" s="5" t="s">
        <v>9</v>
      </c>
      <c r="E3" s="65" t="s">
        <v>1235</v>
      </c>
      <c r="F3" s="6" t="s">
        <v>1547</v>
      </c>
      <c r="G3" s="311" t="s">
        <v>5</v>
      </c>
      <c r="H3" s="311" t="s">
        <v>5</v>
      </c>
      <c r="I3" s="311" t="s">
        <v>5</v>
      </c>
      <c r="J3" s="5" t="s">
        <v>1546</v>
      </c>
      <c r="K3" s="5" t="s">
        <v>1561</v>
      </c>
      <c r="L3" s="53" t="s">
        <v>1057</v>
      </c>
      <c r="M3" s="5"/>
      <c r="N3" s="309" t="s">
        <v>1094</v>
      </c>
      <c r="O3" s="28" t="s">
        <v>1228</v>
      </c>
      <c r="P3" s="61" t="s">
        <v>1065</v>
      </c>
      <c r="Q3" s="310" t="s">
        <v>1365</v>
      </c>
      <c r="S3" s="631"/>
      <c r="T3" s="631"/>
      <c r="U3" s="631"/>
    </row>
    <row r="4" spans="1:21" ht="51">
      <c r="A4" s="4" t="s">
        <v>23</v>
      </c>
      <c r="B4" s="50">
        <v>1.2</v>
      </c>
      <c r="C4" s="65">
        <v>1.5</v>
      </c>
      <c r="D4" s="5" t="s">
        <v>9</v>
      </c>
      <c r="E4" s="65" t="s">
        <v>1235</v>
      </c>
      <c r="F4" s="6" t="s">
        <v>1068</v>
      </c>
      <c r="G4" s="311" t="s">
        <v>5</v>
      </c>
      <c r="H4" s="311" t="s">
        <v>5</v>
      </c>
      <c r="I4" s="311" t="s">
        <v>6</v>
      </c>
      <c r="J4" s="5" t="s">
        <v>1546</v>
      </c>
      <c r="K4" s="5" t="s">
        <v>1561</v>
      </c>
      <c r="L4" s="53" t="s">
        <v>1057</v>
      </c>
      <c r="M4" s="5"/>
      <c r="N4" s="309" t="s">
        <v>1094</v>
      </c>
      <c r="O4" s="28"/>
      <c r="P4" s="61" t="s">
        <v>64</v>
      </c>
      <c r="Q4" s="310" t="s">
        <v>1365</v>
      </c>
      <c r="S4" s="631"/>
      <c r="T4" s="631"/>
      <c r="U4" s="631"/>
    </row>
    <row r="5" spans="1:21" ht="68">
      <c r="A5" s="4" t="s">
        <v>23</v>
      </c>
      <c r="B5" s="50">
        <v>1.3</v>
      </c>
      <c r="C5" s="65">
        <v>1.1000000000000001</v>
      </c>
      <c r="D5" s="5" t="s">
        <v>9</v>
      </c>
      <c r="E5" s="65" t="s">
        <v>1235</v>
      </c>
      <c r="F5" s="6" t="s">
        <v>1229</v>
      </c>
      <c r="G5" s="311" t="s">
        <v>5</v>
      </c>
      <c r="H5" s="311" t="s">
        <v>6</v>
      </c>
      <c r="I5" s="311" t="s">
        <v>6</v>
      </c>
      <c r="J5" s="5" t="s">
        <v>1546</v>
      </c>
      <c r="K5" s="5" t="s">
        <v>1560</v>
      </c>
      <c r="L5" s="53" t="s">
        <v>1057</v>
      </c>
      <c r="M5" s="5"/>
      <c r="N5" s="309" t="s">
        <v>1140</v>
      </c>
      <c r="O5" s="28"/>
      <c r="P5" s="61" t="s">
        <v>1066</v>
      </c>
      <c r="Q5" s="310" t="s">
        <v>1365</v>
      </c>
      <c r="S5" s="631"/>
      <c r="T5" s="631"/>
      <c r="U5" s="631"/>
    </row>
    <row r="6" spans="1:21" ht="68">
      <c r="A6" s="4" t="s">
        <v>23</v>
      </c>
      <c r="B6" s="50">
        <v>1.4</v>
      </c>
      <c r="C6" s="65">
        <v>1.7</v>
      </c>
      <c r="D6" s="5" t="s">
        <v>9</v>
      </c>
      <c r="E6" s="65" t="s">
        <v>1237</v>
      </c>
      <c r="F6" s="6" t="s">
        <v>1072</v>
      </c>
      <c r="G6" s="311" t="s">
        <v>5</v>
      </c>
      <c r="H6" s="311" t="s">
        <v>5</v>
      </c>
      <c r="I6" s="311" t="s">
        <v>6</v>
      </c>
      <c r="J6" s="5" t="s">
        <v>1546</v>
      </c>
      <c r="K6" s="5"/>
      <c r="L6" s="53" t="s">
        <v>1057</v>
      </c>
      <c r="M6" s="5" t="s">
        <v>1587</v>
      </c>
      <c r="N6" s="309" t="s">
        <v>1191</v>
      </c>
      <c r="O6" s="28"/>
      <c r="P6" s="61"/>
      <c r="Q6" s="310" t="s">
        <v>1365</v>
      </c>
      <c r="S6" s="631"/>
      <c r="T6" s="631"/>
      <c r="U6" s="631"/>
    </row>
    <row r="7" spans="1:21" ht="68">
      <c r="A7" s="4" t="s">
        <v>23</v>
      </c>
      <c r="B7" s="50">
        <v>1.5</v>
      </c>
      <c r="C7" s="65">
        <v>1.6</v>
      </c>
      <c r="D7" s="5" t="s">
        <v>9</v>
      </c>
      <c r="E7" s="65" t="s">
        <v>1279</v>
      </c>
      <c r="F7" s="6" t="s">
        <v>1070</v>
      </c>
      <c r="G7" s="311" t="s">
        <v>5</v>
      </c>
      <c r="H7" s="311" t="s">
        <v>5</v>
      </c>
      <c r="I7" s="311" t="s">
        <v>5</v>
      </c>
      <c r="J7" s="5" t="s">
        <v>1546</v>
      </c>
      <c r="K7" s="5"/>
      <c r="L7" s="53" t="s">
        <v>1057</v>
      </c>
      <c r="M7" s="5"/>
      <c r="N7" s="309" t="s">
        <v>1191</v>
      </c>
      <c r="O7" s="28"/>
      <c r="P7" s="61"/>
      <c r="Q7" s="310" t="s">
        <v>1365</v>
      </c>
    </row>
    <row r="8" spans="1:21" ht="51">
      <c r="A8" s="4" t="s">
        <v>23</v>
      </c>
      <c r="B8" s="50">
        <v>2.1</v>
      </c>
      <c r="C8" s="65">
        <v>2.1</v>
      </c>
      <c r="D8" s="5" t="s">
        <v>10</v>
      </c>
      <c r="E8" s="65" t="s">
        <v>1235</v>
      </c>
      <c r="F8" s="6" t="s">
        <v>1075</v>
      </c>
      <c r="G8" s="311" t="s">
        <v>5</v>
      </c>
      <c r="H8" s="311" t="s">
        <v>5</v>
      </c>
      <c r="I8" s="311" t="s">
        <v>5</v>
      </c>
      <c r="J8" s="5" t="s">
        <v>1546</v>
      </c>
      <c r="K8" s="5" t="s">
        <v>1561</v>
      </c>
      <c r="L8" s="53" t="s">
        <v>1057</v>
      </c>
      <c r="M8" s="5">
        <v>2.4</v>
      </c>
      <c r="N8" s="309" t="s">
        <v>1141</v>
      </c>
      <c r="O8" s="28"/>
      <c r="P8" s="61"/>
      <c r="Q8" s="310" t="s">
        <v>1365</v>
      </c>
    </row>
    <row r="9" spans="1:21" ht="68">
      <c r="A9" s="4" t="s">
        <v>23</v>
      </c>
      <c r="B9" s="50">
        <v>2.2000000000000002</v>
      </c>
      <c r="C9" s="65">
        <v>2.4</v>
      </c>
      <c r="D9" s="5" t="s">
        <v>10</v>
      </c>
      <c r="E9" s="65" t="s">
        <v>1235</v>
      </c>
      <c r="F9" s="6" t="s">
        <v>1077</v>
      </c>
      <c r="G9" s="311" t="s">
        <v>5</v>
      </c>
      <c r="H9" s="311" t="s">
        <v>5</v>
      </c>
      <c r="I9" s="311" t="s">
        <v>6</v>
      </c>
      <c r="J9" s="5" t="s">
        <v>1546</v>
      </c>
      <c r="K9" s="5" t="s">
        <v>1562</v>
      </c>
      <c r="L9" s="53" t="s">
        <v>1057</v>
      </c>
      <c r="M9" s="5"/>
      <c r="N9" s="309" t="s">
        <v>1141</v>
      </c>
      <c r="O9" s="28"/>
      <c r="P9" s="61" t="s">
        <v>212</v>
      </c>
      <c r="Q9" s="310" t="s">
        <v>1365</v>
      </c>
    </row>
    <row r="10" spans="1:21" ht="68">
      <c r="A10" s="4" t="s">
        <v>23</v>
      </c>
      <c r="B10" s="50">
        <v>2.2999999999999998</v>
      </c>
      <c r="C10" s="65">
        <v>2.2000000000000002</v>
      </c>
      <c r="D10" s="5" t="s">
        <v>10</v>
      </c>
      <c r="E10" s="65" t="s">
        <v>1235</v>
      </c>
      <c r="F10" s="6" t="s">
        <v>1079</v>
      </c>
      <c r="G10" s="311" t="s">
        <v>5</v>
      </c>
      <c r="H10" s="311" t="s">
        <v>5</v>
      </c>
      <c r="I10" s="311" t="s">
        <v>5</v>
      </c>
      <c r="J10" s="5" t="s">
        <v>1546</v>
      </c>
      <c r="K10" s="5"/>
      <c r="L10" s="53" t="s">
        <v>1057</v>
      </c>
      <c r="M10" s="5"/>
      <c r="N10" s="309" t="s">
        <v>1196</v>
      </c>
      <c r="O10" s="28"/>
      <c r="P10" s="61"/>
      <c r="Q10" s="310" t="s">
        <v>1365</v>
      </c>
    </row>
    <row r="11" spans="1:21" ht="51">
      <c r="A11" s="4" t="s">
        <v>23</v>
      </c>
      <c r="B11" s="50">
        <v>2.4</v>
      </c>
      <c r="C11" s="65">
        <v>2.6</v>
      </c>
      <c r="D11" s="5" t="s">
        <v>10</v>
      </c>
      <c r="E11" s="65" t="s">
        <v>1279</v>
      </c>
      <c r="F11" s="6" t="s">
        <v>1082</v>
      </c>
      <c r="G11" s="311" t="s">
        <v>5</v>
      </c>
      <c r="H11" s="311" t="s">
        <v>5</v>
      </c>
      <c r="I11" s="311" t="s">
        <v>5</v>
      </c>
      <c r="J11" s="5" t="s">
        <v>1546</v>
      </c>
      <c r="K11" s="5" t="s">
        <v>1563</v>
      </c>
      <c r="L11" s="53" t="s">
        <v>1057</v>
      </c>
      <c r="M11" s="5"/>
      <c r="N11" s="309" t="s">
        <v>1192</v>
      </c>
      <c r="O11" s="28"/>
      <c r="P11" s="61"/>
      <c r="Q11" s="310" t="s">
        <v>1365</v>
      </c>
    </row>
    <row r="12" spans="1:21" ht="67.5" customHeight="1">
      <c r="A12" s="4" t="s">
        <v>23</v>
      </c>
      <c r="B12" s="50">
        <v>3.1</v>
      </c>
      <c r="C12" s="65">
        <v>3.1</v>
      </c>
      <c r="D12" s="5" t="s">
        <v>11</v>
      </c>
      <c r="E12" s="65" t="s">
        <v>1236</v>
      </c>
      <c r="F12" s="6" t="s">
        <v>1197</v>
      </c>
      <c r="G12" s="311" t="s">
        <v>5</v>
      </c>
      <c r="H12" s="311" t="s">
        <v>5</v>
      </c>
      <c r="I12" s="311" t="s">
        <v>6</v>
      </c>
      <c r="J12" s="5" t="s">
        <v>1546</v>
      </c>
      <c r="K12" s="5" t="s">
        <v>1564</v>
      </c>
      <c r="L12" s="53" t="s">
        <v>1057</v>
      </c>
      <c r="M12" s="5">
        <v>11.2</v>
      </c>
      <c r="N12" s="309" t="s">
        <v>1142</v>
      </c>
      <c r="O12" s="28"/>
      <c r="P12" s="61"/>
      <c r="Q12" s="310" t="s">
        <v>1364</v>
      </c>
    </row>
    <row r="13" spans="1:21" ht="71.25" customHeight="1">
      <c r="A13" s="4" t="s">
        <v>23</v>
      </c>
      <c r="B13" s="50">
        <v>3.2</v>
      </c>
      <c r="C13" s="65">
        <v>3.2</v>
      </c>
      <c r="D13" s="5" t="s">
        <v>11</v>
      </c>
      <c r="E13" s="65" t="s">
        <v>1236</v>
      </c>
      <c r="F13" s="6" t="s">
        <v>1083</v>
      </c>
      <c r="G13" s="311" t="s">
        <v>5</v>
      </c>
      <c r="H13" s="311" t="s">
        <v>5</v>
      </c>
      <c r="I13" s="311" t="s">
        <v>6</v>
      </c>
      <c r="J13" s="5" t="s">
        <v>1546</v>
      </c>
      <c r="K13" s="5"/>
      <c r="L13" s="53" t="s">
        <v>1057</v>
      </c>
      <c r="M13" s="5"/>
      <c r="N13" s="309" t="s">
        <v>1142</v>
      </c>
      <c r="O13" s="28"/>
      <c r="P13" s="61"/>
      <c r="Q13" s="310" t="s">
        <v>1364</v>
      </c>
    </row>
    <row r="14" spans="1:21" ht="68">
      <c r="A14" s="4" t="s">
        <v>23</v>
      </c>
      <c r="B14" s="50">
        <v>3.3</v>
      </c>
      <c r="C14" s="65">
        <v>3.7</v>
      </c>
      <c r="D14" s="5" t="s">
        <v>11</v>
      </c>
      <c r="E14" s="65" t="s">
        <v>1279</v>
      </c>
      <c r="F14" s="6" t="s">
        <v>1246</v>
      </c>
      <c r="G14" s="311" t="s">
        <v>5</v>
      </c>
      <c r="H14" s="311" t="s">
        <v>5</v>
      </c>
      <c r="I14" s="311" t="s">
        <v>6</v>
      </c>
      <c r="J14" s="5" t="s">
        <v>1546</v>
      </c>
      <c r="K14" s="5" t="s">
        <v>1564</v>
      </c>
      <c r="L14" s="53" t="s">
        <v>1057</v>
      </c>
      <c r="M14" s="5">
        <v>6.1</v>
      </c>
      <c r="N14" s="309" t="s">
        <v>1143</v>
      </c>
      <c r="O14" s="28"/>
      <c r="P14" s="61"/>
      <c r="Q14" s="310" t="s">
        <v>1364</v>
      </c>
    </row>
    <row r="15" spans="1:21" ht="51">
      <c r="A15" s="4" t="s">
        <v>23</v>
      </c>
      <c r="B15" s="50">
        <v>3.4</v>
      </c>
      <c r="C15" s="65">
        <v>3.6</v>
      </c>
      <c r="D15" s="5" t="s">
        <v>11</v>
      </c>
      <c r="E15" s="65" t="s">
        <v>1279</v>
      </c>
      <c r="F15" s="6" t="s">
        <v>1198</v>
      </c>
      <c r="G15" s="311" t="s">
        <v>5</v>
      </c>
      <c r="H15" s="311" t="s">
        <v>5</v>
      </c>
      <c r="I15" s="311" t="s">
        <v>5</v>
      </c>
      <c r="J15" s="5" t="s">
        <v>1546</v>
      </c>
      <c r="K15" s="5"/>
      <c r="L15" s="53" t="s">
        <v>1057</v>
      </c>
      <c r="M15" s="5"/>
      <c r="N15" s="309" t="s">
        <v>1146</v>
      </c>
      <c r="O15" s="28"/>
      <c r="P15" s="61" t="s">
        <v>8</v>
      </c>
      <c r="Q15" s="310" t="s">
        <v>1364</v>
      </c>
    </row>
    <row r="16" spans="1:21" ht="85">
      <c r="A16" s="4" t="s">
        <v>23</v>
      </c>
      <c r="B16" s="50">
        <v>3.5</v>
      </c>
      <c r="C16" s="65">
        <v>3.4</v>
      </c>
      <c r="D16" s="5" t="s">
        <v>11</v>
      </c>
      <c r="E16" s="65" t="s">
        <v>1237</v>
      </c>
      <c r="F16" s="6" t="s">
        <v>1084</v>
      </c>
      <c r="G16" s="311" t="s">
        <v>5</v>
      </c>
      <c r="H16" s="311" t="s">
        <v>5</v>
      </c>
      <c r="I16" s="311" t="s">
        <v>5</v>
      </c>
      <c r="J16" s="5" t="s">
        <v>1546</v>
      </c>
      <c r="K16" s="5"/>
      <c r="L16" s="53" t="s">
        <v>1057</v>
      </c>
      <c r="M16" s="5"/>
      <c r="N16" s="309" t="s">
        <v>1147</v>
      </c>
      <c r="O16" s="28"/>
      <c r="P16" s="61"/>
      <c r="Q16" s="310" t="s">
        <v>1364</v>
      </c>
    </row>
    <row r="17" spans="1:17" ht="85">
      <c r="A17" s="4" t="s">
        <v>23</v>
      </c>
      <c r="B17" s="50">
        <v>3.6</v>
      </c>
      <c r="C17" s="65">
        <v>3.5</v>
      </c>
      <c r="D17" s="5" t="s">
        <v>11</v>
      </c>
      <c r="E17" s="65" t="s">
        <v>1237</v>
      </c>
      <c r="F17" s="6" t="s">
        <v>1085</v>
      </c>
      <c r="G17" s="311" t="s">
        <v>5</v>
      </c>
      <c r="H17" s="311" t="s">
        <v>5</v>
      </c>
      <c r="I17" s="311" t="s">
        <v>5</v>
      </c>
      <c r="J17" s="5" t="s">
        <v>1546</v>
      </c>
      <c r="K17" s="5"/>
      <c r="L17" s="53" t="s">
        <v>1057</v>
      </c>
      <c r="M17" s="5"/>
      <c r="N17" s="309" t="s">
        <v>1147</v>
      </c>
      <c r="O17" s="28"/>
      <c r="P17" s="61"/>
      <c r="Q17" s="310" t="s">
        <v>1364</v>
      </c>
    </row>
    <row r="18" spans="1:17" ht="68">
      <c r="A18" s="4" t="s">
        <v>23</v>
      </c>
      <c r="B18" s="50">
        <v>4.0999999999999996</v>
      </c>
      <c r="C18" s="65">
        <v>4.2</v>
      </c>
      <c r="D18" s="5" t="s">
        <v>12</v>
      </c>
      <c r="E18" s="65" t="s">
        <v>1237</v>
      </c>
      <c r="F18" s="6" t="s">
        <v>1086</v>
      </c>
      <c r="G18" s="311" t="s">
        <v>5</v>
      </c>
      <c r="H18" s="311" t="s">
        <v>5</v>
      </c>
      <c r="I18" s="311" t="s">
        <v>5</v>
      </c>
      <c r="J18" s="5" t="s">
        <v>1548</v>
      </c>
      <c r="K18" s="5" t="s">
        <v>1565</v>
      </c>
      <c r="L18" s="53" t="s">
        <v>1057</v>
      </c>
      <c r="M18" s="5" t="s">
        <v>1588</v>
      </c>
      <c r="N18" s="309" t="s">
        <v>1158</v>
      </c>
      <c r="O18" s="28"/>
      <c r="P18" s="61"/>
      <c r="Q18" s="310" t="s">
        <v>1365</v>
      </c>
    </row>
    <row r="19" spans="1:17" ht="51">
      <c r="A19" s="4" t="s">
        <v>23</v>
      </c>
      <c r="B19" s="50">
        <v>4.2</v>
      </c>
      <c r="C19" s="65">
        <v>4.3</v>
      </c>
      <c r="D19" s="5" t="s">
        <v>12</v>
      </c>
      <c r="E19" s="65" t="s">
        <v>1237</v>
      </c>
      <c r="F19" s="6" t="s">
        <v>1088</v>
      </c>
      <c r="G19" s="311" t="s">
        <v>5</v>
      </c>
      <c r="H19" s="311" t="s">
        <v>5</v>
      </c>
      <c r="I19" s="311" t="s">
        <v>5</v>
      </c>
      <c r="J19" s="5" t="s">
        <v>1546</v>
      </c>
      <c r="K19" s="5"/>
      <c r="L19" s="53" t="s">
        <v>1057</v>
      </c>
      <c r="M19" s="5"/>
      <c r="N19" s="309" t="s">
        <v>1159</v>
      </c>
      <c r="O19" s="28"/>
      <c r="P19" s="61" t="s">
        <v>1089</v>
      </c>
      <c r="Q19" s="310" t="s">
        <v>1365</v>
      </c>
    </row>
    <row r="20" spans="1:17" ht="51">
      <c r="A20" s="4" t="s">
        <v>23</v>
      </c>
      <c r="B20" s="50">
        <v>4.3</v>
      </c>
      <c r="C20" s="65">
        <v>4.0999999999999996</v>
      </c>
      <c r="D20" s="5" t="s">
        <v>12</v>
      </c>
      <c r="E20" s="65" t="s">
        <v>1236</v>
      </c>
      <c r="F20" s="6" t="s">
        <v>1087</v>
      </c>
      <c r="G20" s="311" t="s">
        <v>5</v>
      </c>
      <c r="H20" s="311" t="s">
        <v>5</v>
      </c>
      <c r="I20" s="311" t="s">
        <v>6</v>
      </c>
      <c r="J20" s="5" t="s">
        <v>1546</v>
      </c>
      <c r="K20" s="5"/>
      <c r="L20" s="53" t="s">
        <v>1057</v>
      </c>
      <c r="M20" s="5"/>
      <c r="N20" s="309" t="s">
        <v>1156</v>
      </c>
      <c r="O20" s="28"/>
      <c r="P20" s="61" t="s">
        <v>15</v>
      </c>
      <c r="Q20" s="310" t="s">
        <v>1365</v>
      </c>
    </row>
    <row r="21" spans="1:17" ht="85">
      <c r="A21" s="4" t="s">
        <v>23</v>
      </c>
      <c r="B21" s="50">
        <v>4.4000000000000004</v>
      </c>
      <c r="C21" s="65">
        <v>4.8</v>
      </c>
      <c r="D21" s="5" t="s">
        <v>12</v>
      </c>
      <c r="E21" s="65" t="s">
        <v>1236</v>
      </c>
      <c r="F21" s="6" t="s">
        <v>13</v>
      </c>
      <c r="G21" s="311" t="s">
        <v>5</v>
      </c>
      <c r="H21" s="311" t="s">
        <v>5</v>
      </c>
      <c r="I21" s="311" t="s">
        <v>6</v>
      </c>
      <c r="J21" s="5" t="s">
        <v>1546</v>
      </c>
      <c r="K21" s="5" t="s">
        <v>1567</v>
      </c>
      <c r="L21" s="53" t="s">
        <v>1057</v>
      </c>
      <c r="M21" s="5" t="s">
        <v>1590</v>
      </c>
      <c r="N21" s="309" t="s">
        <v>1157</v>
      </c>
      <c r="O21" s="28"/>
      <c r="P21" s="61" t="s">
        <v>14</v>
      </c>
      <c r="Q21" s="310" t="s">
        <v>1365</v>
      </c>
    </row>
    <row r="22" spans="1:17" ht="85">
      <c r="A22" s="4" t="s">
        <v>23</v>
      </c>
      <c r="B22" s="50">
        <v>4.5</v>
      </c>
      <c r="C22" s="65">
        <v>4.9000000000000004</v>
      </c>
      <c r="D22" s="5" t="s">
        <v>12</v>
      </c>
      <c r="E22" s="65" t="s">
        <v>1236</v>
      </c>
      <c r="F22" s="6" t="s">
        <v>1230</v>
      </c>
      <c r="G22" s="311" t="s">
        <v>5</v>
      </c>
      <c r="H22" s="311" t="s">
        <v>5</v>
      </c>
      <c r="I22" s="311" t="s">
        <v>6</v>
      </c>
      <c r="J22" s="5" t="s">
        <v>1546</v>
      </c>
      <c r="K22" s="5" t="s">
        <v>1567</v>
      </c>
      <c r="L22" s="53" t="s">
        <v>1057</v>
      </c>
      <c r="M22" s="5" t="s">
        <v>1591</v>
      </c>
      <c r="N22" s="309" t="s">
        <v>1157</v>
      </c>
      <c r="O22" s="28"/>
      <c r="P22" s="61"/>
      <c r="Q22" s="310" t="s">
        <v>1365</v>
      </c>
    </row>
    <row r="23" spans="1:17" ht="68">
      <c r="A23" s="4" t="s">
        <v>23</v>
      </c>
      <c r="B23" s="50">
        <v>4.5999999999999996</v>
      </c>
      <c r="C23" s="65">
        <v>4.5</v>
      </c>
      <c r="D23" s="5" t="s">
        <v>12</v>
      </c>
      <c r="E23" s="65" t="s">
        <v>1237</v>
      </c>
      <c r="F23" s="6" t="s">
        <v>1193</v>
      </c>
      <c r="G23" s="311" t="s">
        <v>6</v>
      </c>
      <c r="H23" s="311" t="s">
        <v>6</v>
      </c>
      <c r="I23" s="311" t="s">
        <v>6</v>
      </c>
      <c r="J23" s="5" t="s">
        <v>1546</v>
      </c>
      <c r="K23" s="5" t="s">
        <v>1566</v>
      </c>
      <c r="L23" s="53" t="s">
        <v>1057</v>
      </c>
      <c r="M23" s="5" t="s">
        <v>1589</v>
      </c>
      <c r="N23" s="309" t="s">
        <v>1177</v>
      </c>
      <c r="O23" s="28"/>
      <c r="P23" s="61"/>
      <c r="Q23" s="310" t="s">
        <v>1365</v>
      </c>
    </row>
    <row r="24" spans="1:17" ht="68">
      <c r="A24" s="4" t="s">
        <v>23</v>
      </c>
      <c r="B24" s="50">
        <v>4.7</v>
      </c>
      <c r="C24" s="65">
        <v>4.4000000000000004</v>
      </c>
      <c r="D24" s="5" t="s">
        <v>12</v>
      </c>
      <c r="E24" s="65" t="s">
        <v>1237</v>
      </c>
      <c r="F24" s="6" t="s">
        <v>1090</v>
      </c>
      <c r="G24" s="311" t="s">
        <v>5</v>
      </c>
      <c r="H24" s="311" t="s">
        <v>6</v>
      </c>
      <c r="I24" s="311" t="s">
        <v>6</v>
      </c>
      <c r="J24" s="5" t="s">
        <v>1549</v>
      </c>
      <c r="K24" s="5" t="s">
        <v>1565</v>
      </c>
      <c r="L24" s="53" t="s">
        <v>1057</v>
      </c>
      <c r="M24" s="5"/>
      <c r="N24" s="309" t="s">
        <v>1158</v>
      </c>
      <c r="O24" s="28"/>
      <c r="P24" s="61"/>
      <c r="Q24" s="310" t="s">
        <v>1365</v>
      </c>
    </row>
    <row r="25" spans="1:17" ht="102">
      <c r="A25" s="4" t="s">
        <v>23</v>
      </c>
      <c r="B25" s="50">
        <v>4.8</v>
      </c>
      <c r="C25" s="65">
        <v>4.7</v>
      </c>
      <c r="D25" s="5" t="s">
        <v>12</v>
      </c>
      <c r="E25" s="65" t="s">
        <v>1237</v>
      </c>
      <c r="F25" s="6" t="s">
        <v>1091</v>
      </c>
      <c r="G25" s="311" t="s">
        <v>5</v>
      </c>
      <c r="H25" s="311" t="s">
        <v>5</v>
      </c>
      <c r="I25" s="311" t="s">
        <v>6</v>
      </c>
      <c r="J25" s="5" t="s">
        <v>1546</v>
      </c>
      <c r="K25" s="5"/>
      <c r="L25" s="53" t="s">
        <v>1057</v>
      </c>
      <c r="M25" s="5"/>
      <c r="N25" s="309" t="s">
        <v>1160</v>
      </c>
      <c r="O25" s="28"/>
      <c r="P25" s="61"/>
      <c r="Q25" s="310" t="s">
        <v>1365</v>
      </c>
    </row>
    <row r="26" spans="1:17" ht="153">
      <c r="A26" s="4" t="s">
        <v>23</v>
      </c>
      <c r="B26" s="50">
        <v>5.0999999999999996</v>
      </c>
      <c r="C26" s="65">
        <v>5.0999999999999996</v>
      </c>
      <c r="D26" s="5" t="s">
        <v>16</v>
      </c>
      <c r="E26" s="65" t="s">
        <v>1237</v>
      </c>
      <c r="F26" s="6" t="s">
        <v>1095</v>
      </c>
      <c r="G26" s="311" t="s">
        <v>5</v>
      </c>
      <c r="H26" s="311" t="s">
        <v>5</v>
      </c>
      <c r="I26" s="311" t="s">
        <v>5</v>
      </c>
      <c r="J26" s="5" t="s">
        <v>1546</v>
      </c>
      <c r="K26" s="5" t="s">
        <v>1568</v>
      </c>
      <c r="L26" s="53" t="s">
        <v>1057</v>
      </c>
      <c r="M26" s="5">
        <v>2.2000000000000002</v>
      </c>
      <c r="N26" s="309" t="s">
        <v>1135</v>
      </c>
      <c r="O26" s="28"/>
      <c r="P26" s="61"/>
      <c r="Q26" s="310" t="s">
        <v>1365</v>
      </c>
    </row>
    <row r="27" spans="1:17" ht="51">
      <c r="A27" s="4" t="s">
        <v>23</v>
      </c>
      <c r="B27" s="50">
        <v>5.2</v>
      </c>
      <c r="C27" s="65">
        <v>5.2</v>
      </c>
      <c r="D27" s="5" t="s">
        <v>16</v>
      </c>
      <c r="E27" s="65" t="s">
        <v>1237</v>
      </c>
      <c r="F27" s="6" t="s">
        <v>1096</v>
      </c>
      <c r="G27" s="311" t="s">
        <v>5</v>
      </c>
      <c r="H27" s="311" t="s">
        <v>5</v>
      </c>
      <c r="I27" s="311" t="s">
        <v>6</v>
      </c>
      <c r="J27" s="5" t="s">
        <v>1546</v>
      </c>
      <c r="K27" s="5"/>
      <c r="L27" s="53" t="s">
        <v>1057</v>
      </c>
      <c r="M27" s="5"/>
      <c r="N27" s="309" t="s">
        <v>1139</v>
      </c>
      <c r="O27" s="28"/>
      <c r="P27" s="61"/>
      <c r="Q27" s="310" t="s">
        <v>1365</v>
      </c>
    </row>
    <row r="28" spans="1:17" ht="51">
      <c r="A28" s="4" t="s">
        <v>23</v>
      </c>
      <c r="B28" s="50">
        <v>5.3</v>
      </c>
      <c r="C28" s="65">
        <v>5.3</v>
      </c>
      <c r="D28" s="5" t="s">
        <v>16</v>
      </c>
      <c r="E28" s="65" t="s">
        <v>1237</v>
      </c>
      <c r="F28" s="6" t="s">
        <v>1097</v>
      </c>
      <c r="G28" s="311" t="s">
        <v>5</v>
      </c>
      <c r="H28" s="311" t="s">
        <v>5</v>
      </c>
      <c r="I28" s="311" t="s">
        <v>6</v>
      </c>
      <c r="J28" s="5" t="s">
        <v>1546</v>
      </c>
      <c r="K28" s="5"/>
      <c r="L28" s="53" t="s">
        <v>1057</v>
      </c>
      <c r="M28" s="5"/>
      <c r="N28" s="309" t="s">
        <v>1137</v>
      </c>
      <c r="O28" s="28"/>
      <c r="P28" s="61"/>
      <c r="Q28" s="310" t="s">
        <v>1365</v>
      </c>
    </row>
    <row r="29" spans="1:17" ht="51">
      <c r="A29" s="4" t="s">
        <v>23</v>
      </c>
      <c r="B29" s="50">
        <v>5.4</v>
      </c>
      <c r="C29" s="65">
        <v>5.5</v>
      </c>
      <c r="D29" s="5" t="s">
        <v>16</v>
      </c>
      <c r="E29" s="65" t="s">
        <v>1236</v>
      </c>
      <c r="F29" s="6" t="s">
        <v>1098</v>
      </c>
      <c r="G29" s="311" t="s">
        <v>5</v>
      </c>
      <c r="H29" s="311" t="s">
        <v>5</v>
      </c>
      <c r="I29" s="311" t="s">
        <v>6</v>
      </c>
      <c r="J29" s="5" t="s">
        <v>1546</v>
      </c>
      <c r="K29" s="5" t="s">
        <v>1569</v>
      </c>
      <c r="L29" s="53" t="s">
        <v>1057</v>
      </c>
      <c r="M29" s="5">
        <v>11.5</v>
      </c>
      <c r="N29" s="309" t="s">
        <v>1137</v>
      </c>
      <c r="O29" s="28"/>
      <c r="P29" s="61"/>
      <c r="Q29" s="310" t="s">
        <v>1365</v>
      </c>
    </row>
    <row r="30" spans="1:17" ht="51">
      <c r="A30" s="4" t="s">
        <v>23</v>
      </c>
      <c r="B30" s="50">
        <v>6.1</v>
      </c>
      <c r="C30" s="65">
        <v>6.2</v>
      </c>
      <c r="D30" s="5" t="s">
        <v>17</v>
      </c>
      <c r="E30" s="65" t="s">
        <v>1236</v>
      </c>
      <c r="F30" s="6" t="s">
        <v>1199</v>
      </c>
      <c r="G30" s="311" t="s">
        <v>5</v>
      </c>
      <c r="H30" s="311" t="s">
        <v>5</v>
      </c>
      <c r="I30" s="311" t="s">
        <v>5</v>
      </c>
      <c r="J30" s="5" t="s">
        <v>1546</v>
      </c>
      <c r="K30" s="5" t="s">
        <v>1570</v>
      </c>
      <c r="L30" s="53" t="s">
        <v>1058</v>
      </c>
      <c r="M30" s="5" t="s">
        <v>1592</v>
      </c>
      <c r="N30" s="309" t="s">
        <v>1161</v>
      </c>
      <c r="O30" s="28"/>
      <c r="P30" s="61"/>
      <c r="Q30" s="310" t="s">
        <v>1364</v>
      </c>
    </row>
    <row r="31" spans="1:17" ht="51">
      <c r="A31" s="4" t="s">
        <v>23</v>
      </c>
      <c r="B31" s="50">
        <v>6.2</v>
      </c>
      <c r="C31" s="65">
        <v>6.3</v>
      </c>
      <c r="D31" s="5" t="s">
        <v>17</v>
      </c>
      <c r="E31" s="65" t="s">
        <v>1236</v>
      </c>
      <c r="F31" s="6" t="s">
        <v>1227</v>
      </c>
      <c r="G31" s="311" t="s">
        <v>5</v>
      </c>
      <c r="H31" s="311" t="s">
        <v>5</v>
      </c>
      <c r="I31" s="311" t="s">
        <v>6</v>
      </c>
      <c r="J31" s="5" t="s">
        <v>1546</v>
      </c>
      <c r="K31" s="5" t="s">
        <v>1570</v>
      </c>
      <c r="L31" s="53" t="s">
        <v>1058</v>
      </c>
      <c r="M31" s="5" t="s">
        <v>1593</v>
      </c>
      <c r="N31" s="309" t="s">
        <v>1162</v>
      </c>
      <c r="O31" s="28"/>
      <c r="P31" s="61"/>
      <c r="Q31" s="310" t="s">
        <v>1364</v>
      </c>
    </row>
    <row r="32" spans="1:17" ht="51">
      <c r="A32" s="4" t="s">
        <v>23</v>
      </c>
      <c r="B32" s="50">
        <v>6.3</v>
      </c>
      <c r="C32" s="65">
        <v>6.4</v>
      </c>
      <c r="D32" s="5" t="s">
        <v>17</v>
      </c>
      <c r="E32" s="65" t="s">
        <v>1236</v>
      </c>
      <c r="F32" s="6" t="s">
        <v>1099</v>
      </c>
      <c r="G32" s="311" t="s">
        <v>5</v>
      </c>
      <c r="H32" s="311" t="s">
        <v>5</v>
      </c>
      <c r="I32" s="311" t="s">
        <v>6</v>
      </c>
      <c r="J32" s="5" t="s">
        <v>1546</v>
      </c>
      <c r="K32" s="5" t="s">
        <v>1571</v>
      </c>
      <c r="L32" s="53" t="s">
        <v>1058</v>
      </c>
      <c r="M32" s="5">
        <v>10.7</v>
      </c>
      <c r="N32" s="309" t="s">
        <v>1163</v>
      </c>
      <c r="O32" s="28"/>
      <c r="P32" s="61"/>
      <c r="Q32" s="310" t="s">
        <v>1364</v>
      </c>
    </row>
    <row r="33" spans="1:17" ht="51">
      <c r="A33" s="4" t="s">
        <v>23</v>
      </c>
      <c r="B33" s="50">
        <v>6.4</v>
      </c>
      <c r="C33" s="65">
        <v>6.5</v>
      </c>
      <c r="D33" s="5" t="s">
        <v>17</v>
      </c>
      <c r="E33" s="65" t="s">
        <v>1236</v>
      </c>
      <c r="F33" s="6" t="s">
        <v>1686</v>
      </c>
      <c r="G33" s="311" t="s">
        <v>5</v>
      </c>
      <c r="H33" s="311" t="s">
        <v>5</v>
      </c>
      <c r="I33" s="311" t="s">
        <v>6</v>
      </c>
      <c r="J33" s="5" t="s">
        <v>1546</v>
      </c>
      <c r="K33" s="5"/>
      <c r="L33" s="53" t="s">
        <v>1058</v>
      </c>
      <c r="M33" s="5"/>
      <c r="N33" s="309" t="s">
        <v>1163</v>
      </c>
      <c r="O33" s="28"/>
      <c r="P33" s="61"/>
      <c r="Q33" s="310" t="s">
        <v>1364</v>
      </c>
    </row>
    <row r="34" spans="1:17" ht="85">
      <c r="A34" s="4" t="s">
        <v>23</v>
      </c>
      <c r="B34" s="50">
        <v>6.5</v>
      </c>
      <c r="C34" s="65">
        <v>6.7</v>
      </c>
      <c r="D34" s="5" t="s">
        <v>17</v>
      </c>
      <c r="E34" s="65" t="s">
        <v>1236</v>
      </c>
      <c r="F34" s="6" t="s">
        <v>1100</v>
      </c>
      <c r="G34" s="311" t="s">
        <v>5</v>
      </c>
      <c r="H34" s="311" t="s">
        <v>5</v>
      </c>
      <c r="I34" s="311" t="s">
        <v>6</v>
      </c>
      <c r="J34" s="5" t="s">
        <v>1546</v>
      </c>
      <c r="K34" s="5" t="s">
        <v>1572</v>
      </c>
      <c r="L34" s="53" t="s">
        <v>1058</v>
      </c>
      <c r="M34" s="5" t="s">
        <v>1594</v>
      </c>
      <c r="N34" s="309" t="s">
        <v>1189</v>
      </c>
      <c r="O34" s="28"/>
      <c r="P34" s="61"/>
      <c r="Q34" s="310" t="s">
        <v>1364</v>
      </c>
    </row>
    <row r="35" spans="1:17" ht="85">
      <c r="A35" s="4" t="s">
        <v>24</v>
      </c>
      <c r="B35" s="50">
        <v>7.1</v>
      </c>
      <c r="C35" s="65">
        <v>7.1</v>
      </c>
      <c r="D35" s="5" t="s">
        <v>18</v>
      </c>
      <c r="E35" s="65" t="s">
        <v>1237</v>
      </c>
      <c r="F35" s="6" t="s">
        <v>19</v>
      </c>
      <c r="G35" s="311" t="s">
        <v>5</v>
      </c>
      <c r="H35" s="311" t="s">
        <v>5</v>
      </c>
      <c r="I35" s="311" t="s">
        <v>5</v>
      </c>
      <c r="J35" s="5" t="s">
        <v>1546</v>
      </c>
      <c r="K35" s="5"/>
      <c r="L35" s="53" t="s">
        <v>1057</v>
      </c>
      <c r="M35" s="5"/>
      <c r="N35" s="309" t="s">
        <v>1164</v>
      </c>
      <c r="O35" s="28"/>
      <c r="P35" s="61"/>
      <c r="Q35" s="310" t="s">
        <v>1364</v>
      </c>
    </row>
    <row r="36" spans="1:17" ht="85">
      <c r="A36" s="4" t="s">
        <v>24</v>
      </c>
      <c r="B36" s="50">
        <v>7.2</v>
      </c>
      <c r="C36" s="65">
        <v>7.2</v>
      </c>
      <c r="D36" s="5" t="s">
        <v>18</v>
      </c>
      <c r="E36" s="65" t="s">
        <v>1237</v>
      </c>
      <c r="F36" s="6" t="s">
        <v>20</v>
      </c>
      <c r="G36" s="311" t="s">
        <v>5</v>
      </c>
      <c r="H36" s="311" t="s">
        <v>5</v>
      </c>
      <c r="I36" s="311" t="s">
        <v>6</v>
      </c>
      <c r="J36" s="5" t="s">
        <v>1546</v>
      </c>
      <c r="K36" s="5"/>
      <c r="L36" s="53" t="s">
        <v>1057</v>
      </c>
      <c r="M36" s="5"/>
      <c r="N36" s="309" t="s">
        <v>1164</v>
      </c>
      <c r="O36" s="28"/>
      <c r="P36" s="61"/>
      <c r="Q36" s="310" t="s">
        <v>1364</v>
      </c>
    </row>
    <row r="37" spans="1:17" ht="102">
      <c r="A37" s="4" t="s">
        <v>24</v>
      </c>
      <c r="B37" s="50">
        <v>7.3</v>
      </c>
      <c r="C37" s="65">
        <v>7.4</v>
      </c>
      <c r="D37" s="5" t="s">
        <v>18</v>
      </c>
      <c r="E37" s="65" t="s">
        <v>1237</v>
      </c>
      <c r="F37" s="6" t="s">
        <v>1101</v>
      </c>
      <c r="G37" s="311" t="s">
        <v>5</v>
      </c>
      <c r="H37" s="311" t="s">
        <v>5</v>
      </c>
      <c r="I37" s="311" t="s">
        <v>6</v>
      </c>
      <c r="J37" s="5" t="s">
        <v>1546</v>
      </c>
      <c r="K37" s="5"/>
      <c r="L37" s="53" t="s">
        <v>1057</v>
      </c>
      <c r="M37" s="5"/>
      <c r="N37" s="309" t="s">
        <v>1108</v>
      </c>
      <c r="O37" s="28"/>
      <c r="P37" s="61" t="s">
        <v>1109</v>
      </c>
      <c r="Q37" s="310" t="s">
        <v>1364</v>
      </c>
    </row>
    <row r="38" spans="1:17" ht="51">
      <c r="A38" s="4" t="s">
        <v>24</v>
      </c>
      <c r="B38" s="50">
        <v>7.4</v>
      </c>
      <c r="C38" s="65">
        <v>7.6</v>
      </c>
      <c r="D38" s="5" t="s">
        <v>18</v>
      </c>
      <c r="E38" s="65" t="s">
        <v>1236</v>
      </c>
      <c r="F38" s="6" t="s">
        <v>1102</v>
      </c>
      <c r="G38" s="311" t="s">
        <v>5</v>
      </c>
      <c r="H38" s="311" t="s">
        <v>5</v>
      </c>
      <c r="I38" s="311" t="s">
        <v>6</v>
      </c>
      <c r="J38" s="5" t="s">
        <v>1546</v>
      </c>
      <c r="K38" s="5"/>
      <c r="L38" s="53" t="s">
        <v>1057</v>
      </c>
      <c r="M38" s="5"/>
      <c r="N38" s="309" t="s">
        <v>1168</v>
      </c>
      <c r="O38" s="28"/>
      <c r="P38" s="61"/>
      <c r="Q38" s="310" t="s">
        <v>1364</v>
      </c>
    </row>
    <row r="39" spans="1:17" ht="51">
      <c r="A39" s="4" t="s">
        <v>24</v>
      </c>
      <c r="B39" s="50">
        <v>7.5</v>
      </c>
      <c r="C39" s="65">
        <v>7.8</v>
      </c>
      <c r="D39" s="5" t="s">
        <v>18</v>
      </c>
      <c r="E39" s="65" t="s">
        <v>1237</v>
      </c>
      <c r="F39" s="6" t="s">
        <v>1244</v>
      </c>
      <c r="G39" s="311" t="s">
        <v>5</v>
      </c>
      <c r="H39" s="311" t="s">
        <v>6</v>
      </c>
      <c r="I39" s="311" t="s">
        <v>6</v>
      </c>
      <c r="J39" s="5" t="s">
        <v>1546</v>
      </c>
      <c r="K39" s="5"/>
      <c r="L39" s="53" t="s">
        <v>1057</v>
      </c>
      <c r="M39" s="5"/>
      <c r="N39" s="309" t="s">
        <v>1135</v>
      </c>
      <c r="O39" s="28"/>
      <c r="P39" s="61"/>
      <c r="Q39" s="310" t="s">
        <v>1364</v>
      </c>
    </row>
    <row r="40" spans="1:17" ht="51">
      <c r="A40" s="4" t="s">
        <v>24</v>
      </c>
      <c r="B40" s="50">
        <v>7.6</v>
      </c>
      <c r="C40" s="65">
        <v>7.9</v>
      </c>
      <c r="D40" s="5" t="s">
        <v>18</v>
      </c>
      <c r="E40" s="65" t="s">
        <v>1237</v>
      </c>
      <c r="F40" s="6" t="s">
        <v>1245</v>
      </c>
      <c r="G40" s="311" t="s">
        <v>5</v>
      </c>
      <c r="H40" s="311" t="s">
        <v>5</v>
      </c>
      <c r="I40" s="311" t="s">
        <v>6</v>
      </c>
      <c r="J40" s="5" t="s">
        <v>1546</v>
      </c>
      <c r="K40" s="5"/>
      <c r="L40" s="53" t="s">
        <v>1057</v>
      </c>
      <c r="M40" s="5"/>
      <c r="N40" s="309" t="s">
        <v>1168</v>
      </c>
      <c r="O40" s="28"/>
      <c r="P40" s="61"/>
      <c r="Q40" s="310" t="s">
        <v>1364</v>
      </c>
    </row>
    <row r="41" spans="1:17" ht="85">
      <c r="A41" s="4" t="s">
        <v>24</v>
      </c>
      <c r="B41" s="50">
        <v>8.1</v>
      </c>
      <c r="C41" s="65">
        <v>8.1</v>
      </c>
      <c r="D41" s="5" t="s">
        <v>21</v>
      </c>
      <c r="E41" s="65" t="s">
        <v>1237</v>
      </c>
      <c r="F41" s="6" t="s">
        <v>1281</v>
      </c>
      <c r="G41" s="311" t="s">
        <v>5</v>
      </c>
      <c r="H41" s="311" t="s">
        <v>5</v>
      </c>
      <c r="I41" s="311" t="s">
        <v>6</v>
      </c>
      <c r="J41" s="5" t="s">
        <v>1546</v>
      </c>
      <c r="K41" s="5" t="s">
        <v>1573</v>
      </c>
      <c r="L41" s="53" t="s">
        <v>1194</v>
      </c>
      <c r="M41" s="5" t="s">
        <v>1595</v>
      </c>
      <c r="N41" s="309" t="s">
        <v>1107</v>
      </c>
      <c r="O41" s="28"/>
      <c r="P41" s="61" t="s">
        <v>1110</v>
      </c>
      <c r="Q41" s="310" t="s">
        <v>1364</v>
      </c>
    </row>
    <row r="42" spans="1:17" ht="85">
      <c r="A42" s="4" t="s">
        <v>24</v>
      </c>
      <c r="B42" s="50">
        <v>8.1999999999999993</v>
      </c>
      <c r="C42" s="65">
        <v>8.1999999999999993</v>
      </c>
      <c r="D42" s="5" t="s">
        <v>21</v>
      </c>
      <c r="E42" s="65" t="s">
        <v>1237</v>
      </c>
      <c r="F42" s="6" t="s">
        <v>1200</v>
      </c>
      <c r="G42" s="311" t="s">
        <v>5</v>
      </c>
      <c r="H42" s="311" t="s">
        <v>5</v>
      </c>
      <c r="I42" s="311" t="s">
        <v>5</v>
      </c>
      <c r="J42" s="5" t="s">
        <v>1546</v>
      </c>
      <c r="K42" s="5" t="s">
        <v>1573</v>
      </c>
      <c r="L42" s="53" t="s">
        <v>1194</v>
      </c>
      <c r="M42" s="5" t="s">
        <v>1596</v>
      </c>
      <c r="N42" s="309" t="s">
        <v>1147</v>
      </c>
      <c r="O42" s="28"/>
      <c r="P42" s="61"/>
      <c r="Q42" s="310" t="s">
        <v>1364</v>
      </c>
    </row>
    <row r="43" spans="1:17" ht="85">
      <c r="A43" s="4" t="s">
        <v>24</v>
      </c>
      <c r="B43" s="50">
        <v>8.3000000000000007</v>
      </c>
      <c r="C43" s="65">
        <v>8.4</v>
      </c>
      <c r="D43" s="5" t="s">
        <v>21</v>
      </c>
      <c r="E43" s="65" t="s">
        <v>1236</v>
      </c>
      <c r="F43" s="6" t="s">
        <v>1103</v>
      </c>
      <c r="G43" s="311" t="s">
        <v>5</v>
      </c>
      <c r="H43" s="311" t="s">
        <v>5</v>
      </c>
      <c r="I43" s="311" t="s">
        <v>5</v>
      </c>
      <c r="J43" s="5" t="s">
        <v>1546</v>
      </c>
      <c r="K43" s="5" t="s">
        <v>1573</v>
      </c>
      <c r="L43" s="53" t="s">
        <v>1194</v>
      </c>
      <c r="M43" s="5"/>
      <c r="N43" s="309" t="s">
        <v>1187</v>
      </c>
      <c r="O43" s="28"/>
      <c r="P43" s="61"/>
      <c r="Q43" s="310" t="s">
        <v>1364</v>
      </c>
    </row>
    <row r="44" spans="1:17" ht="85">
      <c r="A44" s="4" t="s">
        <v>24</v>
      </c>
      <c r="B44" s="50">
        <v>8.4</v>
      </c>
      <c r="C44" s="65">
        <v>8.5</v>
      </c>
      <c r="D44" s="5" t="s">
        <v>21</v>
      </c>
      <c r="E44" s="65" t="s">
        <v>1237</v>
      </c>
      <c r="F44" s="6" t="s">
        <v>1104</v>
      </c>
      <c r="G44" s="311" t="s">
        <v>5</v>
      </c>
      <c r="H44" s="311" t="s">
        <v>5</v>
      </c>
      <c r="I44" s="311" t="s">
        <v>5</v>
      </c>
      <c r="J44" s="5" t="s">
        <v>1546</v>
      </c>
      <c r="K44" s="5"/>
      <c r="L44" s="53" t="s">
        <v>1194</v>
      </c>
      <c r="M44" s="5"/>
      <c r="N44" s="309" t="s">
        <v>1168</v>
      </c>
      <c r="O44" s="28"/>
      <c r="P44" s="61"/>
      <c r="Q44" s="310" t="s">
        <v>1364</v>
      </c>
    </row>
    <row r="45" spans="1:17" ht="51">
      <c r="A45" s="4" t="s">
        <v>24</v>
      </c>
      <c r="B45" s="50">
        <v>9.1</v>
      </c>
      <c r="C45" s="65">
        <v>9.4</v>
      </c>
      <c r="D45" s="5" t="s">
        <v>22</v>
      </c>
      <c r="E45" s="65" t="s">
        <v>1237</v>
      </c>
      <c r="F45" s="6" t="s">
        <v>1232</v>
      </c>
      <c r="G45" s="311" t="s">
        <v>5</v>
      </c>
      <c r="H45" s="311" t="s">
        <v>5</v>
      </c>
      <c r="I45" s="311" t="s">
        <v>5</v>
      </c>
      <c r="J45" s="5" t="s">
        <v>1546</v>
      </c>
      <c r="K45" s="5"/>
      <c r="L45" s="53" t="s">
        <v>1057</v>
      </c>
      <c r="M45" s="5"/>
      <c r="N45" s="309" t="s">
        <v>1169</v>
      </c>
      <c r="O45" s="28"/>
      <c r="P45" s="61"/>
      <c r="Q45" s="310" t="s">
        <v>1364</v>
      </c>
    </row>
    <row r="46" spans="1:17" ht="51">
      <c r="A46" s="4" t="s">
        <v>24</v>
      </c>
      <c r="B46" s="50">
        <v>9.1999999999999993</v>
      </c>
      <c r="C46" s="65">
        <v>9.1999999999999993</v>
      </c>
      <c r="D46" s="5" t="s">
        <v>22</v>
      </c>
      <c r="E46" s="65" t="s">
        <v>1237</v>
      </c>
      <c r="F46" s="6" t="s">
        <v>25</v>
      </c>
      <c r="G46" s="311" t="s">
        <v>5</v>
      </c>
      <c r="H46" s="311" t="s">
        <v>5</v>
      </c>
      <c r="I46" s="311" t="s">
        <v>6</v>
      </c>
      <c r="J46" s="5" t="s">
        <v>1546</v>
      </c>
      <c r="K46" s="5" t="s">
        <v>1574</v>
      </c>
      <c r="L46" s="53" t="s">
        <v>1057</v>
      </c>
      <c r="M46" s="5" t="s">
        <v>1597</v>
      </c>
      <c r="N46" s="309" t="s">
        <v>1135</v>
      </c>
      <c r="O46" s="28"/>
      <c r="P46" s="61"/>
      <c r="Q46" s="310" t="s">
        <v>1364</v>
      </c>
    </row>
    <row r="47" spans="1:17" ht="85">
      <c r="A47" s="4" t="s">
        <v>24</v>
      </c>
      <c r="B47" s="50">
        <v>9.3000000000000007</v>
      </c>
      <c r="C47" s="65">
        <v>9.3000000000000007</v>
      </c>
      <c r="D47" s="5" t="s">
        <v>22</v>
      </c>
      <c r="E47" s="65" t="s">
        <v>1236</v>
      </c>
      <c r="F47" s="6" t="s">
        <v>26</v>
      </c>
      <c r="G47" s="311" t="s">
        <v>5</v>
      </c>
      <c r="H47" s="311" t="s">
        <v>6</v>
      </c>
      <c r="I47" s="311" t="s">
        <v>6</v>
      </c>
      <c r="J47" s="5" t="s">
        <v>1546</v>
      </c>
      <c r="K47" s="5" t="s">
        <v>1574</v>
      </c>
      <c r="L47" s="53" t="s">
        <v>1057</v>
      </c>
      <c r="M47" s="5"/>
      <c r="N47" s="309" t="s">
        <v>1189</v>
      </c>
      <c r="O47" s="28"/>
      <c r="P47" s="61"/>
      <c r="Q47" s="310" t="s">
        <v>1364</v>
      </c>
    </row>
    <row r="48" spans="1:17" ht="51">
      <c r="A48" s="4" t="s">
        <v>24</v>
      </c>
      <c r="B48" s="50">
        <v>9.4</v>
      </c>
      <c r="C48" s="65">
        <v>9.5</v>
      </c>
      <c r="D48" s="5" t="s">
        <v>22</v>
      </c>
      <c r="E48" s="65" t="s">
        <v>1237</v>
      </c>
      <c r="F48" s="6" t="s">
        <v>27</v>
      </c>
      <c r="G48" s="311" t="s">
        <v>5</v>
      </c>
      <c r="H48" s="311" t="s">
        <v>6</v>
      </c>
      <c r="I48" s="311" t="s">
        <v>7</v>
      </c>
      <c r="J48" s="5" t="s">
        <v>1546</v>
      </c>
      <c r="K48" s="5"/>
      <c r="L48" s="53" t="s">
        <v>1057</v>
      </c>
      <c r="M48" s="5"/>
      <c r="N48" s="309" t="s">
        <v>1173</v>
      </c>
      <c r="O48" s="28"/>
      <c r="P48" s="61"/>
      <c r="Q48" s="310" t="s">
        <v>1364</v>
      </c>
    </row>
    <row r="49" spans="1:17" ht="85">
      <c r="A49" s="4" t="s">
        <v>24</v>
      </c>
      <c r="B49" s="50">
        <v>10.1</v>
      </c>
      <c r="C49" s="65">
        <v>10.1</v>
      </c>
      <c r="D49" s="5" t="s">
        <v>28</v>
      </c>
      <c r="E49" s="65" t="s">
        <v>1237</v>
      </c>
      <c r="F49" s="6" t="s">
        <v>1282</v>
      </c>
      <c r="G49" s="311" t="s">
        <v>5</v>
      </c>
      <c r="H49" s="311" t="s">
        <v>5</v>
      </c>
      <c r="I49" s="311" t="s">
        <v>5</v>
      </c>
      <c r="J49" s="5" t="s">
        <v>1546</v>
      </c>
      <c r="K49" s="5" t="s">
        <v>1575</v>
      </c>
      <c r="L49" s="53" t="s">
        <v>1059</v>
      </c>
      <c r="M49" s="5" t="s">
        <v>1598</v>
      </c>
      <c r="N49" s="309" t="s">
        <v>1170</v>
      </c>
      <c r="O49" s="28"/>
      <c r="P49" s="61"/>
      <c r="Q49" s="310" t="s">
        <v>1437</v>
      </c>
    </row>
    <row r="50" spans="1:17" ht="85">
      <c r="A50" s="4" t="s">
        <v>24</v>
      </c>
      <c r="B50" s="50">
        <v>10.199999999999999</v>
      </c>
      <c r="C50" s="65">
        <v>10.199999999999999</v>
      </c>
      <c r="D50" s="5" t="s">
        <v>28</v>
      </c>
      <c r="E50" s="65" t="s">
        <v>1237</v>
      </c>
      <c r="F50" s="6" t="s">
        <v>1201</v>
      </c>
      <c r="G50" s="311" t="s">
        <v>5</v>
      </c>
      <c r="H50" s="311" t="s">
        <v>5</v>
      </c>
      <c r="I50" s="311" t="s">
        <v>5</v>
      </c>
      <c r="J50" s="5" t="s">
        <v>1546</v>
      </c>
      <c r="K50" s="5"/>
      <c r="L50" s="53" t="s">
        <v>1059</v>
      </c>
      <c r="M50" s="5"/>
      <c r="N50" s="309" t="s">
        <v>1170</v>
      </c>
      <c r="O50" s="28"/>
      <c r="P50" s="61"/>
      <c r="Q50" s="310" t="s">
        <v>1437</v>
      </c>
    </row>
    <row r="51" spans="1:17" ht="85">
      <c r="A51" s="4" t="s">
        <v>24</v>
      </c>
      <c r="B51" s="50">
        <v>10.3</v>
      </c>
      <c r="C51" s="65">
        <v>10.4</v>
      </c>
      <c r="D51" s="5" t="s">
        <v>28</v>
      </c>
      <c r="E51" s="65" t="s">
        <v>1237</v>
      </c>
      <c r="F51" s="6" t="s">
        <v>1106</v>
      </c>
      <c r="G51" s="311" t="s">
        <v>5</v>
      </c>
      <c r="H51" s="311" t="s">
        <v>5</v>
      </c>
      <c r="I51" s="311" t="s">
        <v>5</v>
      </c>
      <c r="J51" s="5" t="s">
        <v>1546</v>
      </c>
      <c r="K51" s="5" t="s">
        <v>1575</v>
      </c>
      <c r="L51" s="53" t="s">
        <v>1059</v>
      </c>
      <c r="M51" s="5" t="s">
        <v>1599</v>
      </c>
      <c r="N51" s="309" t="s">
        <v>1172</v>
      </c>
      <c r="O51" s="28"/>
      <c r="P51" s="61"/>
      <c r="Q51" s="310" t="s">
        <v>1437</v>
      </c>
    </row>
    <row r="52" spans="1:17" ht="85">
      <c r="A52" s="4" t="s">
        <v>24</v>
      </c>
      <c r="B52" s="50">
        <v>10.4</v>
      </c>
      <c r="C52" s="65">
        <v>10.3</v>
      </c>
      <c r="D52" s="5" t="s">
        <v>28</v>
      </c>
      <c r="E52" s="65" t="s">
        <v>1237</v>
      </c>
      <c r="F52" s="6" t="s">
        <v>1105</v>
      </c>
      <c r="G52" s="311" t="s">
        <v>5</v>
      </c>
      <c r="H52" s="311" t="s">
        <v>5</v>
      </c>
      <c r="I52" s="311" t="s">
        <v>6</v>
      </c>
      <c r="J52" s="5" t="s">
        <v>1546</v>
      </c>
      <c r="K52" s="5"/>
      <c r="L52" s="53" t="s">
        <v>1059</v>
      </c>
      <c r="M52" s="5"/>
      <c r="N52" s="309" t="s">
        <v>1171</v>
      </c>
      <c r="O52" s="28"/>
      <c r="P52" s="61"/>
      <c r="Q52" s="310" t="s">
        <v>1437</v>
      </c>
    </row>
    <row r="53" spans="1:17" ht="85">
      <c r="A53" s="4" t="s">
        <v>24</v>
      </c>
      <c r="B53" s="50">
        <v>10.5</v>
      </c>
      <c r="C53" s="65">
        <v>10.5</v>
      </c>
      <c r="D53" s="5" t="s">
        <v>28</v>
      </c>
      <c r="E53" s="65" t="s">
        <v>1237</v>
      </c>
      <c r="F53" s="6" t="s">
        <v>1233</v>
      </c>
      <c r="G53" s="311" t="s">
        <v>6</v>
      </c>
      <c r="H53" s="311" t="s">
        <v>6</v>
      </c>
      <c r="I53" s="311" t="s">
        <v>6</v>
      </c>
      <c r="J53" s="5" t="s">
        <v>1546</v>
      </c>
      <c r="K53" s="5"/>
      <c r="L53" s="53" t="s">
        <v>1059</v>
      </c>
      <c r="M53" s="5"/>
      <c r="N53" s="309" t="s">
        <v>1170</v>
      </c>
      <c r="O53" s="28"/>
      <c r="P53" s="61"/>
      <c r="Q53" s="310" t="s">
        <v>1437</v>
      </c>
    </row>
    <row r="54" spans="1:17" ht="51">
      <c r="A54" s="4" t="s">
        <v>24</v>
      </c>
      <c r="B54" s="50">
        <v>11.1</v>
      </c>
      <c r="C54" s="65">
        <v>11.1</v>
      </c>
      <c r="D54" s="5" t="s">
        <v>29</v>
      </c>
      <c r="E54" s="65" t="s">
        <v>1235</v>
      </c>
      <c r="F54" s="6" t="s">
        <v>1234</v>
      </c>
      <c r="G54" s="311" t="s">
        <v>5</v>
      </c>
      <c r="H54" s="311" t="s">
        <v>5</v>
      </c>
      <c r="I54" s="311" t="s">
        <v>6</v>
      </c>
      <c r="J54" s="5" t="s">
        <v>1546</v>
      </c>
      <c r="K54" s="5"/>
      <c r="L54" s="54"/>
      <c r="M54" s="51"/>
      <c r="N54" s="309" t="s">
        <v>1135</v>
      </c>
      <c r="O54" s="28"/>
      <c r="P54" s="61"/>
      <c r="Q54" s="310" t="s">
        <v>1365</v>
      </c>
    </row>
    <row r="55" spans="1:17" ht="68">
      <c r="A55" s="4" t="s">
        <v>24</v>
      </c>
      <c r="B55" s="50">
        <v>11.2</v>
      </c>
      <c r="C55" s="65">
        <v>11.3</v>
      </c>
      <c r="D55" s="5" t="s">
        <v>29</v>
      </c>
      <c r="E55" s="65" t="s">
        <v>1236</v>
      </c>
      <c r="F55" s="6" t="s">
        <v>1092</v>
      </c>
      <c r="G55" s="311" t="s">
        <v>5</v>
      </c>
      <c r="H55" s="311" t="s">
        <v>5</v>
      </c>
      <c r="I55" s="311" t="s">
        <v>6</v>
      </c>
      <c r="J55" s="5" t="s">
        <v>1546</v>
      </c>
      <c r="K55" s="5"/>
      <c r="L55" s="54"/>
      <c r="M55" s="51"/>
      <c r="N55" s="309" t="s">
        <v>1176</v>
      </c>
      <c r="O55" s="28"/>
      <c r="P55" s="61"/>
      <c r="Q55" s="310" t="s">
        <v>1365</v>
      </c>
    </row>
    <row r="56" spans="1:17" ht="51">
      <c r="A56" s="4" t="s">
        <v>24</v>
      </c>
      <c r="B56" s="50">
        <v>11.3</v>
      </c>
      <c r="C56" s="65">
        <v>11.4</v>
      </c>
      <c r="D56" s="5" t="s">
        <v>29</v>
      </c>
      <c r="E56" s="65" t="s">
        <v>1237</v>
      </c>
      <c r="F56" s="6" t="s">
        <v>30</v>
      </c>
      <c r="G56" s="311" t="s">
        <v>5</v>
      </c>
      <c r="H56" s="311" t="s">
        <v>5</v>
      </c>
      <c r="I56" s="311" t="s">
        <v>5</v>
      </c>
      <c r="J56" s="5" t="s">
        <v>1546</v>
      </c>
      <c r="K56" s="5"/>
      <c r="L56" s="54"/>
      <c r="M56" s="51"/>
      <c r="N56" s="309" t="s">
        <v>1173</v>
      </c>
      <c r="O56" s="28"/>
      <c r="P56" s="61"/>
      <c r="Q56" s="310" t="s">
        <v>1365</v>
      </c>
    </row>
    <row r="57" spans="1:17" ht="51">
      <c r="A57" s="4" t="s">
        <v>24</v>
      </c>
      <c r="B57" s="50">
        <v>11.4</v>
      </c>
      <c r="C57" s="65">
        <v>11.5</v>
      </c>
      <c r="D57" s="5" t="s">
        <v>29</v>
      </c>
      <c r="E57" s="65" t="s">
        <v>1237</v>
      </c>
      <c r="F57" s="6" t="s">
        <v>1195</v>
      </c>
      <c r="G57" s="311" t="s">
        <v>6</v>
      </c>
      <c r="H57" s="311" t="s">
        <v>6</v>
      </c>
      <c r="I57" s="311" t="s">
        <v>6</v>
      </c>
      <c r="J57" s="5" t="s">
        <v>1546</v>
      </c>
      <c r="K57" s="5"/>
      <c r="L57" s="54"/>
      <c r="M57" s="51"/>
      <c r="N57" s="309" t="s">
        <v>1174</v>
      </c>
      <c r="O57" s="28"/>
      <c r="P57" s="61"/>
      <c r="Q57" s="310" t="s">
        <v>1365</v>
      </c>
    </row>
    <row r="58" spans="1:17" ht="85">
      <c r="A58" s="4" t="s">
        <v>24</v>
      </c>
      <c r="B58" s="50">
        <v>11.5</v>
      </c>
      <c r="C58" s="65">
        <v>11.2</v>
      </c>
      <c r="D58" s="5" t="s">
        <v>29</v>
      </c>
      <c r="E58" s="65" t="s">
        <v>1235</v>
      </c>
      <c r="F58" s="6" t="s">
        <v>1093</v>
      </c>
      <c r="G58" s="311" t="s">
        <v>5</v>
      </c>
      <c r="H58" s="311" t="s">
        <v>5</v>
      </c>
      <c r="I58" s="311" t="s">
        <v>6</v>
      </c>
      <c r="J58" s="5" t="s">
        <v>1546</v>
      </c>
      <c r="K58" s="5" t="s">
        <v>1576</v>
      </c>
      <c r="L58" s="54"/>
      <c r="M58" s="51" t="s">
        <v>1600</v>
      </c>
      <c r="N58" s="309" t="s">
        <v>1175</v>
      </c>
      <c r="O58" s="28"/>
      <c r="P58" s="61" t="s">
        <v>31</v>
      </c>
      <c r="Q58" s="310" t="s">
        <v>1365</v>
      </c>
    </row>
    <row r="59" spans="1:17" ht="51">
      <c r="A59" s="4" t="s">
        <v>24</v>
      </c>
      <c r="B59" s="50">
        <v>12.1</v>
      </c>
      <c r="C59" s="65">
        <v>12.1</v>
      </c>
      <c r="D59" s="5" t="s">
        <v>32</v>
      </c>
      <c r="E59" s="65" t="s">
        <v>1235</v>
      </c>
      <c r="F59" s="6" t="s">
        <v>1247</v>
      </c>
      <c r="G59" s="311" t="s">
        <v>5</v>
      </c>
      <c r="H59" s="311" t="s">
        <v>5</v>
      </c>
      <c r="I59" s="311" t="s">
        <v>5</v>
      </c>
      <c r="J59" s="5" t="s">
        <v>1546</v>
      </c>
      <c r="K59" s="5" t="s">
        <v>1576</v>
      </c>
      <c r="L59" s="54"/>
      <c r="M59" s="51" t="s">
        <v>1600</v>
      </c>
      <c r="N59" s="309" t="s">
        <v>1169</v>
      </c>
      <c r="O59" s="28"/>
      <c r="P59" s="61"/>
      <c r="Q59" s="310" t="s">
        <v>1364</v>
      </c>
    </row>
    <row r="60" spans="1:17" ht="51">
      <c r="A60" s="4" t="s">
        <v>24</v>
      </c>
      <c r="B60" s="50">
        <v>12.2</v>
      </c>
      <c r="C60" s="65">
        <v>12.3</v>
      </c>
      <c r="D60" s="5" t="s">
        <v>32</v>
      </c>
      <c r="E60" s="65" t="s">
        <v>1237</v>
      </c>
      <c r="F60" s="6" t="s">
        <v>1248</v>
      </c>
      <c r="G60" s="311" t="s">
        <v>5</v>
      </c>
      <c r="H60" s="311" t="s">
        <v>5</v>
      </c>
      <c r="I60" s="311" t="s">
        <v>6</v>
      </c>
      <c r="J60" s="5" t="s">
        <v>1546</v>
      </c>
      <c r="K60" s="5"/>
      <c r="L60" s="54"/>
      <c r="M60" s="51"/>
      <c r="N60" s="309" t="s">
        <v>1174</v>
      </c>
      <c r="O60" s="28"/>
      <c r="P60" s="61"/>
      <c r="Q60" s="310" t="s">
        <v>1364</v>
      </c>
    </row>
    <row r="61" spans="1:17" ht="68">
      <c r="A61" s="4" t="s">
        <v>24</v>
      </c>
      <c r="B61" s="50">
        <v>12.3</v>
      </c>
      <c r="C61" s="65">
        <v>12.9</v>
      </c>
      <c r="D61" s="5" t="s">
        <v>32</v>
      </c>
      <c r="E61" s="65" t="s">
        <v>1236</v>
      </c>
      <c r="F61" s="6" t="s">
        <v>1239</v>
      </c>
      <c r="G61" s="311" t="s">
        <v>5</v>
      </c>
      <c r="H61" s="311" t="s">
        <v>6</v>
      </c>
      <c r="I61" s="311" t="s">
        <v>7</v>
      </c>
      <c r="J61" s="5" t="s">
        <v>1546</v>
      </c>
      <c r="K61" s="5" t="s">
        <v>1574</v>
      </c>
      <c r="L61" s="54"/>
      <c r="M61" s="51" t="s">
        <v>1602</v>
      </c>
      <c r="N61" s="309" t="s">
        <v>1174</v>
      </c>
      <c r="O61" s="28"/>
      <c r="P61" s="61" t="s">
        <v>43</v>
      </c>
      <c r="Q61" s="310" t="s">
        <v>1364</v>
      </c>
    </row>
    <row r="62" spans="1:17" ht="51">
      <c r="A62" s="4" t="s">
        <v>24</v>
      </c>
      <c r="B62" s="50">
        <v>12.4</v>
      </c>
      <c r="C62" s="65">
        <v>12.7</v>
      </c>
      <c r="D62" s="5" t="s">
        <v>32</v>
      </c>
      <c r="E62" s="65" t="s">
        <v>1236</v>
      </c>
      <c r="F62" s="6" t="s">
        <v>1240</v>
      </c>
      <c r="G62" s="311" t="s">
        <v>5</v>
      </c>
      <c r="H62" s="311" t="s">
        <v>6</v>
      </c>
      <c r="I62" s="311" t="s">
        <v>7</v>
      </c>
      <c r="J62" s="5" t="s">
        <v>1546</v>
      </c>
      <c r="K62" s="5" t="s">
        <v>1574</v>
      </c>
      <c r="L62" s="54"/>
      <c r="M62" s="51">
        <v>11.4</v>
      </c>
      <c r="N62" s="309" t="s">
        <v>1174</v>
      </c>
      <c r="O62" s="28"/>
      <c r="P62" s="61"/>
      <c r="Q62" s="310" t="s">
        <v>1364</v>
      </c>
    </row>
    <row r="63" spans="1:17" ht="51">
      <c r="A63" s="4" t="s">
        <v>24</v>
      </c>
      <c r="B63" s="50">
        <v>12.5</v>
      </c>
      <c r="C63" s="65">
        <v>12.4</v>
      </c>
      <c r="D63" s="5" t="s">
        <v>32</v>
      </c>
      <c r="E63" s="65" t="s">
        <v>1237</v>
      </c>
      <c r="F63" s="6" t="s">
        <v>1249</v>
      </c>
      <c r="G63" s="311" t="s">
        <v>5</v>
      </c>
      <c r="H63" s="311" t="s">
        <v>5</v>
      </c>
      <c r="I63" s="311" t="s">
        <v>5</v>
      </c>
      <c r="J63" s="5" t="s">
        <v>1546</v>
      </c>
      <c r="K63" s="5" t="s">
        <v>1577</v>
      </c>
      <c r="L63" s="54"/>
      <c r="M63" s="51" t="s">
        <v>1601</v>
      </c>
      <c r="N63" s="309" t="s">
        <v>1178</v>
      </c>
      <c r="O63" s="28"/>
      <c r="P63" s="61"/>
      <c r="Q63" s="310" t="s">
        <v>1364</v>
      </c>
    </row>
    <row r="64" spans="1:17" ht="51">
      <c r="A64" s="4" t="s">
        <v>24</v>
      </c>
      <c r="B64" s="50">
        <v>12.6</v>
      </c>
      <c r="C64" s="65">
        <v>12.11</v>
      </c>
      <c r="D64" s="5" t="s">
        <v>32</v>
      </c>
      <c r="E64" s="65" t="s">
        <v>1237</v>
      </c>
      <c r="F64" s="6" t="s">
        <v>41</v>
      </c>
      <c r="G64" s="311" t="s">
        <v>6</v>
      </c>
      <c r="H64" s="311" t="s">
        <v>6</v>
      </c>
      <c r="I64" s="311" t="s">
        <v>6</v>
      </c>
      <c r="J64" s="5" t="s">
        <v>1546</v>
      </c>
      <c r="K64" s="5"/>
      <c r="L64" s="54"/>
      <c r="M64" s="51"/>
      <c r="N64" s="309" t="s">
        <v>1174</v>
      </c>
      <c r="O64" s="28"/>
      <c r="P64" s="61" t="s">
        <v>42</v>
      </c>
      <c r="Q64" s="310" t="s">
        <v>1364</v>
      </c>
    </row>
    <row r="65" spans="1:17" ht="102">
      <c r="A65" s="4" t="s">
        <v>24</v>
      </c>
      <c r="B65" s="50">
        <v>13.1</v>
      </c>
      <c r="C65" s="65">
        <v>13.9</v>
      </c>
      <c r="D65" s="5" t="s">
        <v>33</v>
      </c>
      <c r="E65" s="65" t="s">
        <v>1237</v>
      </c>
      <c r="F65" s="6" t="s">
        <v>45</v>
      </c>
      <c r="G65" s="311" t="s">
        <v>5</v>
      </c>
      <c r="H65" s="311" t="s">
        <v>6</v>
      </c>
      <c r="I65" s="311" t="s">
        <v>7</v>
      </c>
      <c r="J65" s="5" t="s">
        <v>1546</v>
      </c>
      <c r="K65" s="5"/>
      <c r="L65" s="53" t="s">
        <v>1056</v>
      </c>
      <c r="M65" s="51"/>
      <c r="N65" s="309" t="s">
        <v>1179</v>
      </c>
      <c r="O65" s="28"/>
      <c r="P65" s="61"/>
      <c r="Q65" s="310" t="s">
        <v>1438</v>
      </c>
    </row>
    <row r="66" spans="1:17" ht="102">
      <c r="A66" s="4" t="s">
        <v>24</v>
      </c>
      <c r="B66" s="50">
        <v>13.2</v>
      </c>
      <c r="C66" s="65">
        <v>13.6</v>
      </c>
      <c r="D66" s="5" t="s">
        <v>33</v>
      </c>
      <c r="E66" s="65" t="s">
        <v>1237</v>
      </c>
      <c r="F66" s="6" t="s">
        <v>44</v>
      </c>
      <c r="G66" s="311" t="s">
        <v>5</v>
      </c>
      <c r="H66" s="311" t="s">
        <v>5</v>
      </c>
      <c r="I66" s="311" t="s">
        <v>5</v>
      </c>
      <c r="J66" s="5" t="s">
        <v>1546</v>
      </c>
      <c r="K66" s="5"/>
      <c r="L66" s="53" t="s">
        <v>1056</v>
      </c>
      <c r="M66" s="51"/>
      <c r="N66" s="309" t="s">
        <v>1186</v>
      </c>
      <c r="O66" s="28"/>
      <c r="P66" s="61"/>
      <c r="Q66" s="310" t="s">
        <v>1438</v>
      </c>
    </row>
    <row r="67" spans="1:17" ht="102">
      <c r="A67" s="4" t="s">
        <v>24</v>
      </c>
      <c r="B67" s="50">
        <v>13.3</v>
      </c>
      <c r="C67" s="65">
        <v>13.1</v>
      </c>
      <c r="D67" s="5" t="s">
        <v>33</v>
      </c>
      <c r="E67" s="65" t="s">
        <v>1235</v>
      </c>
      <c r="F67" s="6" t="s">
        <v>1250</v>
      </c>
      <c r="G67" s="311" t="s">
        <v>5</v>
      </c>
      <c r="H67" s="311" t="s">
        <v>5</v>
      </c>
      <c r="I67" s="311" t="s">
        <v>5</v>
      </c>
      <c r="J67" s="5" t="s">
        <v>1546</v>
      </c>
      <c r="K67" s="5"/>
      <c r="L67" s="53" t="s">
        <v>1056</v>
      </c>
      <c r="M67" s="51"/>
      <c r="N67" s="309" t="s">
        <v>1180</v>
      </c>
      <c r="O67" s="28"/>
      <c r="P67" s="61"/>
      <c r="Q67" s="310" t="s">
        <v>1438</v>
      </c>
    </row>
    <row r="68" spans="1:17" ht="102">
      <c r="A68" s="4" t="s">
        <v>24</v>
      </c>
      <c r="B68" s="50">
        <v>13.4</v>
      </c>
      <c r="C68" s="65">
        <v>13.4</v>
      </c>
      <c r="D68" s="5" t="s">
        <v>33</v>
      </c>
      <c r="E68" s="65" t="s">
        <v>1237</v>
      </c>
      <c r="F68" s="6" t="s">
        <v>1252</v>
      </c>
      <c r="G68" s="311" t="s">
        <v>5</v>
      </c>
      <c r="H68" s="311" t="s">
        <v>5</v>
      </c>
      <c r="I68" s="311" t="s">
        <v>6</v>
      </c>
      <c r="J68" s="5" t="s">
        <v>1546</v>
      </c>
      <c r="K68" s="5" t="s">
        <v>1579</v>
      </c>
      <c r="L68" s="53" t="s">
        <v>1056</v>
      </c>
      <c r="M68" s="51" t="s">
        <v>1600</v>
      </c>
      <c r="N68" s="309" t="s">
        <v>1182</v>
      </c>
      <c r="O68" s="28"/>
      <c r="P68" s="61"/>
      <c r="Q68" s="310" t="s">
        <v>1438</v>
      </c>
    </row>
    <row r="69" spans="1:17" ht="102">
      <c r="A69" s="4" t="s">
        <v>24</v>
      </c>
      <c r="B69" s="50">
        <v>13.5</v>
      </c>
      <c r="C69" s="65">
        <v>13.3</v>
      </c>
      <c r="D69" s="5" t="s">
        <v>33</v>
      </c>
      <c r="E69" s="65" t="s">
        <v>1236</v>
      </c>
      <c r="F69" s="6" t="s">
        <v>1251</v>
      </c>
      <c r="G69" s="311" t="s">
        <v>5</v>
      </c>
      <c r="H69" s="311" t="s">
        <v>6</v>
      </c>
      <c r="I69" s="311" t="s">
        <v>7</v>
      </c>
      <c r="J69" s="5" t="s">
        <v>1546</v>
      </c>
      <c r="K69" s="5" t="s">
        <v>1578</v>
      </c>
      <c r="L69" s="53" t="s">
        <v>1056</v>
      </c>
      <c r="M69" s="51"/>
      <c r="N69" s="309" t="s">
        <v>1202</v>
      </c>
      <c r="O69" s="28"/>
      <c r="P69" s="61"/>
      <c r="Q69" s="310" t="s">
        <v>1438</v>
      </c>
    </row>
    <row r="70" spans="1:17" ht="204">
      <c r="A70" s="4" t="s">
        <v>24</v>
      </c>
      <c r="B70" s="50">
        <v>14.1</v>
      </c>
      <c r="C70" s="65">
        <v>14.6</v>
      </c>
      <c r="D70" s="5" t="s">
        <v>34</v>
      </c>
      <c r="E70" s="65" t="s">
        <v>1237</v>
      </c>
      <c r="F70" s="6" t="s">
        <v>1241</v>
      </c>
      <c r="G70" s="311" t="s">
        <v>5</v>
      </c>
      <c r="H70" s="311" t="s">
        <v>5</v>
      </c>
      <c r="I70" s="311" t="s">
        <v>5</v>
      </c>
      <c r="J70" s="5" t="s">
        <v>1546</v>
      </c>
      <c r="K70" s="5" t="s">
        <v>1580</v>
      </c>
      <c r="L70" s="58" t="s">
        <v>1060</v>
      </c>
      <c r="M70" s="51" t="s">
        <v>1603</v>
      </c>
      <c r="N70" s="309" t="s">
        <v>1165</v>
      </c>
      <c r="O70" s="28"/>
      <c r="P70" s="61"/>
      <c r="Q70" s="310" t="s">
        <v>1365</v>
      </c>
    </row>
    <row r="71" spans="1:17" ht="204">
      <c r="A71" s="4" t="s">
        <v>24</v>
      </c>
      <c r="B71" s="50">
        <v>14.2</v>
      </c>
      <c r="C71" s="65">
        <v>14.4</v>
      </c>
      <c r="D71" s="5" t="s">
        <v>34</v>
      </c>
      <c r="E71" s="65" t="s">
        <v>1237</v>
      </c>
      <c r="F71" s="6" t="s">
        <v>1242</v>
      </c>
      <c r="G71" s="311" t="s">
        <v>5</v>
      </c>
      <c r="H71" s="311" t="s">
        <v>5</v>
      </c>
      <c r="I71" s="311" t="s">
        <v>6</v>
      </c>
      <c r="J71" s="5" t="s">
        <v>1546</v>
      </c>
      <c r="K71" s="5"/>
      <c r="L71" s="58" t="s">
        <v>1060</v>
      </c>
      <c r="M71" s="51"/>
      <c r="N71" s="309" t="s">
        <v>1243</v>
      </c>
      <c r="O71" s="28"/>
      <c r="P71" s="61" t="s">
        <v>59</v>
      </c>
      <c r="Q71" s="310" t="s">
        <v>1365</v>
      </c>
    </row>
    <row r="72" spans="1:17" ht="204">
      <c r="A72" s="4" t="s">
        <v>24</v>
      </c>
      <c r="B72" s="50">
        <v>14.3</v>
      </c>
      <c r="C72" s="65">
        <v>14.1</v>
      </c>
      <c r="D72" s="5" t="s">
        <v>34</v>
      </c>
      <c r="E72" s="65" t="s">
        <v>1237</v>
      </c>
      <c r="F72" s="6" t="s">
        <v>52</v>
      </c>
      <c r="G72" s="311" t="s">
        <v>5</v>
      </c>
      <c r="H72" s="311" t="s">
        <v>6</v>
      </c>
      <c r="I72" s="311" t="s">
        <v>6</v>
      </c>
      <c r="J72" s="5" t="s">
        <v>1546</v>
      </c>
      <c r="K72" s="5"/>
      <c r="L72" s="58" t="s">
        <v>1060</v>
      </c>
      <c r="M72" s="51"/>
      <c r="N72" s="309" t="s">
        <v>1181</v>
      </c>
      <c r="O72" s="28"/>
      <c r="P72" s="61" t="s">
        <v>50</v>
      </c>
      <c r="Q72" s="310" t="s">
        <v>1365</v>
      </c>
    </row>
    <row r="73" spans="1:17" ht="204">
      <c r="A73" s="4" t="s">
        <v>24</v>
      </c>
      <c r="B73" s="50">
        <v>14.4</v>
      </c>
      <c r="C73" s="65">
        <v>14.9</v>
      </c>
      <c r="D73" s="5" t="s">
        <v>34</v>
      </c>
      <c r="E73" s="65" t="s">
        <v>1236</v>
      </c>
      <c r="F73" s="6" t="s">
        <v>51</v>
      </c>
      <c r="G73" s="311" t="s">
        <v>5</v>
      </c>
      <c r="H73" s="311" t="s">
        <v>6</v>
      </c>
      <c r="I73" s="311" t="s">
        <v>7</v>
      </c>
      <c r="J73" s="5" t="s">
        <v>1546</v>
      </c>
      <c r="K73" s="5" t="s">
        <v>1567</v>
      </c>
      <c r="L73" s="58" t="s">
        <v>1060</v>
      </c>
      <c r="M73" s="51" t="s">
        <v>1604</v>
      </c>
      <c r="N73" s="309" t="s">
        <v>1136</v>
      </c>
      <c r="O73" s="28"/>
      <c r="P73" s="61"/>
      <c r="Q73" s="310" t="s">
        <v>1365</v>
      </c>
    </row>
    <row r="74" spans="1:17" ht="51">
      <c r="A74" s="4" t="s">
        <v>24</v>
      </c>
      <c r="B74" s="50">
        <v>15.1</v>
      </c>
      <c r="C74" s="65">
        <v>15.1</v>
      </c>
      <c r="D74" s="5" t="s">
        <v>35</v>
      </c>
      <c r="E74" s="65" t="s">
        <v>1235</v>
      </c>
      <c r="F74" s="6" t="s">
        <v>55</v>
      </c>
      <c r="G74" s="311" t="s">
        <v>5</v>
      </c>
      <c r="H74" s="311" t="s">
        <v>5</v>
      </c>
      <c r="I74" s="311" t="s">
        <v>6</v>
      </c>
      <c r="J74" s="5" t="s">
        <v>1546</v>
      </c>
      <c r="K74" s="5"/>
      <c r="L74" s="54"/>
      <c r="M74" s="51"/>
      <c r="N74" s="309" t="s">
        <v>1169</v>
      </c>
      <c r="O74" s="28"/>
      <c r="P74" s="61"/>
      <c r="Q74" s="310" t="s">
        <v>1365</v>
      </c>
    </row>
    <row r="75" spans="1:17" ht="51">
      <c r="A75" s="4" t="s">
        <v>24</v>
      </c>
      <c r="B75" s="50">
        <v>15.2</v>
      </c>
      <c r="C75" s="65">
        <v>15.3</v>
      </c>
      <c r="D75" s="5" t="s">
        <v>35</v>
      </c>
      <c r="E75" s="65" t="s">
        <v>1236</v>
      </c>
      <c r="F75" s="6" t="s">
        <v>60</v>
      </c>
      <c r="G75" s="311" t="s">
        <v>5</v>
      </c>
      <c r="H75" s="311" t="s">
        <v>5</v>
      </c>
      <c r="I75" s="311" t="s">
        <v>6</v>
      </c>
      <c r="J75" s="5" t="s">
        <v>1546</v>
      </c>
      <c r="K75" s="5"/>
      <c r="L75" s="54"/>
      <c r="M75" s="51"/>
      <c r="N75" s="309" t="s">
        <v>1145</v>
      </c>
      <c r="O75" s="28"/>
      <c r="P75" s="61"/>
      <c r="Q75" s="310" t="s">
        <v>1365</v>
      </c>
    </row>
    <row r="76" spans="1:17" ht="51">
      <c r="A76" s="4" t="s">
        <v>24</v>
      </c>
      <c r="B76" s="50">
        <v>15.3</v>
      </c>
      <c r="C76" s="65">
        <v>15.4</v>
      </c>
      <c r="D76" s="5" t="s">
        <v>35</v>
      </c>
      <c r="E76" s="65" t="s">
        <v>1237</v>
      </c>
      <c r="F76" s="6" t="s">
        <v>53</v>
      </c>
      <c r="G76" s="311" t="s">
        <v>5</v>
      </c>
      <c r="H76" s="311" t="s">
        <v>6</v>
      </c>
      <c r="I76" s="311" t="s">
        <v>7</v>
      </c>
      <c r="J76" s="5" t="s">
        <v>1546</v>
      </c>
      <c r="K76" s="5"/>
      <c r="L76" s="54"/>
      <c r="M76" s="51"/>
      <c r="N76" s="309" t="s">
        <v>1145</v>
      </c>
      <c r="O76" s="28"/>
      <c r="P76" s="61"/>
      <c r="Q76" s="310" t="s">
        <v>1365</v>
      </c>
    </row>
    <row r="77" spans="1:17" ht="51">
      <c r="A77" s="4" t="s">
        <v>24</v>
      </c>
      <c r="B77" s="50">
        <v>15.4</v>
      </c>
      <c r="C77" s="65">
        <v>15.7</v>
      </c>
      <c r="D77" s="5" t="s">
        <v>35</v>
      </c>
      <c r="E77" s="65" t="s">
        <v>1237</v>
      </c>
      <c r="F77" s="6" t="s">
        <v>1283</v>
      </c>
      <c r="G77" s="311" t="s">
        <v>5</v>
      </c>
      <c r="H77" s="311" t="s">
        <v>5</v>
      </c>
      <c r="I77" s="311" t="s">
        <v>5</v>
      </c>
      <c r="J77" s="5" t="s">
        <v>1546</v>
      </c>
      <c r="K77" s="5"/>
      <c r="L77" s="54"/>
      <c r="M77" s="51"/>
      <c r="N77" s="309" t="s">
        <v>1186</v>
      </c>
      <c r="O77" s="28"/>
      <c r="P77" s="61"/>
      <c r="Q77" s="310" t="s">
        <v>1365</v>
      </c>
    </row>
    <row r="78" spans="1:17" ht="85">
      <c r="A78" s="4" t="s">
        <v>24</v>
      </c>
      <c r="B78" s="50">
        <v>15.5</v>
      </c>
      <c r="C78" s="65">
        <v>15.1</v>
      </c>
      <c r="D78" s="5" t="s">
        <v>35</v>
      </c>
      <c r="E78" s="65" t="s">
        <v>1237</v>
      </c>
      <c r="F78" s="6" t="s">
        <v>1253</v>
      </c>
      <c r="G78" s="311" t="s">
        <v>5</v>
      </c>
      <c r="H78" s="311" t="s">
        <v>5</v>
      </c>
      <c r="I78" s="311" t="s">
        <v>5</v>
      </c>
      <c r="J78" s="5" t="s">
        <v>1546</v>
      </c>
      <c r="K78" s="5"/>
      <c r="L78" s="54"/>
      <c r="M78" s="51"/>
      <c r="N78" s="309" t="s">
        <v>1175</v>
      </c>
      <c r="O78" s="28"/>
      <c r="P78" s="61" t="s">
        <v>54</v>
      </c>
      <c r="Q78" s="310" t="s">
        <v>1365</v>
      </c>
    </row>
    <row r="79" spans="1:17" ht="187">
      <c r="A79" s="4" t="s">
        <v>47</v>
      </c>
      <c r="B79" s="50">
        <v>16.100000000000001</v>
      </c>
      <c r="C79" s="65">
        <v>16.600000000000001</v>
      </c>
      <c r="D79" s="5" t="s">
        <v>36</v>
      </c>
      <c r="E79" s="65" t="s">
        <v>1235</v>
      </c>
      <c r="F79" s="6" t="s">
        <v>1284</v>
      </c>
      <c r="G79" s="311" t="s">
        <v>5</v>
      </c>
      <c r="H79" s="311" t="s">
        <v>5</v>
      </c>
      <c r="I79" s="311" t="s">
        <v>6</v>
      </c>
      <c r="J79" s="5" t="s">
        <v>1546</v>
      </c>
      <c r="K79" s="5" t="s">
        <v>1562</v>
      </c>
      <c r="L79" s="58" t="s">
        <v>1061</v>
      </c>
      <c r="M79" s="51" t="s">
        <v>1607</v>
      </c>
      <c r="N79" s="309" t="s">
        <v>1185</v>
      </c>
      <c r="O79" s="28"/>
      <c r="P79" s="61"/>
      <c r="Q79" s="310" t="s">
        <v>1365</v>
      </c>
    </row>
    <row r="80" spans="1:17" ht="187">
      <c r="A80" s="4" t="s">
        <v>47</v>
      </c>
      <c r="B80" s="50">
        <v>16.2</v>
      </c>
      <c r="C80" s="65">
        <v>16.3</v>
      </c>
      <c r="D80" s="5" t="s">
        <v>36</v>
      </c>
      <c r="E80" s="65" t="s">
        <v>1237</v>
      </c>
      <c r="F80" s="6" t="s">
        <v>1280</v>
      </c>
      <c r="G80" s="311" t="s">
        <v>6</v>
      </c>
      <c r="H80" s="311" t="s">
        <v>6</v>
      </c>
      <c r="I80" s="311" t="s">
        <v>7</v>
      </c>
      <c r="J80" s="5" t="s">
        <v>1546</v>
      </c>
      <c r="K80" s="5"/>
      <c r="L80" s="58" t="s">
        <v>1061</v>
      </c>
      <c r="M80" s="51"/>
      <c r="N80" s="309" t="s">
        <v>1188</v>
      </c>
      <c r="O80" s="28"/>
      <c r="P80" s="61"/>
      <c r="Q80" s="310" t="s">
        <v>1365</v>
      </c>
    </row>
    <row r="81" spans="1:17" ht="187">
      <c r="A81" s="4" t="s">
        <v>47</v>
      </c>
      <c r="B81" s="50">
        <v>16.3</v>
      </c>
      <c r="C81" s="65">
        <v>16.399999999999999</v>
      </c>
      <c r="D81" s="5" t="s">
        <v>36</v>
      </c>
      <c r="E81" s="65" t="s">
        <v>1237</v>
      </c>
      <c r="F81" s="6" t="s">
        <v>1255</v>
      </c>
      <c r="G81" s="311" t="s">
        <v>5</v>
      </c>
      <c r="H81" s="311" t="s">
        <v>5</v>
      </c>
      <c r="I81" s="311" t="s">
        <v>6</v>
      </c>
      <c r="J81" s="5" t="s">
        <v>1546</v>
      </c>
      <c r="K81" s="5" t="s">
        <v>1565</v>
      </c>
      <c r="L81" s="58" t="s">
        <v>1061</v>
      </c>
      <c r="M81" s="51" t="s">
        <v>1605</v>
      </c>
      <c r="N81" s="309" t="s">
        <v>1188</v>
      </c>
      <c r="O81" s="28"/>
      <c r="P81" s="61"/>
      <c r="Q81" s="310" t="s">
        <v>1365</v>
      </c>
    </row>
    <row r="82" spans="1:17" ht="187">
      <c r="A82" s="4" t="s">
        <v>47</v>
      </c>
      <c r="B82" s="50">
        <v>16.399999999999999</v>
      </c>
      <c r="C82" s="65">
        <v>16.899999999999999</v>
      </c>
      <c r="D82" s="5" t="s">
        <v>36</v>
      </c>
      <c r="E82" s="65" t="s">
        <v>1237</v>
      </c>
      <c r="F82" s="6" t="s">
        <v>1258</v>
      </c>
      <c r="G82" s="311" t="s">
        <v>5</v>
      </c>
      <c r="H82" s="311" t="s">
        <v>5</v>
      </c>
      <c r="I82" s="311" t="s">
        <v>5</v>
      </c>
      <c r="J82" s="5" t="s">
        <v>1546</v>
      </c>
      <c r="K82" s="5" t="s">
        <v>1565</v>
      </c>
      <c r="L82" s="58" t="s">
        <v>1061</v>
      </c>
      <c r="M82" s="51"/>
      <c r="N82" s="309" t="s">
        <v>1183</v>
      </c>
      <c r="O82" s="28"/>
      <c r="P82" s="61"/>
      <c r="Q82" s="310" t="s">
        <v>1365</v>
      </c>
    </row>
    <row r="83" spans="1:17" ht="187">
      <c r="A83" s="4" t="s">
        <v>47</v>
      </c>
      <c r="B83" s="50">
        <v>16.5</v>
      </c>
      <c r="C83" s="65">
        <v>16.11</v>
      </c>
      <c r="D83" s="5" t="s">
        <v>36</v>
      </c>
      <c r="E83" s="65" t="s">
        <v>1237</v>
      </c>
      <c r="F83" s="6" t="s">
        <v>1257</v>
      </c>
      <c r="G83" s="311" t="s">
        <v>5</v>
      </c>
      <c r="H83" s="311" t="s">
        <v>5</v>
      </c>
      <c r="I83" s="311" t="s">
        <v>5</v>
      </c>
      <c r="J83" s="5" t="s">
        <v>1546</v>
      </c>
      <c r="K83" s="5"/>
      <c r="L83" s="58" t="s">
        <v>1061</v>
      </c>
      <c r="M83" s="51"/>
      <c r="N83" s="309" t="s">
        <v>1183</v>
      </c>
      <c r="O83" s="28"/>
      <c r="P83" s="61"/>
      <c r="Q83" s="310" t="s">
        <v>1365</v>
      </c>
    </row>
    <row r="84" spans="1:17" ht="187">
      <c r="A84" s="4" t="s">
        <v>47</v>
      </c>
      <c r="B84" s="50">
        <v>16.600000000000001</v>
      </c>
      <c r="C84" s="65">
        <v>16.7</v>
      </c>
      <c r="D84" s="5" t="s">
        <v>36</v>
      </c>
      <c r="E84" s="65" t="s">
        <v>1237</v>
      </c>
      <c r="F84" s="6" t="s">
        <v>1254</v>
      </c>
      <c r="G84" s="311" t="s">
        <v>5</v>
      </c>
      <c r="H84" s="311" t="s">
        <v>5</v>
      </c>
      <c r="I84" s="311" t="s">
        <v>6</v>
      </c>
      <c r="J84" s="5" t="s">
        <v>1546</v>
      </c>
      <c r="K84" s="5" t="s">
        <v>1581</v>
      </c>
      <c r="L84" s="58" t="s">
        <v>1061</v>
      </c>
      <c r="M84" s="51" t="s">
        <v>1608</v>
      </c>
      <c r="N84" s="309" t="s">
        <v>1184</v>
      </c>
      <c r="O84" s="28"/>
      <c r="P84" s="61" t="s">
        <v>48</v>
      </c>
      <c r="Q84" s="310" t="s">
        <v>1365</v>
      </c>
    </row>
    <row r="85" spans="1:17" ht="187">
      <c r="A85" s="4" t="s">
        <v>47</v>
      </c>
      <c r="B85" s="50">
        <v>16.7</v>
      </c>
      <c r="C85" s="65">
        <v>16.8</v>
      </c>
      <c r="D85" s="5" t="s">
        <v>36</v>
      </c>
      <c r="E85" s="65" t="s">
        <v>1237</v>
      </c>
      <c r="F85" s="6" t="s">
        <v>1285</v>
      </c>
      <c r="G85" s="311" t="s">
        <v>5</v>
      </c>
      <c r="H85" s="311" t="s">
        <v>5</v>
      </c>
      <c r="I85" s="311" t="s">
        <v>5</v>
      </c>
      <c r="J85" s="5" t="s">
        <v>1546</v>
      </c>
      <c r="K85" s="5"/>
      <c r="L85" s="58" t="s">
        <v>1061</v>
      </c>
      <c r="M85" s="51"/>
      <c r="N85" s="309" t="s">
        <v>1189</v>
      </c>
      <c r="O85" s="28"/>
      <c r="P85" s="61"/>
      <c r="Q85" s="310" t="s">
        <v>1365</v>
      </c>
    </row>
    <row r="86" spans="1:17" ht="187">
      <c r="A86" s="4" t="s">
        <v>47</v>
      </c>
      <c r="B86" s="50">
        <v>16.8</v>
      </c>
      <c r="C86" s="65">
        <v>16.12</v>
      </c>
      <c r="D86" s="5" t="s">
        <v>36</v>
      </c>
      <c r="E86" s="65" t="s">
        <v>1236</v>
      </c>
      <c r="F86" s="6" t="s">
        <v>1259</v>
      </c>
      <c r="G86" s="311" t="s">
        <v>5</v>
      </c>
      <c r="H86" s="311" t="s">
        <v>5</v>
      </c>
      <c r="I86" s="311" t="s">
        <v>6</v>
      </c>
      <c r="J86" s="5" t="s">
        <v>1546</v>
      </c>
      <c r="K86" s="5"/>
      <c r="L86" s="58" t="s">
        <v>1061</v>
      </c>
      <c r="M86" s="51"/>
      <c r="N86" s="309" t="s">
        <v>1189</v>
      </c>
      <c r="O86" s="28"/>
      <c r="P86" s="61"/>
      <c r="Q86" s="310" t="s">
        <v>1365</v>
      </c>
    </row>
    <row r="87" spans="1:17" ht="187">
      <c r="A87" s="4" t="s">
        <v>47</v>
      </c>
      <c r="B87" s="50">
        <v>16.899999999999999</v>
      </c>
      <c r="C87" s="65">
        <v>16.13</v>
      </c>
      <c r="D87" s="5" t="s">
        <v>36</v>
      </c>
      <c r="E87" s="65" t="s">
        <v>1236</v>
      </c>
      <c r="F87" s="6" t="s">
        <v>1256</v>
      </c>
      <c r="G87" s="311" t="s">
        <v>5</v>
      </c>
      <c r="H87" s="311" t="s">
        <v>6</v>
      </c>
      <c r="I87" s="311" t="s">
        <v>7</v>
      </c>
      <c r="J87" s="5" t="s">
        <v>1546</v>
      </c>
      <c r="K87" s="5"/>
      <c r="L87" s="58" t="s">
        <v>1061</v>
      </c>
      <c r="M87" s="51"/>
      <c r="N87" s="309" t="s">
        <v>1157</v>
      </c>
      <c r="O87" s="28"/>
      <c r="P87" s="61" t="s">
        <v>1</v>
      </c>
      <c r="Q87" s="310" t="s">
        <v>1365</v>
      </c>
    </row>
    <row r="88" spans="1:17" ht="187">
      <c r="A88" s="4" t="s">
        <v>47</v>
      </c>
      <c r="B88" s="377" t="s">
        <v>167</v>
      </c>
      <c r="C88" s="65">
        <v>16.5</v>
      </c>
      <c r="D88" s="5" t="s">
        <v>36</v>
      </c>
      <c r="E88" s="65" t="s">
        <v>1237</v>
      </c>
      <c r="F88" s="6" t="s">
        <v>49</v>
      </c>
      <c r="G88" s="311" t="s">
        <v>5</v>
      </c>
      <c r="H88" s="311" t="s">
        <v>5</v>
      </c>
      <c r="I88" s="311" t="s">
        <v>6</v>
      </c>
      <c r="J88" s="5" t="s">
        <v>1546</v>
      </c>
      <c r="K88" s="5"/>
      <c r="L88" s="58" t="s">
        <v>1061</v>
      </c>
      <c r="M88" s="51" t="s">
        <v>1606</v>
      </c>
      <c r="N88" s="309" t="s">
        <v>1190</v>
      </c>
      <c r="O88" s="28"/>
      <c r="P88" s="61"/>
      <c r="Q88" s="310" t="s">
        <v>1365</v>
      </c>
    </row>
    <row r="89" spans="1:17" ht="119">
      <c r="A89" s="4" t="s">
        <v>47</v>
      </c>
      <c r="B89" s="50">
        <v>17.100000000000001</v>
      </c>
      <c r="C89" s="65">
        <v>17.3</v>
      </c>
      <c r="D89" s="5" t="s">
        <v>37</v>
      </c>
      <c r="E89" s="65" t="s">
        <v>1260</v>
      </c>
      <c r="F89" s="6" t="s">
        <v>1261</v>
      </c>
      <c r="G89" s="311" t="s">
        <v>5</v>
      </c>
      <c r="H89" s="311" t="s">
        <v>5</v>
      </c>
      <c r="I89" s="311" t="s">
        <v>5</v>
      </c>
      <c r="J89" s="5" t="s">
        <v>1546</v>
      </c>
      <c r="K89" s="5" t="s">
        <v>1583</v>
      </c>
      <c r="L89" s="58" t="s">
        <v>1062</v>
      </c>
      <c r="M89" s="51" t="s">
        <v>1609</v>
      </c>
      <c r="N89" s="309" t="s">
        <v>1150</v>
      </c>
      <c r="O89" s="28"/>
      <c r="P89" s="61"/>
      <c r="Q89" s="310" t="s">
        <v>1438</v>
      </c>
    </row>
    <row r="90" spans="1:17" ht="119">
      <c r="A90" s="4" t="s">
        <v>47</v>
      </c>
      <c r="B90" s="50">
        <v>17.2</v>
      </c>
      <c r="C90" s="65">
        <v>17.5</v>
      </c>
      <c r="D90" s="5" t="s">
        <v>37</v>
      </c>
      <c r="E90" s="65" t="s">
        <v>1260</v>
      </c>
      <c r="F90" s="6" t="s">
        <v>1262</v>
      </c>
      <c r="G90" s="311" t="s">
        <v>5</v>
      </c>
      <c r="H90" s="311" t="s">
        <v>5</v>
      </c>
      <c r="I90" s="311" t="s">
        <v>5</v>
      </c>
      <c r="J90" s="5" t="s">
        <v>1546</v>
      </c>
      <c r="K90" s="5"/>
      <c r="L90" s="58" t="s">
        <v>1062</v>
      </c>
      <c r="M90" s="51"/>
      <c r="N90" s="309" t="s">
        <v>1150</v>
      </c>
      <c r="O90" s="28"/>
      <c r="P90" s="61"/>
      <c r="Q90" s="310" t="s">
        <v>1438</v>
      </c>
    </row>
    <row r="91" spans="1:17" ht="85">
      <c r="A91" s="4" t="s">
        <v>47</v>
      </c>
      <c r="B91" s="50">
        <v>17.3</v>
      </c>
      <c r="C91" s="65">
        <v>17.600000000000001</v>
      </c>
      <c r="D91" s="5" t="s">
        <v>37</v>
      </c>
      <c r="E91" s="65" t="s">
        <v>1260</v>
      </c>
      <c r="F91" s="6" t="s">
        <v>1263</v>
      </c>
      <c r="G91" s="311" t="s">
        <v>5</v>
      </c>
      <c r="H91" s="311" t="s">
        <v>5</v>
      </c>
      <c r="I91" s="311" t="s">
        <v>5</v>
      </c>
      <c r="J91" s="5" t="s">
        <v>1546</v>
      </c>
      <c r="K91" s="5"/>
      <c r="L91" s="58" t="s">
        <v>1062</v>
      </c>
      <c r="M91" s="51"/>
      <c r="N91" s="309" t="s">
        <v>1111</v>
      </c>
      <c r="O91" s="28"/>
      <c r="P91" s="61" t="s">
        <v>1112</v>
      </c>
      <c r="Q91" s="310" t="s">
        <v>1438</v>
      </c>
    </row>
    <row r="92" spans="1:17" ht="85">
      <c r="A92" s="4" t="s">
        <v>47</v>
      </c>
      <c r="B92" s="50">
        <v>17.399999999999999</v>
      </c>
      <c r="C92" s="65">
        <v>17.7</v>
      </c>
      <c r="D92" s="5" t="s">
        <v>37</v>
      </c>
      <c r="E92" s="65" t="s">
        <v>1260</v>
      </c>
      <c r="F92" s="6" t="s">
        <v>1264</v>
      </c>
      <c r="G92" s="311" t="s">
        <v>5</v>
      </c>
      <c r="H92" s="311" t="s">
        <v>5</v>
      </c>
      <c r="I92" s="311" t="s">
        <v>5</v>
      </c>
      <c r="J92" s="5" t="s">
        <v>1546</v>
      </c>
      <c r="K92" s="5"/>
      <c r="L92" s="58" t="s">
        <v>1062</v>
      </c>
      <c r="M92" s="51"/>
      <c r="N92" s="309" t="s">
        <v>1165</v>
      </c>
      <c r="O92" s="28"/>
      <c r="P92" s="61"/>
      <c r="Q92" s="310" t="s">
        <v>1438</v>
      </c>
    </row>
    <row r="93" spans="1:17" ht="119">
      <c r="A93" s="4" t="s">
        <v>47</v>
      </c>
      <c r="B93" s="50">
        <v>17.5</v>
      </c>
      <c r="C93" s="65">
        <v>17.8</v>
      </c>
      <c r="D93" s="5" t="s">
        <v>37</v>
      </c>
      <c r="E93" s="65" t="s">
        <v>1260</v>
      </c>
      <c r="F93" s="6" t="s">
        <v>1265</v>
      </c>
      <c r="G93" s="311" t="s">
        <v>5</v>
      </c>
      <c r="H93" s="311" t="s">
        <v>5</v>
      </c>
      <c r="I93" s="311" t="s">
        <v>5</v>
      </c>
      <c r="J93" s="5" t="s">
        <v>1546</v>
      </c>
      <c r="K93" s="5"/>
      <c r="L93" s="58" t="s">
        <v>1062</v>
      </c>
      <c r="M93" s="51"/>
      <c r="N93" s="309" t="s">
        <v>1150</v>
      </c>
      <c r="O93" s="28"/>
      <c r="P93" s="61"/>
      <c r="Q93" s="310" t="s">
        <v>1438</v>
      </c>
    </row>
    <row r="94" spans="1:17" ht="85">
      <c r="A94" s="4" t="s">
        <v>47</v>
      </c>
      <c r="B94" s="50">
        <v>17.600000000000001</v>
      </c>
      <c r="C94" s="65">
        <v>17.899999999999999</v>
      </c>
      <c r="D94" s="5" t="s">
        <v>37</v>
      </c>
      <c r="E94" s="65" t="s">
        <v>1260</v>
      </c>
      <c r="F94" s="6" t="s">
        <v>1266</v>
      </c>
      <c r="G94" s="311" t="s">
        <v>5</v>
      </c>
      <c r="H94" s="311" t="s">
        <v>5</v>
      </c>
      <c r="I94" s="311" t="s">
        <v>5</v>
      </c>
      <c r="J94" s="5" t="s">
        <v>1546</v>
      </c>
      <c r="K94" s="5" t="s">
        <v>1582</v>
      </c>
      <c r="L94" s="58" t="s">
        <v>1062</v>
      </c>
      <c r="M94" s="51"/>
      <c r="N94" s="309" t="s">
        <v>1149</v>
      </c>
      <c r="O94" s="28"/>
      <c r="P94" s="61"/>
      <c r="Q94" s="310" t="s">
        <v>1438</v>
      </c>
    </row>
    <row r="95" spans="1:17" ht="102">
      <c r="A95" s="4" t="s">
        <v>47</v>
      </c>
      <c r="B95" s="50">
        <v>18.100000000000001</v>
      </c>
      <c r="C95" s="65">
        <v>18.899999999999999</v>
      </c>
      <c r="D95" s="5" t="s">
        <v>38</v>
      </c>
      <c r="E95" s="65" t="s">
        <v>1260</v>
      </c>
      <c r="F95" s="6" t="s">
        <v>1268</v>
      </c>
      <c r="G95" s="311" t="s">
        <v>5</v>
      </c>
      <c r="H95" s="311" t="s">
        <v>5</v>
      </c>
      <c r="I95" s="311" t="s">
        <v>6</v>
      </c>
      <c r="J95" s="5" t="s">
        <v>1546</v>
      </c>
      <c r="K95" s="5"/>
      <c r="L95" s="8"/>
      <c r="M95" s="51"/>
      <c r="N95" s="309" t="s">
        <v>1138</v>
      </c>
      <c r="O95" s="28"/>
      <c r="P95" s="61" t="s">
        <v>57</v>
      </c>
      <c r="Q95" s="310" t="s">
        <v>1438</v>
      </c>
    </row>
    <row r="96" spans="1:17" ht="85">
      <c r="A96" s="4" t="s">
        <v>47</v>
      </c>
      <c r="B96" s="50">
        <v>18.2</v>
      </c>
      <c r="C96" s="65">
        <v>18.399999999999999</v>
      </c>
      <c r="D96" s="5" t="s">
        <v>38</v>
      </c>
      <c r="E96" s="65" t="s">
        <v>1260</v>
      </c>
      <c r="F96" s="6" t="s">
        <v>1267</v>
      </c>
      <c r="G96" s="311" t="s">
        <v>5</v>
      </c>
      <c r="H96" s="311" t="s">
        <v>6</v>
      </c>
      <c r="I96" s="311" t="s">
        <v>6</v>
      </c>
      <c r="J96" s="5" t="s">
        <v>1546</v>
      </c>
      <c r="K96" s="5"/>
      <c r="L96" s="8"/>
      <c r="M96" s="51"/>
      <c r="N96" s="309" t="s">
        <v>1164</v>
      </c>
      <c r="O96" s="28"/>
      <c r="P96" s="61"/>
      <c r="Q96" s="310" t="s">
        <v>1364</v>
      </c>
    </row>
    <row r="97" spans="1:17" ht="68">
      <c r="A97" s="4" t="s">
        <v>47</v>
      </c>
      <c r="B97" s="50">
        <v>18.3</v>
      </c>
      <c r="C97" s="65">
        <v>18.600000000000001</v>
      </c>
      <c r="D97" s="5" t="s">
        <v>38</v>
      </c>
      <c r="E97" s="65" t="s">
        <v>1260</v>
      </c>
      <c r="F97" s="6" t="s">
        <v>1203</v>
      </c>
      <c r="G97" s="311" t="s">
        <v>5</v>
      </c>
      <c r="H97" s="311" t="s">
        <v>5</v>
      </c>
      <c r="I97" s="311" t="s">
        <v>6</v>
      </c>
      <c r="J97" s="5" t="s">
        <v>1546</v>
      </c>
      <c r="K97" s="5"/>
      <c r="L97" s="8"/>
      <c r="M97" s="51"/>
      <c r="N97" s="309" t="s">
        <v>1148</v>
      </c>
      <c r="O97" s="28"/>
      <c r="P97" s="61"/>
      <c r="Q97" s="310" t="s">
        <v>1438</v>
      </c>
    </row>
    <row r="98" spans="1:17" ht="51">
      <c r="A98" s="4" t="s">
        <v>47</v>
      </c>
      <c r="B98" s="50">
        <v>18.399999999999999</v>
      </c>
      <c r="C98" s="66">
        <v>18.100000000000001</v>
      </c>
      <c r="D98" s="5" t="s">
        <v>38</v>
      </c>
      <c r="E98" s="65" t="s">
        <v>1260</v>
      </c>
      <c r="F98" s="6" t="s">
        <v>1271</v>
      </c>
      <c r="G98" s="311" t="s">
        <v>5</v>
      </c>
      <c r="H98" s="311" t="s">
        <v>5</v>
      </c>
      <c r="I98" s="311" t="s">
        <v>6</v>
      </c>
      <c r="J98" s="5" t="s">
        <v>1546</v>
      </c>
      <c r="K98" s="5"/>
      <c r="L98" s="8"/>
      <c r="M98" s="51"/>
      <c r="N98" s="309" t="s">
        <v>1144</v>
      </c>
      <c r="O98" s="28"/>
      <c r="P98" s="61"/>
      <c r="Q98" s="310" t="s">
        <v>1364</v>
      </c>
    </row>
    <row r="99" spans="1:17" ht="51">
      <c r="A99" s="4" t="s">
        <v>47</v>
      </c>
      <c r="B99" s="50">
        <v>18.5</v>
      </c>
      <c r="C99" s="65">
        <v>18.7</v>
      </c>
      <c r="D99" s="5" t="s">
        <v>38</v>
      </c>
      <c r="E99" s="65" t="s">
        <v>1260</v>
      </c>
      <c r="F99" s="6" t="s">
        <v>1270</v>
      </c>
      <c r="G99" s="311" t="s">
        <v>5</v>
      </c>
      <c r="H99" s="311" t="s">
        <v>6</v>
      </c>
      <c r="I99" s="311" t="s">
        <v>6</v>
      </c>
      <c r="J99" s="5" t="s">
        <v>1546</v>
      </c>
      <c r="K99" s="5"/>
      <c r="L99" s="8"/>
      <c r="M99" s="51"/>
      <c r="N99" s="309" t="s">
        <v>1167</v>
      </c>
      <c r="O99" s="28"/>
      <c r="P99" s="61"/>
      <c r="Q99" s="310" t="s">
        <v>1438</v>
      </c>
    </row>
    <row r="100" spans="1:17" ht="51">
      <c r="A100" s="4" t="s">
        <v>47</v>
      </c>
      <c r="B100" s="50">
        <v>18.600000000000001</v>
      </c>
      <c r="C100" s="65">
        <v>18.8</v>
      </c>
      <c r="D100" s="5" t="s">
        <v>38</v>
      </c>
      <c r="E100" s="65" t="s">
        <v>1260</v>
      </c>
      <c r="F100" s="6" t="s">
        <v>1269</v>
      </c>
      <c r="G100" s="311" t="s">
        <v>5</v>
      </c>
      <c r="H100" s="311" t="s">
        <v>6</v>
      </c>
      <c r="I100" s="311" t="s">
        <v>6</v>
      </c>
      <c r="J100" s="5" t="s">
        <v>1546</v>
      </c>
      <c r="K100" s="5"/>
      <c r="L100" s="8"/>
      <c r="M100" s="51"/>
      <c r="N100" s="309" t="s">
        <v>1167</v>
      </c>
      <c r="O100" s="28"/>
      <c r="P100" s="61"/>
      <c r="Q100" s="310" t="s">
        <v>1438</v>
      </c>
    </row>
    <row r="101" spans="1:17" ht="68">
      <c r="A101" s="4" t="s">
        <v>47</v>
      </c>
      <c r="B101" s="50">
        <v>19.100000000000001</v>
      </c>
      <c r="C101" s="65">
        <v>19.100000000000001</v>
      </c>
      <c r="D101" s="5" t="s">
        <v>39</v>
      </c>
      <c r="E101" s="65" t="s">
        <v>1260</v>
      </c>
      <c r="F101" s="6" t="s">
        <v>1272</v>
      </c>
      <c r="G101" s="311" t="s">
        <v>5</v>
      </c>
      <c r="H101" s="311" t="s">
        <v>5</v>
      </c>
      <c r="I101" s="311" t="s">
        <v>5</v>
      </c>
      <c r="J101" s="5" t="s">
        <v>1546</v>
      </c>
      <c r="K101" s="5" t="s">
        <v>1584</v>
      </c>
      <c r="L101" s="4" t="s">
        <v>1063</v>
      </c>
      <c r="M101" s="322" t="s">
        <v>1611</v>
      </c>
      <c r="N101" s="309" t="s">
        <v>1155</v>
      </c>
      <c r="O101" s="28"/>
      <c r="P101" s="61"/>
      <c r="Q101" s="310" t="s">
        <v>1439</v>
      </c>
    </row>
    <row r="102" spans="1:17" ht="51">
      <c r="A102" s="4" t="s">
        <v>47</v>
      </c>
      <c r="B102" s="50">
        <v>19.2</v>
      </c>
      <c r="C102" s="65">
        <v>19.2</v>
      </c>
      <c r="D102" s="5" t="s">
        <v>39</v>
      </c>
      <c r="E102" s="65" t="s">
        <v>1260</v>
      </c>
      <c r="F102" s="6" t="s">
        <v>1273</v>
      </c>
      <c r="G102" s="311" t="s">
        <v>5</v>
      </c>
      <c r="H102" s="311" t="s">
        <v>5</v>
      </c>
      <c r="I102" s="311" t="s">
        <v>6</v>
      </c>
      <c r="J102" s="5" t="s">
        <v>1546</v>
      </c>
      <c r="K102" s="5" t="s">
        <v>1584</v>
      </c>
      <c r="L102" s="4" t="s">
        <v>1063</v>
      </c>
      <c r="M102" s="322" t="s">
        <v>1610</v>
      </c>
      <c r="N102" s="309" t="s">
        <v>1152</v>
      </c>
      <c r="O102" s="28"/>
      <c r="P102" s="61"/>
      <c r="Q102" s="310" t="s">
        <v>1439</v>
      </c>
    </row>
    <row r="103" spans="1:17" ht="51">
      <c r="A103" s="4" t="s">
        <v>47</v>
      </c>
      <c r="B103" s="50">
        <v>19.3</v>
      </c>
      <c r="C103" s="65">
        <v>19.3</v>
      </c>
      <c r="D103" s="5" t="s">
        <v>39</v>
      </c>
      <c r="E103" s="65" t="s">
        <v>1260</v>
      </c>
      <c r="F103" s="6" t="s">
        <v>1274</v>
      </c>
      <c r="G103" s="311" t="s">
        <v>5</v>
      </c>
      <c r="H103" s="311" t="s">
        <v>5</v>
      </c>
      <c r="I103" s="311" t="s">
        <v>5</v>
      </c>
      <c r="J103" s="5" t="s">
        <v>1546</v>
      </c>
      <c r="K103" s="5" t="s">
        <v>1585</v>
      </c>
      <c r="L103" s="4" t="s">
        <v>1063</v>
      </c>
      <c r="M103" s="52" t="s">
        <v>1598</v>
      </c>
      <c r="N103" s="309" t="s">
        <v>1154</v>
      </c>
      <c r="O103" s="28"/>
      <c r="P103" s="61"/>
      <c r="Q103" s="310" t="s">
        <v>1439</v>
      </c>
    </row>
    <row r="104" spans="1:17" ht="85">
      <c r="A104" s="4" t="s">
        <v>47</v>
      </c>
      <c r="B104" s="50">
        <v>19.399999999999999</v>
      </c>
      <c r="C104" s="65">
        <v>19.7</v>
      </c>
      <c r="D104" s="5" t="s">
        <v>39</v>
      </c>
      <c r="E104" s="65" t="s">
        <v>1260</v>
      </c>
      <c r="F104" s="6" t="s">
        <v>1276</v>
      </c>
      <c r="G104" s="311" t="s">
        <v>5</v>
      </c>
      <c r="H104" s="311" t="s">
        <v>5</v>
      </c>
      <c r="I104" s="311" t="s">
        <v>6</v>
      </c>
      <c r="J104" s="5" t="s">
        <v>1546</v>
      </c>
      <c r="K104" s="5"/>
      <c r="L104" s="4" t="s">
        <v>1063</v>
      </c>
      <c r="M104" s="52"/>
      <c r="N104" s="309" t="s">
        <v>1153</v>
      </c>
      <c r="O104" s="28"/>
      <c r="P104" s="61" t="s">
        <v>46</v>
      </c>
      <c r="Q104" s="310" t="s">
        <v>1439</v>
      </c>
    </row>
    <row r="105" spans="1:17" ht="51">
      <c r="A105" s="4" t="s">
        <v>47</v>
      </c>
      <c r="B105" s="50">
        <v>19.5</v>
      </c>
      <c r="C105" s="65">
        <v>19.600000000000001</v>
      </c>
      <c r="D105" s="5" t="s">
        <v>39</v>
      </c>
      <c r="E105" s="65" t="s">
        <v>1260</v>
      </c>
      <c r="F105" s="6" t="s">
        <v>1275</v>
      </c>
      <c r="G105" s="311" t="s">
        <v>5</v>
      </c>
      <c r="H105" s="311" t="s">
        <v>5</v>
      </c>
      <c r="I105" s="311" t="s">
        <v>5</v>
      </c>
      <c r="J105" s="5" t="s">
        <v>1546</v>
      </c>
      <c r="K105" s="5" t="s">
        <v>1586</v>
      </c>
      <c r="L105" s="4" t="s">
        <v>1063</v>
      </c>
      <c r="M105" s="52" t="s">
        <v>1598</v>
      </c>
      <c r="N105" s="309" t="s">
        <v>1151</v>
      </c>
      <c r="O105" s="28"/>
      <c r="P105" s="61" t="s">
        <v>58</v>
      </c>
      <c r="Q105" s="310" t="s">
        <v>1439</v>
      </c>
    </row>
    <row r="106" spans="1:17" ht="51">
      <c r="A106" s="4" t="s">
        <v>47</v>
      </c>
      <c r="B106" s="50">
        <v>20.100000000000001</v>
      </c>
      <c r="C106" s="65">
        <v>20.2</v>
      </c>
      <c r="D106" s="5" t="s">
        <v>40</v>
      </c>
      <c r="E106" s="65" t="s">
        <v>1260</v>
      </c>
      <c r="F106" s="6" t="s">
        <v>1277</v>
      </c>
      <c r="G106" s="311" t="s">
        <v>5</v>
      </c>
      <c r="H106" s="311" t="s">
        <v>5</v>
      </c>
      <c r="I106" s="311" t="s">
        <v>6</v>
      </c>
      <c r="J106" s="5" t="s">
        <v>1546</v>
      </c>
      <c r="K106" s="5"/>
      <c r="L106" s="8"/>
      <c r="M106" s="50"/>
      <c r="N106" s="309" t="s">
        <v>1166</v>
      </c>
      <c r="O106" s="28"/>
      <c r="P106" s="61"/>
      <c r="Q106" s="310" t="s">
        <v>1364</v>
      </c>
    </row>
    <row r="107" spans="1:17" ht="68">
      <c r="A107" s="4" t="s">
        <v>47</v>
      </c>
      <c r="B107" s="50">
        <v>20.2</v>
      </c>
      <c r="C107" s="65">
        <v>20.3</v>
      </c>
      <c r="D107" s="5" t="s">
        <v>40</v>
      </c>
      <c r="E107" s="65" t="s">
        <v>1260</v>
      </c>
      <c r="F107" s="6" t="s">
        <v>1278</v>
      </c>
      <c r="G107" s="311" t="s">
        <v>5</v>
      </c>
      <c r="H107" s="311" t="s">
        <v>5</v>
      </c>
      <c r="I107" s="311" t="s">
        <v>6</v>
      </c>
      <c r="J107" s="5" t="s">
        <v>1546</v>
      </c>
      <c r="K107" s="5"/>
      <c r="L107" s="8"/>
      <c r="M107" s="50"/>
      <c r="N107" s="309" t="s">
        <v>1153</v>
      </c>
      <c r="O107" s="28"/>
      <c r="P107" s="61"/>
      <c r="Q107" s="310" t="s">
        <v>1364</v>
      </c>
    </row>
    <row r="108" spans="1:17">
      <c r="A108" s="4"/>
      <c r="B108" s="4"/>
      <c r="C108" s="67"/>
      <c r="D108" s="5"/>
      <c r="E108" s="67"/>
      <c r="F108" s="6"/>
      <c r="G108" s="4"/>
      <c r="H108" s="4"/>
      <c r="I108" s="4"/>
      <c r="J108" s="4"/>
      <c r="K108" s="4"/>
      <c r="L108" s="4"/>
      <c r="M108" s="4"/>
      <c r="N108" s="59"/>
      <c r="O108" s="28"/>
      <c r="P108" s="61"/>
      <c r="Q108" s="135"/>
    </row>
    <row r="109" spans="1:17">
      <c r="A109" s="4"/>
      <c r="B109" s="4"/>
      <c r="C109" s="67"/>
      <c r="D109" s="5"/>
      <c r="E109" s="67"/>
      <c r="F109" s="6"/>
      <c r="G109" s="4"/>
      <c r="H109" s="4"/>
      <c r="I109" s="4"/>
      <c r="J109" s="4"/>
      <c r="K109" s="4"/>
      <c r="L109" s="4"/>
      <c r="M109" s="4"/>
      <c r="N109" s="59"/>
      <c r="O109" s="28"/>
      <c r="P109" s="61"/>
      <c r="Q109" s="135"/>
    </row>
    <row r="110" spans="1:17">
      <c r="A110" s="4"/>
      <c r="B110" s="4"/>
      <c r="C110" s="67"/>
      <c r="D110" s="5"/>
      <c r="E110" s="67"/>
      <c r="F110" s="6"/>
      <c r="G110" s="4"/>
      <c r="H110" s="4"/>
      <c r="I110" s="4"/>
      <c r="J110" s="4"/>
      <c r="K110" s="4"/>
      <c r="L110" s="4"/>
      <c r="M110" s="4"/>
      <c r="N110" s="59"/>
      <c r="O110" s="28"/>
      <c r="P110" s="61"/>
      <c r="Q110" s="135"/>
    </row>
    <row r="111" spans="1:17" ht="20">
      <c r="F111" s="7" t="s">
        <v>5</v>
      </c>
      <c r="G111" s="4">
        <f>COUNTIF(G3:G110, "Required")</f>
        <v>100</v>
      </c>
      <c r="H111" s="4">
        <f>COUNTIF(H3:H110, "Required")</f>
        <v>84</v>
      </c>
      <c r="I111" s="4">
        <f>COUNTIF(I3:I110, "Required")</f>
        <v>40</v>
      </c>
      <c r="J111" s="11"/>
    </row>
    <row r="112" spans="1:17" ht="20">
      <c r="F112" s="7" t="s">
        <v>6</v>
      </c>
      <c r="G112" s="4">
        <f>COUNTIF(G3:G110, "Recommend")</f>
        <v>5</v>
      </c>
      <c r="H112" s="4">
        <f>COUNTIF(H3:H110, "Recommend")</f>
        <v>21</v>
      </c>
      <c r="I112" s="4">
        <f>COUNTIF(I3:I110, "Recommend")</f>
        <v>56</v>
      </c>
      <c r="J112" s="11"/>
    </row>
    <row r="113" spans="6:10" ht="20">
      <c r="F113" s="7" t="s">
        <v>7</v>
      </c>
      <c r="G113" s="4">
        <f>COUNTIF(G3:G110, "Optional")</f>
        <v>0</v>
      </c>
      <c r="H113" s="4">
        <f>COUNTIF(H3:H110, "Optional")</f>
        <v>0</v>
      </c>
      <c r="I113" s="4">
        <f>COUNTIF(I3:I110, "Optional")</f>
        <v>9</v>
      </c>
      <c r="J113" s="11"/>
    </row>
    <row r="114" spans="6:10" ht="20">
      <c r="F114" s="7" t="s">
        <v>56</v>
      </c>
      <c r="G114" s="8">
        <f>SUM(G111:G113)</f>
        <v>105</v>
      </c>
      <c r="H114" s="8">
        <f>SUM(H111:H112)</f>
        <v>105</v>
      </c>
      <c r="I114" s="8">
        <f>SUM(I111:I112)</f>
        <v>96</v>
      </c>
      <c r="J114" s="55"/>
    </row>
  </sheetData>
  <mergeCells count="2">
    <mergeCell ref="G1:I1"/>
    <mergeCell ref="S2:U6"/>
  </mergeCells>
  <conditionalFormatting sqref="G108:J1048576 G1:G2 J4:J36 J39:J51 J53:J107">
    <cfRule type="containsText" dxfId="822" priority="1004" operator="containsText" text="Optional">
      <formula>NOT(ISERROR(SEARCH("Optional",G1)))</formula>
    </cfRule>
    <cfRule type="containsText" dxfId="821" priority="1005" operator="containsText" text="Recommend">
      <formula>NOT(ISERROR(SEARCH("Recommend",G1)))</formula>
    </cfRule>
    <cfRule type="containsText" dxfId="820" priority="1006" operator="containsText" text="Required">
      <formula>NOT(ISERROR(SEARCH("Required",G1)))</formula>
    </cfRule>
  </conditionalFormatting>
  <conditionalFormatting sqref="H2:J2 J1">
    <cfRule type="containsText" dxfId="819" priority="998" operator="containsText" text="Optional">
      <formula>NOT(ISERROR(SEARCH("Optional",H1)))</formula>
    </cfRule>
    <cfRule type="containsText" dxfId="818" priority="999" operator="containsText" text="Recommend">
      <formula>NOT(ISERROR(SEARCH("Recommend",H1)))</formula>
    </cfRule>
    <cfRule type="containsText" dxfId="817" priority="1000" operator="containsText" text="Required">
      <formula>NOT(ISERROR(SEARCH("Required",H1)))</formula>
    </cfRule>
  </conditionalFormatting>
  <conditionalFormatting sqref="J3">
    <cfRule type="containsText" dxfId="816" priority="407" operator="containsText" text="Optional">
      <formula>NOT(ISERROR(SEARCH("Optional",J3)))</formula>
    </cfRule>
    <cfRule type="containsText" dxfId="815" priority="408" operator="containsText" text="Recommend">
      <formula>NOT(ISERROR(SEARCH("Recommend",J3)))</formula>
    </cfRule>
    <cfRule type="containsText" dxfId="814" priority="409" operator="containsText" text="Required">
      <formula>NOT(ISERROR(SEARCH("Required",J3)))</formula>
    </cfRule>
  </conditionalFormatting>
  <conditionalFormatting sqref="G81:G107">
    <cfRule type="containsText" dxfId="813" priority="398" operator="containsText" text="Optional">
      <formula>NOT(ISERROR(SEARCH("Optional",G81)))</formula>
    </cfRule>
    <cfRule type="containsText" dxfId="812" priority="399" operator="containsText" text="Recommend">
      <formula>NOT(ISERROR(SEARCH("Recommend",G81)))</formula>
    </cfRule>
    <cfRule type="containsText" dxfId="811" priority="400" operator="containsText" text="Required">
      <formula>NOT(ISERROR(SEARCH("Required",G81)))</formula>
    </cfRule>
  </conditionalFormatting>
  <conditionalFormatting sqref="H74:H75">
    <cfRule type="containsText" dxfId="810" priority="368" operator="containsText" text="Optional">
      <formula>NOT(ISERROR(SEARCH("Optional",H74)))</formula>
    </cfRule>
    <cfRule type="containsText" dxfId="809" priority="369" operator="containsText" text="Recommend">
      <formula>NOT(ISERROR(SEARCH("Recommend",H74)))</formula>
    </cfRule>
    <cfRule type="containsText" dxfId="808" priority="370" operator="containsText" text="Required">
      <formula>NOT(ISERROR(SEARCH("Required",H74)))</formula>
    </cfRule>
  </conditionalFormatting>
  <conditionalFormatting sqref="H40:H46">
    <cfRule type="containsText" dxfId="807" priority="386" operator="containsText" text="Optional">
      <formula>NOT(ISERROR(SEARCH("Optional",H40)))</formula>
    </cfRule>
    <cfRule type="containsText" dxfId="806" priority="387" operator="containsText" text="Recommend">
      <formula>NOT(ISERROR(SEARCH("Recommend",H40)))</formula>
    </cfRule>
    <cfRule type="containsText" dxfId="805" priority="388" operator="containsText" text="Required">
      <formula>NOT(ISERROR(SEARCH("Required",H40)))</formula>
    </cfRule>
  </conditionalFormatting>
  <conditionalFormatting sqref="H81:H86">
    <cfRule type="containsText" dxfId="804" priority="362" operator="containsText" text="Optional">
      <formula>NOT(ISERROR(SEARCH("Optional",H81)))</formula>
    </cfRule>
    <cfRule type="containsText" dxfId="803" priority="363" operator="containsText" text="Recommend">
      <formula>NOT(ISERROR(SEARCH("Recommend",H81)))</formula>
    </cfRule>
    <cfRule type="containsText" dxfId="802" priority="364" operator="containsText" text="Required">
      <formula>NOT(ISERROR(SEARCH("Required",H81)))</formula>
    </cfRule>
  </conditionalFormatting>
  <conditionalFormatting sqref="H58:H60">
    <cfRule type="containsText" dxfId="801" priority="380" operator="containsText" text="Optional">
      <formula>NOT(ISERROR(SEARCH("Optional",H58)))</formula>
    </cfRule>
    <cfRule type="containsText" dxfId="800" priority="381" operator="containsText" text="Recommend">
      <formula>NOT(ISERROR(SEARCH("Recommend",H58)))</formula>
    </cfRule>
    <cfRule type="containsText" dxfId="799" priority="382" operator="containsText" text="Required">
      <formula>NOT(ISERROR(SEARCH("Required",H58)))</formula>
    </cfRule>
  </conditionalFormatting>
  <conditionalFormatting sqref="H66:H68">
    <cfRule type="containsText" dxfId="798" priority="374" operator="containsText" text="Optional">
      <formula>NOT(ISERROR(SEARCH("Optional",H66)))</formula>
    </cfRule>
    <cfRule type="containsText" dxfId="797" priority="375" operator="containsText" text="Recommend">
      <formula>NOT(ISERROR(SEARCH("Recommend",H66)))</formula>
    </cfRule>
    <cfRule type="containsText" dxfId="796" priority="376" operator="containsText" text="Required">
      <formula>NOT(ISERROR(SEARCH("Required",H66)))</formula>
    </cfRule>
  </conditionalFormatting>
  <conditionalFormatting sqref="H97:H98">
    <cfRule type="containsText" dxfId="795" priority="356" operator="containsText" text="Optional">
      <formula>NOT(ISERROR(SEARCH("Optional",H97)))</formula>
    </cfRule>
    <cfRule type="containsText" dxfId="794" priority="357" operator="containsText" text="Recommend">
      <formula>NOT(ISERROR(SEARCH("Recommend",H97)))</formula>
    </cfRule>
    <cfRule type="containsText" dxfId="793" priority="358" operator="containsText" text="Required">
      <formula>NOT(ISERROR(SEARCH("Required",H97)))</formula>
    </cfRule>
  </conditionalFormatting>
  <conditionalFormatting sqref="H63:H64">
    <cfRule type="containsText" dxfId="792" priority="377" operator="containsText" text="Optional">
      <formula>NOT(ISERROR(SEARCH("Optional",H63)))</formula>
    </cfRule>
    <cfRule type="containsText" dxfId="791" priority="378" operator="containsText" text="Recommend">
      <formula>NOT(ISERROR(SEARCH("Recommend",H63)))</formula>
    </cfRule>
    <cfRule type="containsText" dxfId="790" priority="379" operator="containsText" text="Required">
      <formula>NOT(ISERROR(SEARCH("Required",H63)))</formula>
    </cfRule>
  </conditionalFormatting>
  <conditionalFormatting sqref="I35">
    <cfRule type="containsText" dxfId="789" priority="338" operator="containsText" text="Optional">
      <formula>NOT(ISERROR(SEARCH("Optional",I35)))</formula>
    </cfRule>
    <cfRule type="containsText" dxfId="788" priority="339" operator="containsText" text="Recommend">
      <formula>NOT(ISERROR(SEARCH("Recommend",I35)))</formula>
    </cfRule>
    <cfRule type="containsText" dxfId="787" priority="340" operator="containsText" text="Required">
      <formula>NOT(ISERROR(SEARCH("Required",I35)))</formula>
    </cfRule>
  </conditionalFormatting>
  <conditionalFormatting sqref="H77:H79">
    <cfRule type="containsText" dxfId="786" priority="365" operator="containsText" text="Optional">
      <formula>NOT(ISERROR(SEARCH("Optional",H77)))</formula>
    </cfRule>
    <cfRule type="containsText" dxfId="785" priority="366" operator="containsText" text="Recommend">
      <formula>NOT(ISERROR(SEARCH("Recommend",H77)))</formula>
    </cfRule>
    <cfRule type="containsText" dxfId="784" priority="367" operator="containsText" text="Required">
      <formula>NOT(ISERROR(SEARCH("Required",H77)))</formula>
    </cfRule>
  </conditionalFormatting>
  <conditionalFormatting sqref="I50">
    <cfRule type="containsText" dxfId="783" priority="320" operator="containsText" text="Optional">
      <formula>NOT(ISERROR(SEARCH("Optional",I50)))</formula>
    </cfRule>
    <cfRule type="containsText" dxfId="782" priority="321" operator="containsText" text="Recommend">
      <formula>NOT(ISERROR(SEARCH("Recommend",I50)))</formula>
    </cfRule>
    <cfRule type="containsText" dxfId="781" priority="322" operator="containsText" text="Required">
      <formula>NOT(ISERROR(SEARCH("Required",I50)))</formula>
    </cfRule>
  </conditionalFormatting>
  <conditionalFormatting sqref="I16:I19">
    <cfRule type="containsText" dxfId="780" priority="347" operator="containsText" text="Optional">
      <formula>NOT(ISERROR(SEARCH("Optional",I16)))</formula>
    </cfRule>
    <cfRule type="containsText" dxfId="779" priority="348" operator="containsText" text="Recommend">
      <formula>NOT(ISERROR(SEARCH("Recommend",I16)))</formula>
    </cfRule>
    <cfRule type="containsText" dxfId="778" priority="349" operator="containsText" text="Required">
      <formula>NOT(ISERROR(SEARCH("Required",I16)))</formula>
    </cfRule>
  </conditionalFormatting>
  <conditionalFormatting sqref="I66">
    <cfRule type="containsText" dxfId="777" priority="302" operator="containsText" text="Optional">
      <formula>NOT(ISERROR(SEARCH("Optional",I66)))</formula>
    </cfRule>
    <cfRule type="containsText" dxfId="776" priority="303" operator="containsText" text="Recommend">
      <formula>NOT(ISERROR(SEARCH("Recommend",I66)))</formula>
    </cfRule>
    <cfRule type="containsText" dxfId="775" priority="304" operator="containsText" text="Required">
      <formula>NOT(ISERROR(SEARCH("Required",I66)))</formula>
    </cfRule>
  </conditionalFormatting>
  <conditionalFormatting sqref="I53">
    <cfRule type="containsText" dxfId="774" priority="314" operator="containsText" text="Optional">
      <formula>NOT(ISERROR(SEARCH("Optional",I53)))</formula>
    </cfRule>
    <cfRule type="containsText" dxfId="773" priority="315" operator="containsText" text="Recommend">
      <formula>NOT(ISERROR(SEARCH("Recommend",I53)))</formula>
    </cfRule>
    <cfRule type="containsText" dxfId="772" priority="316" operator="containsText" text="Required">
      <formula>NOT(ISERROR(SEARCH("Required",I53)))</formula>
    </cfRule>
  </conditionalFormatting>
  <conditionalFormatting sqref="I90">
    <cfRule type="containsText" dxfId="771" priority="275" operator="containsText" text="Optional">
      <formula>NOT(ISERROR(SEARCH("Optional",I90)))</formula>
    </cfRule>
    <cfRule type="containsText" dxfId="770" priority="276" operator="containsText" text="Recommend">
      <formula>NOT(ISERROR(SEARCH("Recommend",I90)))</formula>
    </cfRule>
    <cfRule type="containsText" dxfId="769" priority="277" operator="containsText" text="Required">
      <formula>NOT(ISERROR(SEARCH("Required",I90)))</formula>
    </cfRule>
  </conditionalFormatting>
  <conditionalFormatting sqref="I92">
    <cfRule type="containsText" dxfId="768" priority="269" operator="containsText" text="Optional">
      <formula>NOT(ISERROR(SEARCH("Optional",I92)))</formula>
    </cfRule>
    <cfRule type="containsText" dxfId="767" priority="270" operator="containsText" text="Recommend">
      <formula>NOT(ISERROR(SEARCH("Recommend",I92)))</formula>
    </cfRule>
    <cfRule type="containsText" dxfId="766" priority="271" operator="containsText" text="Required">
      <formula>NOT(ISERROR(SEARCH("Required",I92)))</formula>
    </cfRule>
  </conditionalFormatting>
  <conditionalFormatting sqref="I77">
    <cfRule type="containsText" dxfId="765" priority="293" operator="containsText" text="Optional">
      <formula>NOT(ISERROR(SEARCH("Optional",I77)))</formula>
    </cfRule>
    <cfRule type="containsText" dxfId="764" priority="294" operator="containsText" text="Recommend">
      <formula>NOT(ISERROR(SEARCH("Recommend",I77)))</formula>
    </cfRule>
    <cfRule type="containsText" dxfId="763" priority="295" operator="containsText" text="Required">
      <formula>NOT(ISERROR(SEARCH("Required",I77)))</formula>
    </cfRule>
  </conditionalFormatting>
  <conditionalFormatting sqref="I101">
    <cfRule type="containsText" dxfId="762" priority="260" operator="containsText" text="Optional">
      <formula>NOT(ISERROR(SEARCH("Optional",I101)))</formula>
    </cfRule>
    <cfRule type="containsText" dxfId="761" priority="261" operator="containsText" text="Recommend">
      <formula>NOT(ISERROR(SEARCH("Recommend",I101)))</formula>
    </cfRule>
    <cfRule type="containsText" dxfId="760" priority="262" operator="containsText" text="Required">
      <formula>NOT(ISERROR(SEARCH("Required",I101)))</formula>
    </cfRule>
  </conditionalFormatting>
  <conditionalFormatting sqref="H23">
    <cfRule type="containsText" dxfId="759" priority="248" operator="containsText" text="Optional">
      <formula>NOT(ISERROR(SEARCH("Optional",H23)))</formula>
    </cfRule>
    <cfRule type="containsText" dxfId="758" priority="249" operator="containsText" text="Recommend">
      <formula>NOT(ISERROR(SEARCH("Recommend",H23)))</formula>
    </cfRule>
    <cfRule type="containsText" dxfId="757" priority="250" operator="containsText" text="Required">
      <formula>NOT(ISERROR(SEARCH("Required",H23)))</formula>
    </cfRule>
  </conditionalFormatting>
  <conditionalFormatting sqref="J37:J38">
    <cfRule type="containsText" dxfId="756" priority="638" operator="containsText" text="Optional">
      <formula>NOT(ISERROR(SEARCH("Optional",J37)))</formula>
    </cfRule>
    <cfRule type="containsText" dxfId="755" priority="639" operator="containsText" text="Recommend">
      <formula>NOT(ISERROR(SEARCH("Recommend",J37)))</formula>
    </cfRule>
    <cfRule type="containsText" dxfId="754" priority="640" operator="containsText" text="Required">
      <formula>NOT(ISERROR(SEARCH("Required",J37)))</formula>
    </cfRule>
  </conditionalFormatting>
  <conditionalFormatting sqref="J52">
    <cfRule type="containsText" dxfId="753" priority="635" operator="containsText" text="Optional">
      <formula>NOT(ISERROR(SEARCH("Optional",J52)))</formula>
    </cfRule>
    <cfRule type="containsText" dxfId="752" priority="636" operator="containsText" text="Recommend">
      <formula>NOT(ISERROR(SEARCH("Recommend",J52)))</formula>
    </cfRule>
    <cfRule type="containsText" dxfId="751" priority="637" operator="containsText" text="Required">
      <formula>NOT(ISERROR(SEARCH("Required",J52)))</formula>
    </cfRule>
  </conditionalFormatting>
  <conditionalFormatting sqref="H62">
    <cfRule type="containsText" dxfId="750" priority="227" operator="containsText" text="Optional">
      <formula>NOT(ISERROR(SEARCH("Optional",H62)))</formula>
    </cfRule>
    <cfRule type="containsText" dxfId="749" priority="228" operator="containsText" text="Recommend">
      <formula>NOT(ISERROR(SEARCH("Recommend",H62)))</formula>
    </cfRule>
    <cfRule type="containsText" dxfId="748" priority="229" operator="containsText" text="Required">
      <formula>NOT(ISERROR(SEARCH("Required",H62)))</formula>
    </cfRule>
  </conditionalFormatting>
  <conditionalFormatting sqref="H48">
    <cfRule type="containsText" dxfId="747" priority="236" operator="containsText" text="Optional">
      <formula>NOT(ISERROR(SEARCH("Optional",H48)))</formula>
    </cfRule>
    <cfRule type="containsText" dxfId="746" priority="237" operator="containsText" text="Recommend">
      <formula>NOT(ISERROR(SEARCH("Recommend",H48)))</formula>
    </cfRule>
    <cfRule type="containsText" dxfId="745" priority="238" operator="containsText" text="Required">
      <formula>NOT(ISERROR(SEARCH("Required",H48)))</formula>
    </cfRule>
  </conditionalFormatting>
  <conditionalFormatting sqref="H96">
    <cfRule type="containsText" dxfId="744" priority="203" operator="containsText" text="Optional">
      <formula>NOT(ISERROR(SEARCH("Optional",H96)))</formula>
    </cfRule>
    <cfRule type="containsText" dxfId="743" priority="204" operator="containsText" text="Recommend">
      <formula>NOT(ISERROR(SEARCH("Recommend",H96)))</formula>
    </cfRule>
    <cfRule type="containsText" dxfId="742" priority="205" operator="containsText" text="Required">
      <formula>NOT(ISERROR(SEARCH("Required",H96)))</formula>
    </cfRule>
  </conditionalFormatting>
  <conditionalFormatting sqref="H76">
    <cfRule type="containsText" dxfId="741" priority="212" operator="containsText" text="Optional">
      <formula>NOT(ISERROR(SEARCH("Optional",H76)))</formula>
    </cfRule>
    <cfRule type="containsText" dxfId="740" priority="213" operator="containsText" text="Recommend">
      <formula>NOT(ISERROR(SEARCH("Recommend",H76)))</formula>
    </cfRule>
    <cfRule type="containsText" dxfId="739" priority="214" operator="containsText" text="Required">
      <formula>NOT(ISERROR(SEARCH("Required",H76)))</formula>
    </cfRule>
  </conditionalFormatting>
  <conditionalFormatting sqref="H80">
    <cfRule type="containsText" dxfId="738" priority="209" operator="containsText" text="Optional">
      <formula>NOT(ISERROR(SEARCH("Optional",H80)))</formula>
    </cfRule>
    <cfRule type="containsText" dxfId="737" priority="210" operator="containsText" text="Recommend">
      <formula>NOT(ISERROR(SEARCH("Recommend",H80)))</formula>
    </cfRule>
    <cfRule type="containsText" dxfId="736" priority="211" operator="containsText" text="Required">
      <formula>NOT(ISERROR(SEARCH("Required",H80)))</formula>
    </cfRule>
  </conditionalFormatting>
  <conditionalFormatting sqref="G3:I3">
    <cfRule type="containsText" dxfId="735" priority="611" operator="containsText" text="Optional">
      <formula>NOT(ISERROR(SEARCH("Optional",G3)))</formula>
    </cfRule>
    <cfRule type="containsText" dxfId="734" priority="612" operator="containsText" text="Recommend">
      <formula>NOT(ISERROR(SEARCH("Recommend",G3)))</formula>
    </cfRule>
    <cfRule type="containsText" dxfId="733" priority="613" operator="containsText" text="Required">
      <formula>NOT(ISERROR(SEARCH("Required",G3)))</formula>
    </cfRule>
  </conditionalFormatting>
  <conditionalFormatting sqref="I68">
    <cfRule type="containsText" dxfId="732" priority="137" operator="containsText" text="Optional">
      <formula>NOT(ISERROR(SEARCH("Optional",I68)))</formula>
    </cfRule>
    <cfRule type="containsText" dxfId="731" priority="138" operator="containsText" text="Recommend">
      <formula>NOT(ISERROR(SEARCH("Recommend",I68)))</formula>
    </cfRule>
    <cfRule type="containsText" dxfId="730" priority="139" operator="containsText" text="Required">
      <formula>NOT(ISERROR(SEARCH("Required",I68)))</formula>
    </cfRule>
  </conditionalFormatting>
  <conditionalFormatting sqref="I75">
    <cfRule type="containsText" dxfId="729" priority="149" operator="containsText" text="Optional">
      <formula>NOT(ISERROR(SEARCH("Optional",I75)))</formula>
    </cfRule>
    <cfRule type="containsText" dxfId="728" priority="150" operator="containsText" text="Recommend">
      <formula>NOT(ISERROR(SEARCH("Recommend",I75)))</formula>
    </cfRule>
    <cfRule type="containsText" dxfId="727" priority="151" operator="containsText" text="Required">
      <formula>NOT(ISERROR(SEARCH("Required",I75)))</formula>
    </cfRule>
  </conditionalFormatting>
  <conditionalFormatting sqref="H57">
    <cfRule type="containsText" dxfId="726" priority="233" operator="containsText" text="Optional">
      <formula>NOT(ISERROR(SEARCH("Optional",H57)))</formula>
    </cfRule>
    <cfRule type="containsText" dxfId="725" priority="234" operator="containsText" text="Recommend">
      <formula>NOT(ISERROR(SEARCH("Recommend",H57)))</formula>
    </cfRule>
    <cfRule type="containsText" dxfId="724" priority="235" operator="containsText" text="Required">
      <formula>NOT(ISERROR(SEARCH("Required",H57)))</formula>
    </cfRule>
  </conditionalFormatting>
  <conditionalFormatting sqref="I96">
    <cfRule type="containsText" dxfId="723" priority="170" operator="containsText" text="Optional">
      <formula>NOT(ISERROR(SEARCH("Optional",I96)))</formula>
    </cfRule>
    <cfRule type="containsText" dxfId="722" priority="171" operator="containsText" text="Recommend">
      <formula>NOT(ISERROR(SEARCH("Recommend",I96)))</formula>
    </cfRule>
    <cfRule type="containsText" dxfId="721" priority="172" operator="containsText" text="Required">
      <formula>NOT(ISERROR(SEARCH("Required",I96)))</formula>
    </cfRule>
  </conditionalFormatting>
  <conditionalFormatting sqref="H65">
    <cfRule type="containsText" dxfId="720" priority="224" operator="containsText" text="Optional">
      <formula>NOT(ISERROR(SEARCH("Optional",H65)))</formula>
    </cfRule>
    <cfRule type="containsText" dxfId="719" priority="225" operator="containsText" text="Recommend">
      <formula>NOT(ISERROR(SEARCH("Recommend",H65)))</formula>
    </cfRule>
    <cfRule type="containsText" dxfId="718" priority="226" operator="containsText" text="Required">
      <formula>NOT(ISERROR(SEARCH("Required",H65)))</formula>
    </cfRule>
  </conditionalFormatting>
  <conditionalFormatting sqref="I86">
    <cfRule type="containsText" dxfId="717" priority="161" operator="containsText" text="Optional">
      <formula>NOT(ISERROR(SEARCH("Optional",I86)))</formula>
    </cfRule>
    <cfRule type="containsText" dxfId="716" priority="162" operator="containsText" text="Recommend">
      <formula>NOT(ISERROR(SEARCH("Recommend",I86)))</formula>
    </cfRule>
    <cfRule type="containsText" dxfId="715" priority="163" operator="containsText" text="Required">
      <formula>NOT(ISERROR(SEARCH("Required",I86)))</formula>
    </cfRule>
  </conditionalFormatting>
  <conditionalFormatting sqref="I81">
    <cfRule type="containsText" dxfId="714" priority="155" operator="containsText" text="Optional">
      <formula>NOT(ISERROR(SEARCH("Optional",I81)))</formula>
    </cfRule>
    <cfRule type="containsText" dxfId="713" priority="156" operator="containsText" text="Recommend">
      <formula>NOT(ISERROR(SEARCH("Recommend",I81)))</formula>
    </cfRule>
    <cfRule type="containsText" dxfId="712" priority="157" operator="containsText" text="Required">
      <formula>NOT(ISERROR(SEARCH("Required",I81)))</formula>
    </cfRule>
  </conditionalFormatting>
  <conditionalFormatting sqref="I88">
    <cfRule type="containsText" dxfId="711" priority="164" operator="containsText" text="Optional">
      <formula>NOT(ISERROR(SEARCH("Optional",I88)))</formula>
    </cfRule>
    <cfRule type="containsText" dxfId="710" priority="165" operator="containsText" text="Recommend">
      <formula>NOT(ISERROR(SEARCH("Recommend",I88)))</formula>
    </cfRule>
    <cfRule type="containsText" dxfId="709" priority="166" operator="containsText" text="Required">
      <formula>NOT(ISERROR(SEARCH("Required",I88)))</formula>
    </cfRule>
  </conditionalFormatting>
  <conditionalFormatting sqref="I74">
    <cfRule type="containsText" dxfId="708" priority="146" operator="containsText" text="Optional">
      <formula>NOT(ISERROR(SEARCH("Optional",I74)))</formula>
    </cfRule>
    <cfRule type="containsText" dxfId="707" priority="147" operator="containsText" text="Recommend">
      <formula>NOT(ISERROR(SEARCH("Recommend",I74)))</formula>
    </cfRule>
    <cfRule type="containsText" dxfId="706" priority="148" operator="containsText" text="Required">
      <formula>NOT(ISERROR(SEARCH("Required",I74)))</formula>
    </cfRule>
  </conditionalFormatting>
  <conditionalFormatting sqref="I58">
    <cfRule type="containsText" dxfId="705" priority="128" operator="containsText" text="Optional">
      <formula>NOT(ISERROR(SEARCH("Optional",I58)))</formula>
    </cfRule>
    <cfRule type="containsText" dxfId="704" priority="129" operator="containsText" text="Recommend">
      <formula>NOT(ISERROR(SEARCH("Recommend",I58)))</formula>
    </cfRule>
    <cfRule type="containsText" dxfId="703" priority="130" operator="containsText" text="Required">
      <formula>NOT(ISERROR(SEARCH("Required",I58)))</formula>
    </cfRule>
  </conditionalFormatting>
  <conditionalFormatting sqref="H99">
    <cfRule type="containsText" dxfId="702" priority="200" operator="containsText" text="Optional">
      <formula>NOT(ISERROR(SEARCH("Optional",H99)))</formula>
    </cfRule>
    <cfRule type="containsText" dxfId="701" priority="201" operator="containsText" text="Recommend">
      <formula>NOT(ISERROR(SEARCH("Recommend",H99)))</formula>
    </cfRule>
    <cfRule type="containsText" dxfId="700" priority="202" operator="containsText" text="Required">
      <formula>NOT(ISERROR(SEARCH("Required",H99)))</formula>
    </cfRule>
  </conditionalFormatting>
  <conditionalFormatting sqref="I89">
    <cfRule type="containsText" dxfId="699" priority="278" operator="containsText" text="Optional">
      <formula>NOT(ISERROR(SEARCH("Optional",I89)))</formula>
    </cfRule>
    <cfRule type="containsText" dxfId="698" priority="279" operator="containsText" text="Recommend">
      <formula>NOT(ISERROR(SEARCH("Recommend",I89)))</formula>
    </cfRule>
    <cfRule type="containsText" dxfId="697" priority="280" operator="containsText" text="Required">
      <formula>NOT(ISERROR(SEARCH("Required",I89)))</formula>
    </cfRule>
  </conditionalFormatting>
  <conditionalFormatting sqref="I99">
    <cfRule type="containsText" dxfId="696" priority="179" operator="containsText" text="Optional">
      <formula>NOT(ISERROR(SEARCH("Optional",I99)))</formula>
    </cfRule>
    <cfRule type="containsText" dxfId="695" priority="180" operator="containsText" text="Recommend">
      <formula>NOT(ISERROR(SEARCH("Recommend",I99)))</formula>
    </cfRule>
    <cfRule type="containsText" dxfId="694" priority="181" operator="containsText" text="Required">
      <formula>NOT(ISERROR(SEARCH("Required",I99)))</formula>
    </cfRule>
  </conditionalFormatting>
  <conditionalFormatting sqref="I39">
    <cfRule type="containsText" dxfId="693" priority="101" operator="containsText" text="Optional">
      <formula>NOT(ISERROR(SEARCH("Optional",I39)))</formula>
    </cfRule>
    <cfRule type="containsText" dxfId="692" priority="102" operator="containsText" text="Recommend">
      <formula>NOT(ISERROR(SEARCH("Recommend",I39)))</formula>
    </cfRule>
    <cfRule type="containsText" dxfId="691" priority="103" operator="containsText" text="Required">
      <formula>NOT(ISERROR(SEARCH("Required",I39)))</formula>
    </cfRule>
  </conditionalFormatting>
  <conditionalFormatting sqref="I37">
    <cfRule type="containsText" dxfId="690" priority="95" operator="containsText" text="Optional">
      <formula>NOT(ISERROR(SEARCH("Optional",I37)))</formula>
    </cfRule>
    <cfRule type="containsText" dxfId="689" priority="96" operator="containsText" text="Recommend">
      <formula>NOT(ISERROR(SEARCH("Recommend",I37)))</formula>
    </cfRule>
    <cfRule type="containsText" dxfId="688" priority="97" operator="containsText" text="Required">
      <formula>NOT(ISERROR(SEARCH("Required",I37)))</formula>
    </cfRule>
  </conditionalFormatting>
  <conditionalFormatting sqref="I46">
    <cfRule type="containsText" dxfId="687" priority="110" operator="containsText" text="Optional">
      <formula>NOT(ISERROR(SEARCH("Optional",I46)))</formula>
    </cfRule>
    <cfRule type="containsText" dxfId="686" priority="111" operator="containsText" text="Recommend">
      <formula>NOT(ISERROR(SEARCH("Recommend",I46)))</formula>
    </cfRule>
    <cfRule type="containsText" dxfId="685" priority="112" operator="containsText" text="Required">
      <formula>NOT(ISERROR(SEARCH("Required",I46)))</formula>
    </cfRule>
  </conditionalFormatting>
  <conditionalFormatting sqref="I41">
    <cfRule type="containsText" dxfId="684" priority="107" operator="containsText" text="Optional">
      <formula>NOT(ISERROR(SEARCH("Optional",I41)))</formula>
    </cfRule>
    <cfRule type="containsText" dxfId="683" priority="108" operator="containsText" text="Recommend">
      <formula>NOT(ISERROR(SEARCH("Recommend",I41)))</formula>
    </cfRule>
    <cfRule type="containsText" dxfId="682" priority="109" operator="containsText" text="Required">
      <formula>NOT(ISERROR(SEARCH("Required",I41)))</formula>
    </cfRule>
  </conditionalFormatting>
  <conditionalFormatting sqref="I30">
    <cfRule type="containsText" dxfId="681" priority="341" operator="containsText" text="Optional">
      <formula>NOT(ISERROR(SEARCH("Optional",I30)))</formula>
    </cfRule>
    <cfRule type="containsText" dxfId="680" priority="342" operator="containsText" text="Recommend">
      <formula>NOT(ISERROR(SEARCH("Recommend",I30)))</formula>
    </cfRule>
    <cfRule type="containsText" dxfId="679" priority="343" operator="containsText" text="Required">
      <formula>NOT(ISERROR(SEARCH("Required",I30)))</formula>
    </cfRule>
  </conditionalFormatting>
  <conditionalFormatting sqref="I24">
    <cfRule type="containsText" dxfId="678" priority="65" operator="containsText" text="Optional">
      <formula>NOT(ISERROR(SEARCH("Optional",I24)))</formula>
    </cfRule>
    <cfRule type="containsText" dxfId="677" priority="66" operator="containsText" text="Recommend">
      <formula>NOT(ISERROR(SEARCH("Recommend",I24)))</formula>
    </cfRule>
    <cfRule type="containsText" dxfId="676" priority="67" operator="containsText" text="Required">
      <formula>NOT(ISERROR(SEARCH("Required",I24)))</formula>
    </cfRule>
  </conditionalFormatting>
  <conditionalFormatting sqref="I31">
    <cfRule type="containsText" dxfId="675" priority="80" operator="containsText" text="Optional">
      <formula>NOT(ISERROR(SEARCH("Optional",I31)))</formula>
    </cfRule>
    <cfRule type="containsText" dxfId="674" priority="81" operator="containsText" text="Recommend">
      <formula>NOT(ISERROR(SEARCH("Recommend",I31)))</formula>
    </cfRule>
    <cfRule type="containsText" dxfId="673" priority="82" operator="containsText" text="Required">
      <formula>NOT(ISERROR(SEARCH("Required",I31)))</formula>
    </cfRule>
  </conditionalFormatting>
  <conditionalFormatting sqref="I63">
    <cfRule type="containsText" dxfId="672" priority="305" operator="containsText" text="Optional">
      <formula>NOT(ISERROR(SEARCH("Optional",I63)))</formula>
    </cfRule>
    <cfRule type="containsText" dxfId="671" priority="306" operator="containsText" text="Recommend">
      <formula>NOT(ISERROR(SEARCH("Recommend",I63)))</formula>
    </cfRule>
    <cfRule type="containsText" dxfId="670" priority="307" operator="containsText" text="Required">
      <formula>NOT(ISERROR(SEARCH("Required",I63)))</formula>
    </cfRule>
  </conditionalFormatting>
  <conditionalFormatting sqref="I78">
    <cfRule type="containsText" dxfId="669" priority="290" operator="containsText" text="Optional">
      <formula>NOT(ISERROR(SEARCH("Optional",I78)))</formula>
    </cfRule>
    <cfRule type="containsText" dxfId="668" priority="291" operator="containsText" text="Recommend">
      <formula>NOT(ISERROR(SEARCH("Recommend",I78)))</formula>
    </cfRule>
    <cfRule type="containsText" dxfId="667" priority="292" operator="containsText" text="Required">
      <formula>NOT(ISERROR(SEARCH("Required",I78)))</formula>
    </cfRule>
  </conditionalFormatting>
  <conditionalFormatting sqref="I28">
    <cfRule type="containsText" dxfId="666" priority="74" operator="containsText" text="Optional">
      <formula>NOT(ISERROR(SEARCH("Optional",I28)))</formula>
    </cfRule>
    <cfRule type="containsText" dxfId="665" priority="75" operator="containsText" text="Recommend">
      <formula>NOT(ISERROR(SEARCH("Recommend",I28)))</formula>
    </cfRule>
    <cfRule type="containsText" dxfId="664" priority="76" operator="containsText" text="Required">
      <formula>NOT(ISERROR(SEARCH("Required",I28)))</formula>
    </cfRule>
  </conditionalFormatting>
  <conditionalFormatting sqref="I71">
    <cfRule type="containsText" dxfId="663" priority="140" operator="containsText" text="Optional">
      <formula>NOT(ISERROR(SEARCH("Optional",I71)))</formula>
    </cfRule>
    <cfRule type="containsText" dxfId="662" priority="141" operator="containsText" text="Recommend">
      <formula>NOT(ISERROR(SEARCH("Recommend",I71)))</formula>
    </cfRule>
    <cfRule type="containsText" dxfId="661" priority="142" operator="containsText" text="Required">
      <formula>NOT(ISERROR(SEARCH("Required",I71)))</formula>
    </cfRule>
  </conditionalFormatting>
  <conditionalFormatting sqref="I48">
    <cfRule type="containsText" dxfId="660" priority="26" operator="containsText" text="Optional">
      <formula>NOT(ISERROR(SEARCH("Optional",I48)))</formula>
    </cfRule>
    <cfRule type="containsText" dxfId="659" priority="27" operator="containsText" text="Recommend">
      <formula>NOT(ISERROR(SEARCH("Recommend",I48)))</formula>
    </cfRule>
    <cfRule type="containsText" dxfId="658" priority="28" operator="containsText" text="Required">
      <formula>NOT(ISERROR(SEARCH("Required",I48)))</formula>
    </cfRule>
  </conditionalFormatting>
  <conditionalFormatting sqref="I97">
    <cfRule type="containsText" dxfId="657" priority="173" operator="containsText" text="Optional">
      <formula>NOT(ISERROR(SEARCH("Optional",I97)))</formula>
    </cfRule>
    <cfRule type="containsText" dxfId="656" priority="174" operator="containsText" text="Recommend">
      <formula>NOT(ISERROR(SEARCH("Recommend",I97)))</formula>
    </cfRule>
    <cfRule type="containsText" dxfId="655" priority="175" operator="containsText" text="Required">
      <formula>NOT(ISERROR(SEARCH("Required",I97)))</formula>
    </cfRule>
  </conditionalFormatting>
  <conditionalFormatting sqref="I98">
    <cfRule type="containsText" dxfId="654" priority="176" operator="containsText" text="Optional">
      <formula>NOT(ISERROR(SEARCH("Optional",I98)))</formula>
    </cfRule>
    <cfRule type="containsText" dxfId="653" priority="177" operator="containsText" text="Recommend">
      <formula>NOT(ISERROR(SEARCH("Recommend",I98)))</formula>
    </cfRule>
    <cfRule type="containsText" dxfId="652" priority="178" operator="containsText" text="Required">
      <formula>NOT(ISERROR(SEARCH("Required",I98)))</formula>
    </cfRule>
  </conditionalFormatting>
  <conditionalFormatting sqref="I106">
    <cfRule type="containsText" dxfId="651" priority="191" operator="containsText" text="Optional">
      <formula>NOT(ISERROR(SEARCH("Optional",I106)))</formula>
    </cfRule>
    <cfRule type="containsText" dxfId="650" priority="192" operator="containsText" text="Recommend">
      <formula>NOT(ISERROR(SEARCH("Recommend",I106)))</formula>
    </cfRule>
    <cfRule type="containsText" dxfId="649" priority="193" operator="containsText" text="Required">
      <formula>NOT(ISERROR(SEARCH("Required",I106)))</formula>
    </cfRule>
  </conditionalFormatting>
  <conditionalFormatting sqref="G4:G79">
    <cfRule type="containsText" dxfId="648" priority="404" operator="containsText" text="Optional">
      <formula>NOT(ISERROR(SEARCH("Optional",G4)))</formula>
    </cfRule>
    <cfRule type="containsText" dxfId="647" priority="405" operator="containsText" text="Recommend">
      <formula>NOT(ISERROR(SEARCH("Recommend",G4)))</formula>
    </cfRule>
    <cfRule type="containsText" dxfId="646" priority="406" operator="containsText" text="Required">
      <formula>NOT(ISERROR(SEARCH("Required",G4)))</formula>
    </cfRule>
  </conditionalFormatting>
  <conditionalFormatting sqref="G80">
    <cfRule type="containsText" dxfId="645" priority="401" operator="containsText" text="Optional">
      <formula>NOT(ISERROR(SEARCH("Optional",G80)))</formula>
    </cfRule>
    <cfRule type="containsText" dxfId="644" priority="402" operator="containsText" text="Recommend">
      <formula>NOT(ISERROR(SEARCH("Recommend",G80)))</formula>
    </cfRule>
    <cfRule type="containsText" dxfId="643" priority="403" operator="containsText" text="Required">
      <formula>NOT(ISERROR(SEARCH("Required",G80)))</formula>
    </cfRule>
  </conditionalFormatting>
  <conditionalFormatting sqref="H4">
    <cfRule type="containsText" dxfId="642" priority="395" operator="containsText" text="Optional">
      <formula>NOT(ISERROR(SEARCH("Optional",H4)))</formula>
    </cfRule>
    <cfRule type="containsText" dxfId="641" priority="396" operator="containsText" text="Recommend">
      <formula>NOT(ISERROR(SEARCH("Recommend",H4)))</formula>
    </cfRule>
    <cfRule type="containsText" dxfId="640" priority="397" operator="containsText" text="Required">
      <formula>NOT(ISERROR(SEARCH("Required",H4)))</formula>
    </cfRule>
  </conditionalFormatting>
  <conditionalFormatting sqref="H6:H22">
    <cfRule type="containsText" dxfId="639" priority="392" operator="containsText" text="Optional">
      <formula>NOT(ISERROR(SEARCH("Optional",H6)))</formula>
    </cfRule>
    <cfRule type="containsText" dxfId="638" priority="393" operator="containsText" text="Recommend">
      <formula>NOT(ISERROR(SEARCH("Recommend",H6)))</formula>
    </cfRule>
    <cfRule type="containsText" dxfId="637" priority="394" operator="containsText" text="Required">
      <formula>NOT(ISERROR(SEARCH("Required",H6)))</formula>
    </cfRule>
  </conditionalFormatting>
  <conditionalFormatting sqref="H25:H38">
    <cfRule type="containsText" dxfId="636" priority="389" operator="containsText" text="Optional">
      <formula>NOT(ISERROR(SEARCH("Optional",H25)))</formula>
    </cfRule>
    <cfRule type="containsText" dxfId="635" priority="390" operator="containsText" text="Recommend">
      <formula>NOT(ISERROR(SEARCH("Recommend",H25)))</formula>
    </cfRule>
    <cfRule type="containsText" dxfId="634" priority="391" operator="containsText" text="Required">
      <formula>NOT(ISERROR(SEARCH("Required",H25)))</formula>
    </cfRule>
  </conditionalFormatting>
  <conditionalFormatting sqref="H49:H56">
    <cfRule type="containsText" dxfId="633" priority="383" operator="containsText" text="Optional">
      <formula>NOT(ISERROR(SEARCH("Optional",H49)))</formula>
    </cfRule>
    <cfRule type="containsText" dxfId="632" priority="384" operator="containsText" text="Recommend">
      <formula>NOT(ISERROR(SEARCH("Recommend",H49)))</formula>
    </cfRule>
    <cfRule type="containsText" dxfId="631" priority="385" operator="containsText" text="Required">
      <formula>NOT(ISERROR(SEARCH("Required",H49)))</formula>
    </cfRule>
  </conditionalFormatting>
  <conditionalFormatting sqref="H70:H71">
    <cfRule type="containsText" dxfId="630" priority="371" operator="containsText" text="Optional">
      <formula>NOT(ISERROR(SEARCH("Optional",H70)))</formula>
    </cfRule>
    <cfRule type="containsText" dxfId="629" priority="372" operator="containsText" text="Recommend">
      <formula>NOT(ISERROR(SEARCH("Recommend",H70)))</formula>
    </cfRule>
    <cfRule type="containsText" dxfId="628" priority="373" operator="containsText" text="Required">
      <formula>NOT(ISERROR(SEARCH("Required",H70)))</formula>
    </cfRule>
  </conditionalFormatting>
  <conditionalFormatting sqref="H88:H95">
    <cfRule type="containsText" dxfId="627" priority="359" operator="containsText" text="Optional">
      <formula>NOT(ISERROR(SEARCH("Optional",H88)))</formula>
    </cfRule>
    <cfRule type="containsText" dxfId="626" priority="360" operator="containsText" text="Recommend">
      <formula>NOT(ISERROR(SEARCH("Recommend",H88)))</formula>
    </cfRule>
    <cfRule type="containsText" dxfId="625" priority="361" operator="containsText" text="Required">
      <formula>NOT(ISERROR(SEARCH("Required",H88)))</formula>
    </cfRule>
  </conditionalFormatting>
  <conditionalFormatting sqref="H101:H107">
    <cfRule type="containsText" dxfId="624" priority="353" operator="containsText" text="Optional">
      <formula>NOT(ISERROR(SEARCH("Optional",H101)))</formula>
    </cfRule>
    <cfRule type="containsText" dxfId="623" priority="354" operator="containsText" text="Recommend">
      <formula>NOT(ISERROR(SEARCH("Recommend",H101)))</formula>
    </cfRule>
    <cfRule type="containsText" dxfId="622" priority="355" operator="containsText" text="Required">
      <formula>NOT(ISERROR(SEARCH("Required",H101)))</formula>
    </cfRule>
  </conditionalFormatting>
  <conditionalFormatting sqref="I10:I11 I7:I8">
    <cfRule type="containsText" dxfId="621" priority="350" operator="containsText" text="Optional">
      <formula>NOT(ISERROR(SEARCH("Optional",I7)))</formula>
    </cfRule>
    <cfRule type="containsText" dxfId="620" priority="351" operator="containsText" text="Recommend">
      <formula>NOT(ISERROR(SEARCH("Recommend",I7)))</formula>
    </cfRule>
    <cfRule type="containsText" dxfId="619" priority="352" operator="containsText" text="Required">
      <formula>NOT(ISERROR(SEARCH("Required",I7)))</formula>
    </cfRule>
  </conditionalFormatting>
  <conditionalFormatting sqref="I26">
    <cfRule type="containsText" dxfId="618" priority="344" operator="containsText" text="Optional">
      <formula>NOT(ISERROR(SEARCH("Optional",I26)))</formula>
    </cfRule>
    <cfRule type="containsText" dxfId="617" priority="345" operator="containsText" text="Recommend">
      <formula>NOT(ISERROR(SEARCH("Recommend",I26)))</formula>
    </cfRule>
    <cfRule type="containsText" dxfId="616" priority="346" operator="containsText" text="Required">
      <formula>NOT(ISERROR(SEARCH("Required",I26)))</formula>
    </cfRule>
  </conditionalFormatting>
  <conditionalFormatting sqref="I42">
    <cfRule type="containsText" dxfId="615" priority="335" operator="containsText" text="Optional">
      <formula>NOT(ISERROR(SEARCH("Optional",I42)))</formula>
    </cfRule>
    <cfRule type="containsText" dxfId="614" priority="336" operator="containsText" text="Recommend">
      <formula>NOT(ISERROR(SEARCH("Recommend",I42)))</formula>
    </cfRule>
    <cfRule type="containsText" dxfId="613" priority="337" operator="containsText" text="Required">
      <formula>NOT(ISERROR(SEARCH("Required",I42)))</formula>
    </cfRule>
  </conditionalFormatting>
  <conditionalFormatting sqref="I43">
    <cfRule type="containsText" dxfId="612" priority="332" operator="containsText" text="Optional">
      <formula>NOT(ISERROR(SEARCH("Optional",I43)))</formula>
    </cfRule>
    <cfRule type="containsText" dxfId="611" priority="333" operator="containsText" text="Recommend">
      <formula>NOT(ISERROR(SEARCH("Recommend",I43)))</formula>
    </cfRule>
    <cfRule type="containsText" dxfId="610" priority="334" operator="containsText" text="Required">
      <formula>NOT(ISERROR(SEARCH("Required",I43)))</formula>
    </cfRule>
  </conditionalFormatting>
  <conditionalFormatting sqref="I44">
    <cfRule type="containsText" dxfId="609" priority="329" operator="containsText" text="Optional">
      <formula>NOT(ISERROR(SEARCH("Optional",I44)))</formula>
    </cfRule>
    <cfRule type="containsText" dxfId="608" priority="330" operator="containsText" text="Recommend">
      <formula>NOT(ISERROR(SEARCH("Recommend",I44)))</formula>
    </cfRule>
    <cfRule type="containsText" dxfId="607" priority="331" operator="containsText" text="Required">
      <formula>NOT(ISERROR(SEARCH("Required",I44)))</formula>
    </cfRule>
  </conditionalFormatting>
  <conditionalFormatting sqref="I45">
    <cfRule type="containsText" dxfId="606" priority="326" operator="containsText" text="Optional">
      <formula>NOT(ISERROR(SEARCH("Optional",I45)))</formula>
    </cfRule>
    <cfRule type="containsText" dxfId="605" priority="327" operator="containsText" text="Recommend">
      <formula>NOT(ISERROR(SEARCH("Recommend",I45)))</formula>
    </cfRule>
    <cfRule type="containsText" dxfId="604" priority="328" operator="containsText" text="Required">
      <formula>NOT(ISERROR(SEARCH("Required",I45)))</formula>
    </cfRule>
  </conditionalFormatting>
  <conditionalFormatting sqref="I49">
    <cfRule type="containsText" dxfId="603" priority="323" operator="containsText" text="Optional">
      <formula>NOT(ISERROR(SEARCH("Optional",I49)))</formula>
    </cfRule>
    <cfRule type="containsText" dxfId="602" priority="324" operator="containsText" text="Recommend">
      <formula>NOT(ISERROR(SEARCH("Recommend",I49)))</formula>
    </cfRule>
    <cfRule type="containsText" dxfId="601" priority="325" operator="containsText" text="Required">
      <formula>NOT(ISERROR(SEARCH("Required",I49)))</formula>
    </cfRule>
  </conditionalFormatting>
  <conditionalFormatting sqref="I51">
    <cfRule type="containsText" dxfId="600" priority="317" operator="containsText" text="Optional">
      <formula>NOT(ISERROR(SEARCH("Optional",I51)))</formula>
    </cfRule>
    <cfRule type="containsText" dxfId="599" priority="318" operator="containsText" text="Recommend">
      <formula>NOT(ISERROR(SEARCH("Recommend",I51)))</formula>
    </cfRule>
    <cfRule type="containsText" dxfId="598" priority="319" operator="containsText" text="Required">
      <formula>NOT(ISERROR(SEARCH("Required",I51)))</formula>
    </cfRule>
  </conditionalFormatting>
  <conditionalFormatting sqref="I56">
    <cfRule type="containsText" dxfId="597" priority="311" operator="containsText" text="Optional">
      <formula>NOT(ISERROR(SEARCH("Optional",I56)))</formula>
    </cfRule>
    <cfRule type="containsText" dxfId="596" priority="312" operator="containsText" text="Recommend">
      <formula>NOT(ISERROR(SEARCH("Recommend",I56)))</formula>
    </cfRule>
    <cfRule type="containsText" dxfId="595" priority="313" operator="containsText" text="Required">
      <formula>NOT(ISERROR(SEARCH("Required",I56)))</formula>
    </cfRule>
  </conditionalFormatting>
  <conditionalFormatting sqref="I59">
    <cfRule type="containsText" dxfId="594" priority="308" operator="containsText" text="Optional">
      <formula>NOT(ISERROR(SEARCH("Optional",I59)))</formula>
    </cfRule>
    <cfRule type="containsText" dxfId="593" priority="309" operator="containsText" text="Recommend">
      <formula>NOT(ISERROR(SEARCH("Recommend",I59)))</formula>
    </cfRule>
    <cfRule type="containsText" dxfId="592" priority="310" operator="containsText" text="Required">
      <formula>NOT(ISERROR(SEARCH("Required",I59)))</formula>
    </cfRule>
  </conditionalFormatting>
  <conditionalFormatting sqref="I67">
    <cfRule type="containsText" dxfId="591" priority="299" operator="containsText" text="Optional">
      <formula>NOT(ISERROR(SEARCH("Optional",I67)))</formula>
    </cfRule>
    <cfRule type="containsText" dxfId="590" priority="300" operator="containsText" text="Recommend">
      <formula>NOT(ISERROR(SEARCH("Recommend",I67)))</formula>
    </cfRule>
    <cfRule type="containsText" dxfId="589" priority="301" operator="containsText" text="Required">
      <formula>NOT(ISERROR(SEARCH("Required",I67)))</formula>
    </cfRule>
  </conditionalFormatting>
  <conditionalFormatting sqref="I70">
    <cfRule type="containsText" dxfId="588" priority="296" operator="containsText" text="Optional">
      <formula>NOT(ISERROR(SEARCH("Optional",I70)))</formula>
    </cfRule>
    <cfRule type="containsText" dxfId="587" priority="297" operator="containsText" text="Recommend">
      <formula>NOT(ISERROR(SEARCH("Recommend",I70)))</formula>
    </cfRule>
    <cfRule type="containsText" dxfId="586" priority="298" operator="containsText" text="Required">
      <formula>NOT(ISERROR(SEARCH("Required",I70)))</formula>
    </cfRule>
  </conditionalFormatting>
  <conditionalFormatting sqref="I82">
    <cfRule type="containsText" dxfId="585" priority="287" operator="containsText" text="Optional">
      <formula>NOT(ISERROR(SEARCH("Optional",I82)))</formula>
    </cfRule>
    <cfRule type="containsText" dxfId="584" priority="288" operator="containsText" text="Recommend">
      <formula>NOT(ISERROR(SEARCH("Recommend",I82)))</formula>
    </cfRule>
    <cfRule type="containsText" dxfId="583" priority="289" operator="containsText" text="Required">
      <formula>NOT(ISERROR(SEARCH("Required",I82)))</formula>
    </cfRule>
  </conditionalFormatting>
  <conditionalFormatting sqref="I83">
    <cfRule type="containsText" dxfId="582" priority="284" operator="containsText" text="Optional">
      <formula>NOT(ISERROR(SEARCH("Optional",I83)))</formula>
    </cfRule>
    <cfRule type="containsText" dxfId="581" priority="285" operator="containsText" text="Recommend">
      <formula>NOT(ISERROR(SEARCH("Recommend",I83)))</formula>
    </cfRule>
    <cfRule type="containsText" dxfId="580" priority="286" operator="containsText" text="Required">
      <formula>NOT(ISERROR(SEARCH("Required",I83)))</formula>
    </cfRule>
  </conditionalFormatting>
  <conditionalFormatting sqref="I85">
    <cfRule type="containsText" dxfId="579" priority="281" operator="containsText" text="Optional">
      <formula>NOT(ISERROR(SEARCH("Optional",I85)))</formula>
    </cfRule>
    <cfRule type="containsText" dxfId="578" priority="282" operator="containsText" text="Recommend">
      <formula>NOT(ISERROR(SEARCH("Recommend",I85)))</formula>
    </cfRule>
    <cfRule type="containsText" dxfId="577" priority="283" operator="containsText" text="Required">
      <formula>NOT(ISERROR(SEARCH("Required",I85)))</formula>
    </cfRule>
  </conditionalFormatting>
  <conditionalFormatting sqref="I91">
    <cfRule type="containsText" dxfId="576" priority="272" operator="containsText" text="Optional">
      <formula>NOT(ISERROR(SEARCH("Optional",I91)))</formula>
    </cfRule>
    <cfRule type="containsText" dxfId="575" priority="273" operator="containsText" text="Recommend">
      <formula>NOT(ISERROR(SEARCH("Recommend",I91)))</formula>
    </cfRule>
    <cfRule type="containsText" dxfId="574" priority="274" operator="containsText" text="Required">
      <formula>NOT(ISERROR(SEARCH("Required",I91)))</formula>
    </cfRule>
  </conditionalFormatting>
  <conditionalFormatting sqref="I93">
    <cfRule type="containsText" dxfId="573" priority="266" operator="containsText" text="Optional">
      <formula>NOT(ISERROR(SEARCH("Optional",I93)))</formula>
    </cfRule>
    <cfRule type="containsText" dxfId="572" priority="267" operator="containsText" text="Recommend">
      <formula>NOT(ISERROR(SEARCH("Recommend",I93)))</formula>
    </cfRule>
    <cfRule type="containsText" dxfId="571" priority="268" operator="containsText" text="Required">
      <formula>NOT(ISERROR(SEARCH("Required",I93)))</formula>
    </cfRule>
  </conditionalFormatting>
  <conditionalFormatting sqref="I94">
    <cfRule type="containsText" dxfId="570" priority="263" operator="containsText" text="Optional">
      <formula>NOT(ISERROR(SEARCH("Optional",I94)))</formula>
    </cfRule>
    <cfRule type="containsText" dxfId="569" priority="264" operator="containsText" text="Recommend">
      <formula>NOT(ISERROR(SEARCH("Recommend",I94)))</formula>
    </cfRule>
    <cfRule type="containsText" dxfId="568" priority="265" operator="containsText" text="Required">
      <formula>NOT(ISERROR(SEARCH("Required",I94)))</formula>
    </cfRule>
  </conditionalFormatting>
  <conditionalFormatting sqref="I103">
    <cfRule type="containsText" dxfId="567" priority="257" operator="containsText" text="Optional">
      <formula>NOT(ISERROR(SEARCH("Optional",I103)))</formula>
    </cfRule>
    <cfRule type="containsText" dxfId="566" priority="258" operator="containsText" text="Recommend">
      <formula>NOT(ISERROR(SEARCH("Recommend",I103)))</formula>
    </cfRule>
    <cfRule type="containsText" dxfId="565" priority="259" operator="containsText" text="Required">
      <formula>NOT(ISERROR(SEARCH("Required",I103)))</formula>
    </cfRule>
  </conditionalFormatting>
  <conditionalFormatting sqref="I105">
    <cfRule type="containsText" dxfId="564" priority="254" operator="containsText" text="Optional">
      <formula>NOT(ISERROR(SEARCH("Optional",I105)))</formula>
    </cfRule>
    <cfRule type="containsText" dxfId="563" priority="255" operator="containsText" text="Recommend">
      <formula>NOT(ISERROR(SEARCH("Recommend",I105)))</formula>
    </cfRule>
    <cfRule type="containsText" dxfId="562" priority="256" operator="containsText" text="Required">
      <formula>NOT(ISERROR(SEARCH("Required",I105)))</formula>
    </cfRule>
  </conditionalFormatting>
  <conditionalFormatting sqref="H5">
    <cfRule type="containsText" dxfId="561" priority="251" operator="containsText" text="Optional">
      <formula>NOT(ISERROR(SEARCH("Optional",H5)))</formula>
    </cfRule>
    <cfRule type="containsText" dxfId="560" priority="252" operator="containsText" text="Recommend">
      <formula>NOT(ISERROR(SEARCH("Recommend",H5)))</formula>
    </cfRule>
    <cfRule type="containsText" dxfId="559" priority="253" operator="containsText" text="Required">
      <formula>NOT(ISERROR(SEARCH("Required",H5)))</formula>
    </cfRule>
  </conditionalFormatting>
  <conditionalFormatting sqref="H24">
    <cfRule type="containsText" dxfId="558" priority="245" operator="containsText" text="Optional">
      <formula>NOT(ISERROR(SEARCH("Optional",H24)))</formula>
    </cfRule>
    <cfRule type="containsText" dxfId="557" priority="246" operator="containsText" text="Recommend">
      <formula>NOT(ISERROR(SEARCH("Recommend",H24)))</formula>
    </cfRule>
    <cfRule type="containsText" dxfId="556" priority="247" operator="containsText" text="Required">
      <formula>NOT(ISERROR(SEARCH("Required",H24)))</formula>
    </cfRule>
  </conditionalFormatting>
  <conditionalFormatting sqref="H39">
    <cfRule type="containsText" dxfId="555" priority="242" operator="containsText" text="Optional">
      <formula>NOT(ISERROR(SEARCH("Optional",H39)))</formula>
    </cfRule>
    <cfRule type="containsText" dxfId="554" priority="243" operator="containsText" text="Recommend">
      <formula>NOT(ISERROR(SEARCH("Recommend",H39)))</formula>
    </cfRule>
    <cfRule type="containsText" dxfId="553" priority="244" operator="containsText" text="Required">
      <formula>NOT(ISERROR(SEARCH("Required",H39)))</formula>
    </cfRule>
  </conditionalFormatting>
  <conditionalFormatting sqref="H47">
    <cfRule type="containsText" dxfId="552" priority="239" operator="containsText" text="Optional">
      <formula>NOT(ISERROR(SEARCH("Optional",H47)))</formula>
    </cfRule>
    <cfRule type="containsText" dxfId="551" priority="240" operator="containsText" text="Recommend">
      <formula>NOT(ISERROR(SEARCH("Recommend",H47)))</formula>
    </cfRule>
    <cfRule type="containsText" dxfId="550" priority="241" operator="containsText" text="Required">
      <formula>NOT(ISERROR(SEARCH("Required",H47)))</formula>
    </cfRule>
  </conditionalFormatting>
  <conditionalFormatting sqref="H61">
    <cfRule type="containsText" dxfId="549" priority="230" operator="containsText" text="Optional">
      <formula>NOT(ISERROR(SEARCH("Optional",H61)))</formula>
    </cfRule>
    <cfRule type="containsText" dxfId="548" priority="231" operator="containsText" text="Recommend">
      <formula>NOT(ISERROR(SEARCH("Recommend",H61)))</formula>
    </cfRule>
    <cfRule type="containsText" dxfId="547" priority="232" operator="containsText" text="Required">
      <formula>NOT(ISERROR(SEARCH("Required",H61)))</formula>
    </cfRule>
  </conditionalFormatting>
  <conditionalFormatting sqref="H69">
    <cfRule type="containsText" dxfId="546" priority="221" operator="containsText" text="Optional">
      <formula>NOT(ISERROR(SEARCH("Optional",H69)))</formula>
    </cfRule>
    <cfRule type="containsText" dxfId="545" priority="222" operator="containsText" text="Recommend">
      <formula>NOT(ISERROR(SEARCH("Recommend",H69)))</formula>
    </cfRule>
    <cfRule type="containsText" dxfId="544" priority="223" operator="containsText" text="Required">
      <formula>NOT(ISERROR(SEARCH("Required",H69)))</formula>
    </cfRule>
  </conditionalFormatting>
  <conditionalFormatting sqref="H72">
    <cfRule type="containsText" dxfId="543" priority="218" operator="containsText" text="Optional">
      <formula>NOT(ISERROR(SEARCH("Optional",H72)))</formula>
    </cfRule>
    <cfRule type="containsText" dxfId="542" priority="219" operator="containsText" text="Recommend">
      <formula>NOT(ISERROR(SEARCH("Recommend",H72)))</formula>
    </cfRule>
    <cfRule type="containsText" dxfId="541" priority="220" operator="containsText" text="Required">
      <formula>NOT(ISERROR(SEARCH("Required",H72)))</formula>
    </cfRule>
  </conditionalFormatting>
  <conditionalFormatting sqref="H73">
    <cfRule type="containsText" dxfId="540" priority="215" operator="containsText" text="Optional">
      <formula>NOT(ISERROR(SEARCH("Optional",H73)))</formula>
    </cfRule>
    <cfRule type="containsText" dxfId="539" priority="216" operator="containsText" text="Recommend">
      <formula>NOT(ISERROR(SEARCH("Recommend",H73)))</formula>
    </cfRule>
    <cfRule type="containsText" dxfId="538" priority="217" operator="containsText" text="Required">
      <formula>NOT(ISERROR(SEARCH("Required",H73)))</formula>
    </cfRule>
  </conditionalFormatting>
  <conditionalFormatting sqref="H87">
    <cfRule type="containsText" dxfId="537" priority="206" operator="containsText" text="Optional">
      <formula>NOT(ISERROR(SEARCH("Optional",H87)))</formula>
    </cfRule>
    <cfRule type="containsText" dxfId="536" priority="207" operator="containsText" text="Recommend">
      <formula>NOT(ISERROR(SEARCH("Recommend",H87)))</formula>
    </cfRule>
    <cfRule type="containsText" dxfId="535" priority="208" operator="containsText" text="Required">
      <formula>NOT(ISERROR(SEARCH("Required",H87)))</formula>
    </cfRule>
  </conditionalFormatting>
  <conditionalFormatting sqref="H100">
    <cfRule type="containsText" dxfId="534" priority="197" operator="containsText" text="Optional">
      <formula>NOT(ISERROR(SEARCH("Optional",H100)))</formula>
    </cfRule>
    <cfRule type="containsText" dxfId="533" priority="198" operator="containsText" text="Recommend">
      <formula>NOT(ISERROR(SEARCH("Recommend",H100)))</formula>
    </cfRule>
    <cfRule type="containsText" dxfId="532" priority="199" operator="containsText" text="Required">
      <formula>NOT(ISERROR(SEARCH("Required",H100)))</formula>
    </cfRule>
  </conditionalFormatting>
  <conditionalFormatting sqref="I107">
    <cfRule type="containsText" dxfId="531" priority="194" operator="containsText" text="Optional">
      <formula>NOT(ISERROR(SEARCH("Optional",I107)))</formula>
    </cfRule>
    <cfRule type="containsText" dxfId="530" priority="195" operator="containsText" text="Recommend">
      <formula>NOT(ISERROR(SEARCH("Recommend",I107)))</formula>
    </cfRule>
    <cfRule type="containsText" dxfId="529" priority="196" operator="containsText" text="Required">
      <formula>NOT(ISERROR(SEARCH("Required",I107)))</formula>
    </cfRule>
  </conditionalFormatting>
  <conditionalFormatting sqref="I104">
    <cfRule type="containsText" dxfId="528" priority="188" operator="containsText" text="Optional">
      <formula>NOT(ISERROR(SEARCH("Optional",I104)))</formula>
    </cfRule>
    <cfRule type="containsText" dxfId="527" priority="189" operator="containsText" text="Recommend">
      <formula>NOT(ISERROR(SEARCH("Recommend",I104)))</formula>
    </cfRule>
    <cfRule type="containsText" dxfId="526" priority="190" operator="containsText" text="Required">
      <formula>NOT(ISERROR(SEARCH("Required",I104)))</formula>
    </cfRule>
  </conditionalFormatting>
  <conditionalFormatting sqref="I102">
    <cfRule type="containsText" dxfId="525" priority="185" operator="containsText" text="Optional">
      <formula>NOT(ISERROR(SEARCH("Optional",I102)))</formula>
    </cfRule>
    <cfRule type="containsText" dxfId="524" priority="186" operator="containsText" text="Recommend">
      <formula>NOT(ISERROR(SEARCH("Recommend",I102)))</formula>
    </cfRule>
    <cfRule type="containsText" dxfId="523" priority="187" operator="containsText" text="Required">
      <formula>NOT(ISERROR(SEARCH("Required",I102)))</formula>
    </cfRule>
  </conditionalFormatting>
  <conditionalFormatting sqref="I100">
    <cfRule type="containsText" dxfId="522" priority="182" operator="containsText" text="Optional">
      <formula>NOT(ISERROR(SEARCH("Optional",I100)))</formula>
    </cfRule>
    <cfRule type="containsText" dxfId="521" priority="183" operator="containsText" text="Recommend">
      <formula>NOT(ISERROR(SEARCH("Recommend",I100)))</formula>
    </cfRule>
    <cfRule type="containsText" dxfId="520" priority="184" operator="containsText" text="Required">
      <formula>NOT(ISERROR(SEARCH("Required",I100)))</formula>
    </cfRule>
  </conditionalFormatting>
  <conditionalFormatting sqref="I95">
    <cfRule type="containsText" dxfId="519" priority="167" operator="containsText" text="Optional">
      <formula>NOT(ISERROR(SEARCH("Optional",I95)))</formula>
    </cfRule>
    <cfRule type="containsText" dxfId="518" priority="168" operator="containsText" text="Recommend">
      <formula>NOT(ISERROR(SEARCH("Recommend",I95)))</formula>
    </cfRule>
    <cfRule type="containsText" dxfId="517" priority="169" operator="containsText" text="Required">
      <formula>NOT(ISERROR(SEARCH("Required",I95)))</formula>
    </cfRule>
  </conditionalFormatting>
  <conditionalFormatting sqref="I84">
    <cfRule type="containsText" dxfId="516" priority="158" operator="containsText" text="Optional">
      <formula>NOT(ISERROR(SEARCH("Optional",I84)))</formula>
    </cfRule>
    <cfRule type="containsText" dxfId="515" priority="159" operator="containsText" text="Recommend">
      <formula>NOT(ISERROR(SEARCH("Recommend",I84)))</formula>
    </cfRule>
    <cfRule type="containsText" dxfId="514" priority="160" operator="containsText" text="Required">
      <formula>NOT(ISERROR(SEARCH("Required",I84)))</formula>
    </cfRule>
  </conditionalFormatting>
  <conditionalFormatting sqref="I79">
    <cfRule type="containsText" dxfId="513" priority="152" operator="containsText" text="Optional">
      <formula>NOT(ISERROR(SEARCH("Optional",I79)))</formula>
    </cfRule>
    <cfRule type="containsText" dxfId="512" priority="153" operator="containsText" text="Recommend">
      <formula>NOT(ISERROR(SEARCH("Recommend",I79)))</formula>
    </cfRule>
    <cfRule type="containsText" dxfId="511" priority="154" operator="containsText" text="Required">
      <formula>NOT(ISERROR(SEARCH("Required",I79)))</formula>
    </cfRule>
  </conditionalFormatting>
  <conditionalFormatting sqref="I72">
    <cfRule type="containsText" dxfId="510" priority="143" operator="containsText" text="Optional">
      <formula>NOT(ISERROR(SEARCH("Optional",I72)))</formula>
    </cfRule>
    <cfRule type="containsText" dxfId="509" priority="144" operator="containsText" text="Recommend">
      <formula>NOT(ISERROR(SEARCH("Recommend",I72)))</formula>
    </cfRule>
    <cfRule type="containsText" dxfId="508" priority="145" operator="containsText" text="Required">
      <formula>NOT(ISERROR(SEARCH("Required",I72)))</formula>
    </cfRule>
  </conditionalFormatting>
  <conditionalFormatting sqref="I64">
    <cfRule type="containsText" dxfId="507" priority="134" operator="containsText" text="Optional">
      <formula>NOT(ISERROR(SEARCH("Optional",I64)))</formula>
    </cfRule>
    <cfRule type="containsText" dxfId="506" priority="135" operator="containsText" text="Recommend">
      <formula>NOT(ISERROR(SEARCH("Recommend",I64)))</formula>
    </cfRule>
    <cfRule type="containsText" dxfId="505" priority="136" operator="containsText" text="Required">
      <formula>NOT(ISERROR(SEARCH("Required",I64)))</formula>
    </cfRule>
  </conditionalFormatting>
  <conditionalFormatting sqref="I60">
    <cfRule type="containsText" dxfId="504" priority="131" operator="containsText" text="Optional">
      <formula>NOT(ISERROR(SEARCH("Optional",I60)))</formula>
    </cfRule>
    <cfRule type="containsText" dxfId="503" priority="132" operator="containsText" text="Recommend">
      <formula>NOT(ISERROR(SEARCH("Recommend",I60)))</formula>
    </cfRule>
    <cfRule type="containsText" dxfId="502" priority="133" operator="containsText" text="Required">
      <formula>NOT(ISERROR(SEARCH("Required",I60)))</formula>
    </cfRule>
  </conditionalFormatting>
  <conditionalFormatting sqref="I57">
    <cfRule type="containsText" dxfId="501" priority="125" operator="containsText" text="Optional">
      <formula>NOT(ISERROR(SEARCH("Optional",I57)))</formula>
    </cfRule>
    <cfRule type="containsText" dxfId="500" priority="126" operator="containsText" text="Recommend">
      <formula>NOT(ISERROR(SEARCH("Recommend",I57)))</formula>
    </cfRule>
    <cfRule type="containsText" dxfId="499" priority="127" operator="containsText" text="Required">
      <formula>NOT(ISERROR(SEARCH("Required",I57)))</formula>
    </cfRule>
  </conditionalFormatting>
  <conditionalFormatting sqref="I55">
    <cfRule type="containsText" dxfId="498" priority="122" operator="containsText" text="Optional">
      <formula>NOT(ISERROR(SEARCH("Optional",I55)))</formula>
    </cfRule>
    <cfRule type="containsText" dxfId="497" priority="123" operator="containsText" text="Recommend">
      <formula>NOT(ISERROR(SEARCH("Recommend",I55)))</formula>
    </cfRule>
    <cfRule type="containsText" dxfId="496" priority="124" operator="containsText" text="Required">
      <formula>NOT(ISERROR(SEARCH("Required",I55)))</formula>
    </cfRule>
  </conditionalFormatting>
  <conditionalFormatting sqref="I54">
    <cfRule type="containsText" dxfId="495" priority="119" operator="containsText" text="Optional">
      <formula>NOT(ISERROR(SEARCH("Optional",I54)))</formula>
    </cfRule>
    <cfRule type="containsText" dxfId="494" priority="120" operator="containsText" text="Recommend">
      <formula>NOT(ISERROR(SEARCH("Recommend",I54)))</formula>
    </cfRule>
    <cfRule type="containsText" dxfId="493" priority="121" operator="containsText" text="Required">
      <formula>NOT(ISERROR(SEARCH("Required",I54)))</formula>
    </cfRule>
  </conditionalFormatting>
  <conditionalFormatting sqref="I52">
    <cfRule type="containsText" dxfId="492" priority="116" operator="containsText" text="Optional">
      <formula>NOT(ISERROR(SEARCH("Optional",I52)))</formula>
    </cfRule>
    <cfRule type="containsText" dxfId="491" priority="117" operator="containsText" text="Recommend">
      <formula>NOT(ISERROR(SEARCH("Recommend",I52)))</formula>
    </cfRule>
    <cfRule type="containsText" dxfId="490" priority="118" operator="containsText" text="Required">
      <formula>NOT(ISERROR(SEARCH("Required",I52)))</formula>
    </cfRule>
  </conditionalFormatting>
  <conditionalFormatting sqref="I47">
    <cfRule type="containsText" dxfId="489" priority="113" operator="containsText" text="Optional">
      <formula>NOT(ISERROR(SEARCH("Optional",I47)))</formula>
    </cfRule>
    <cfRule type="containsText" dxfId="488" priority="114" operator="containsText" text="Recommend">
      <formula>NOT(ISERROR(SEARCH("Recommend",I47)))</formula>
    </cfRule>
    <cfRule type="containsText" dxfId="487" priority="115" operator="containsText" text="Required">
      <formula>NOT(ISERROR(SEARCH("Required",I47)))</formula>
    </cfRule>
  </conditionalFormatting>
  <conditionalFormatting sqref="I40">
    <cfRule type="containsText" dxfId="486" priority="104" operator="containsText" text="Optional">
      <formula>NOT(ISERROR(SEARCH("Optional",I40)))</formula>
    </cfRule>
    <cfRule type="containsText" dxfId="485" priority="105" operator="containsText" text="Recommend">
      <formula>NOT(ISERROR(SEARCH("Recommend",I40)))</formula>
    </cfRule>
    <cfRule type="containsText" dxfId="484" priority="106" operator="containsText" text="Required">
      <formula>NOT(ISERROR(SEARCH("Required",I40)))</formula>
    </cfRule>
  </conditionalFormatting>
  <conditionalFormatting sqref="I38">
    <cfRule type="containsText" dxfId="483" priority="98" operator="containsText" text="Optional">
      <formula>NOT(ISERROR(SEARCH("Optional",I38)))</formula>
    </cfRule>
    <cfRule type="containsText" dxfId="482" priority="99" operator="containsText" text="Recommend">
      <formula>NOT(ISERROR(SEARCH("Recommend",I38)))</formula>
    </cfRule>
    <cfRule type="containsText" dxfId="481" priority="100" operator="containsText" text="Required">
      <formula>NOT(ISERROR(SEARCH("Required",I38)))</formula>
    </cfRule>
  </conditionalFormatting>
  <conditionalFormatting sqref="I36">
    <cfRule type="containsText" dxfId="480" priority="92" operator="containsText" text="Optional">
      <formula>NOT(ISERROR(SEARCH("Optional",I36)))</formula>
    </cfRule>
    <cfRule type="containsText" dxfId="479" priority="93" operator="containsText" text="Recommend">
      <formula>NOT(ISERROR(SEARCH("Recommend",I36)))</formula>
    </cfRule>
    <cfRule type="containsText" dxfId="478" priority="94" operator="containsText" text="Required">
      <formula>NOT(ISERROR(SEARCH("Required",I36)))</formula>
    </cfRule>
  </conditionalFormatting>
  <conditionalFormatting sqref="I34">
    <cfRule type="containsText" dxfId="477" priority="89" operator="containsText" text="Optional">
      <formula>NOT(ISERROR(SEARCH("Optional",I34)))</formula>
    </cfRule>
    <cfRule type="containsText" dxfId="476" priority="90" operator="containsText" text="Recommend">
      <formula>NOT(ISERROR(SEARCH("Recommend",I34)))</formula>
    </cfRule>
    <cfRule type="containsText" dxfId="475" priority="91" operator="containsText" text="Required">
      <formula>NOT(ISERROR(SEARCH("Required",I34)))</formula>
    </cfRule>
  </conditionalFormatting>
  <conditionalFormatting sqref="I33">
    <cfRule type="containsText" dxfId="474" priority="86" operator="containsText" text="Optional">
      <formula>NOT(ISERROR(SEARCH("Optional",I33)))</formula>
    </cfRule>
    <cfRule type="containsText" dxfId="473" priority="87" operator="containsText" text="Recommend">
      <formula>NOT(ISERROR(SEARCH("Recommend",I33)))</formula>
    </cfRule>
    <cfRule type="containsText" dxfId="472" priority="88" operator="containsText" text="Required">
      <formula>NOT(ISERROR(SEARCH("Required",I33)))</formula>
    </cfRule>
  </conditionalFormatting>
  <conditionalFormatting sqref="I32">
    <cfRule type="containsText" dxfId="471" priority="83" operator="containsText" text="Optional">
      <formula>NOT(ISERROR(SEARCH("Optional",I32)))</formula>
    </cfRule>
    <cfRule type="containsText" dxfId="470" priority="84" operator="containsText" text="Recommend">
      <formula>NOT(ISERROR(SEARCH("Recommend",I32)))</formula>
    </cfRule>
    <cfRule type="containsText" dxfId="469" priority="85" operator="containsText" text="Required">
      <formula>NOT(ISERROR(SEARCH("Required",I32)))</formula>
    </cfRule>
  </conditionalFormatting>
  <conditionalFormatting sqref="I29">
    <cfRule type="containsText" dxfId="468" priority="77" operator="containsText" text="Optional">
      <formula>NOT(ISERROR(SEARCH("Optional",I29)))</formula>
    </cfRule>
    <cfRule type="containsText" dxfId="467" priority="78" operator="containsText" text="Recommend">
      <formula>NOT(ISERROR(SEARCH("Recommend",I29)))</formula>
    </cfRule>
    <cfRule type="containsText" dxfId="466" priority="79" operator="containsText" text="Required">
      <formula>NOT(ISERROR(SEARCH("Required",I29)))</formula>
    </cfRule>
  </conditionalFormatting>
  <conditionalFormatting sqref="I27">
    <cfRule type="containsText" dxfId="465" priority="71" operator="containsText" text="Optional">
      <formula>NOT(ISERROR(SEARCH("Optional",I27)))</formula>
    </cfRule>
    <cfRule type="containsText" dxfId="464" priority="72" operator="containsText" text="Recommend">
      <formula>NOT(ISERROR(SEARCH("Recommend",I27)))</formula>
    </cfRule>
    <cfRule type="containsText" dxfId="463" priority="73" operator="containsText" text="Required">
      <formula>NOT(ISERROR(SEARCH("Required",I27)))</formula>
    </cfRule>
  </conditionalFormatting>
  <conditionalFormatting sqref="I25">
    <cfRule type="containsText" dxfId="462" priority="68" operator="containsText" text="Optional">
      <formula>NOT(ISERROR(SEARCH("Optional",I25)))</formula>
    </cfRule>
    <cfRule type="containsText" dxfId="461" priority="69" operator="containsText" text="Recommend">
      <formula>NOT(ISERROR(SEARCH("Recommend",I25)))</formula>
    </cfRule>
    <cfRule type="containsText" dxfId="460" priority="70" operator="containsText" text="Required">
      <formula>NOT(ISERROR(SEARCH("Required",I25)))</formula>
    </cfRule>
  </conditionalFormatting>
  <conditionalFormatting sqref="I23">
    <cfRule type="containsText" dxfId="459" priority="62" operator="containsText" text="Optional">
      <formula>NOT(ISERROR(SEARCH("Optional",I23)))</formula>
    </cfRule>
    <cfRule type="containsText" dxfId="458" priority="63" operator="containsText" text="Recommend">
      <formula>NOT(ISERROR(SEARCH("Recommend",I23)))</formula>
    </cfRule>
    <cfRule type="containsText" dxfId="457" priority="64" operator="containsText" text="Required">
      <formula>NOT(ISERROR(SEARCH("Required",I23)))</formula>
    </cfRule>
  </conditionalFormatting>
  <conditionalFormatting sqref="I22">
    <cfRule type="containsText" dxfId="456" priority="59" operator="containsText" text="Optional">
      <formula>NOT(ISERROR(SEARCH("Optional",I22)))</formula>
    </cfRule>
    <cfRule type="containsText" dxfId="455" priority="60" operator="containsText" text="Recommend">
      <formula>NOT(ISERROR(SEARCH("Recommend",I22)))</formula>
    </cfRule>
    <cfRule type="containsText" dxfId="454" priority="61" operator="containsText" text="Required">
      <formula>NOT(ISERROR(SEARCH("Required",I22)))</formula>
    </cfRule>
  </conditionalFormatting>
  <conditionalFormatting sqref="I21">
    <cfRule type="containsText" dxfId="453" priority="56" operator="containsText" text="Optional">
      <formula>NOT(ISERROR(SEARCH("Optional",I21)))</formula>
    </cfRule>
    <cfRule type="containsText" dxfId="452" priority="57" operator="containsText" text="Recommend">
      <formula>NOT(ISERROR(SEARCH("Recommend",I21)))</formula>
    </cfRule>
    <cfRule type="containsText" dxfId="451" priority="58" operator="containsText" text="Required">
      <formula>NOT(ISERROR(SEARCH("Required",I21)))</formula>
    </cfRule>
  </conditionalFormatting>
  <conditionalFormatting sqref="I20">
    <cfRule type="containsText" dxfId="450" priority="53" operator="containsText" text="Optional">
      <formula>NOT(ISERROR(SEARCH("Optional",I20)))</formula>
    </cfRule>
    <cfRule type="containsText" dxfId="449" priority="54" operator="containsText" text="Recommend">
      <formula>NOT(ISERROR(SEARCH("Recommend",I20)))</formula>
    </cfRule>
    <cfRule type="containsText" dxfId="448" priority="55" operator="containsText" text="Required">
      <formula>NOT(ISERROR(SEARCH("Required",I20)))</formula>
    </cfRule>
  </conditionalFormatting>
  <conditionalFormatting sqref="I15">
    <cfRule type="containsText" dxfId="447" priority="50" operator="containsText" text="Optional">
      <formula>NOT(ISERROR(SEARCH("Optional",I15)))</formula>
    </cfRule>
    <cfRule type="containsText" dxfId="446" priority="51" operator="containsText" text="Recommend">
      <formula>NOT(ISERROR(SEARCH("Recommend",I15)))</formula>
    </cfRule>
    <cfRule type="containsText" dxfId="445" priority="52" operator="containsText" text="Required">
      <formula>NOT(ISERROR(SEARCH("Required",I15)))</formula>
    </cfRule>
  </conditionalFormatting>
  <conditionalFormatting sqref="I14">
    <cfRule type="containsText" dxfId="444" priority="47" operator="containsText" text="Optional">
      <formula>NOT(ISERROR(SEARCH("Optional",I14)))</formula>
    </cfRule>
    <cfRule type="containsText" dxfId="443" priority="48" operator="containsText" text="Recommend">
      <formula>NOT(ISERROR(SEARCH("Recommend",I14)))</formula>
    </cfRule>
    <cfRule type="containsText" dxfId="442" priority="49" operator="containsText" text="Required">
      <formula>NOT(ISERROR(SEARCH("Required",I14)))</formula>
    </cfRule>
  </conditionalFormatting>
  <conditionalFormatting sqref="I13">
    <cfRule type="containsText" dxfId="441" priority="44" operator="containsText" text="Optional">
      <formula>NOT(ISERROR(SEARCH("Optional",I13)))</formula>
    </cfRule>
    <cfRule type="containsText" dxfId="440" priority="45" operator="containsText" text="Recommend">
      <formula>NOT(ISERROR(SEARCH("Recommend",I13)))</formula>
    </cfRule>
    <cfRule type="containsText" dxfId="439" priority="46" operator="containsText" text="Required">
      <formula>NOT(ISERROR(SEARCH("Required",I13)))</formula>
    </cfRule>
  </conditionalFormatting>
  <conditionalFormatting sqref="I12">
    <cfRule type="containsText" dxfId="438" priority="41" operator="containsText" text="Optional">
      <formula>NOT(ISERROR(SEARCH("Optional",I12)))</formula>
    </cfRule>
    <cfRule type="containsText" dxfId="437" priority="42" operator="containsText" text="Recommend">
      <formula>NOT(ISERROR(SEARCH("Recommend",I12)))</formula>
    </cfRule>
    <cfRule type="containsText" dxfId="436" priority="43" operator="containsText" text="Required">
      <formula>NOT(ISERROR(SEARCH("Required",I12)))</formula>
    </cfRule>
  </conditionalFormatting>
  <conditionalFormatting sqref="I9">
    <cfRule type="containsText" dxfId="435" priority="38" operator="containsText" text="Optional">
      <formula>NOT(ISERROR(SEARCH("Optional",I9)))</formula>
    </cfRule>
    <cfRule type="containsText" dxfId="434" priority="39" operator="containsText" text="Recommend">
      <formula>NOT(ISERROR(SEARCH("Recommend",I9)))</formula>
    </cfRule>
    <cfRule type="containsText" dxfId="433" priority="40" operator="containsText" text="Required">
      <formula>NOT(ISERROR(SEARCH("Required",I9)))</formula>
    </cfRule>
  </conditionalFormatting>
  <conditionalFormatting sqref="I6">
    <cfRule type="containsText" dxfId="432" priority="35" operator="containsText" text="Optional">
      <formula>NOT(ISERROR(SEARCH("Optional",I6)))</formula>
    </cfRule>
    <cfRule type="containsText" dxfId="431" priority="36" operator="containsText" text="Recommend">
      <formula>NOT(ISERROR(SEARCH("Recommend",I6)))</formula>
    </cfRule>
    <cfRule type="containsText" dxfId="430" priority="37" operator="containsText" text="Required">
      <formula>NOT(ISERROR(SEARCH("Required",I6)))</formula>
    </cfRule>
  </conditionalFormatting>
  <conditionalFormatting sqref="I5">
    <cfRule type="containsText" dxfId="429" priority="32" operator="containsText" text="Optional">
      <formula>NOT(ISERROR(SEARCH("Optional",I5)))</formula>
    </cfRule>
    <cfRule type="containsText" dxfId="428" priority="33" operator="containsText" text="Recommend">
      <formula>NOT(ISERROR(SEARCH("Recommend",I5)))</formula>
    </cfRule>
    <cfRule type="containsText" dxfId="427" priority="34" operator="containsText" text="Required">
      <formula>NOT(ISERROR(SEARCH("Required",I5)))</formula>
    </cfRule>
  </conditionalFormatting>
  <conditionalFormatting sqref="I4">
    <cfRule type="containsText" dxfId="426" priority="29" operator="containsText" text="Optional">
      <formula>NOT(ISERROR(SEARCH("Optional",I4)))</formula>
    </cfRule>
    <cfRule type="containsText" dxfId="425" priority="30" operator="containsText" text="Recommend">
      <formula>NOT(ISERROR(SEARCH("Recommend",I4)))</formula>
    </cfRule>
    <cfRule type="containsText" dxfId="424" priority="31" operator="containsText" text="Required">
      <formula>NOT(ISERROR(SEARCH("Required",I4)))</formula>
    </cfRule>
  </conditionalFormatting>
  <conditionalFormatting sqref="I61">
    <cfRule type="containsText" dxfId="423" priority="23" operator="containsText" text="Optional">
      <formula>NOT(ISERROR(SEARCH("Optional",I61)))</formula>
    </cfRule>
    <cfRule type="containsText" dxfId="422" priority="24" operator="containsText" text="Recommend">
      <formula>NOT(ISERROR(SEARCH("Recommend",I61)))</formula>
    </cfRule>
    <cfRule type="containsText" dxfId="421" priority="25" operator="containsText" text="Required">
      <formula>NOT(ISERROR(SEARCH("Required",I61)))</formula>
    </cfRule>
  </conditionalFormatting>
  <conditionalFormatting sqref="I62">
    <cfRule type="containsText" dxfId="420" priority="20" operator="containsText" text="Optional">
      <formula>NOT(ISERROR(SEARCH("Optional",I62)))</formula>
    </cfRule>
    <cfRule type="containsText" dxfId="419" priority="21" operator="containsText" text="Recommend">
      <formula>NOT(ISERROR(SEARCH("Recommend",I62)))</formula>
    </cfRule>
    <cfRule type="containsText" dxfId="418" priority="22" operator="containsText" text="Required">
      <formula>NOT(ISERROR(SEARCH("Required",I62)))</formula>
    </cfRule>
  </conditionalFormatting>
  <conditionalFormatting sqref="I65">
    <cfRule type="containsText" dxfId="417" priority="17" operator="containsText" text="Optional">
      <formula>NOT(ISERROR(SEARCH("Optional",I65)))</formula>
    </cfRule>
    <cfRule type="containsText" dxfId="416" priority="18" operator="containsText" text="Recommend">
      <formula>NOT(ISERROR(SEARCH("Recommend",I65)))</formula>
    </cfRule>
    <cfRule type="containsText" dxfId="415" priority="19" operator="containsText" text="Required">
      <formula>NOT(ISERROR(SEARCH("Required",I65)))</formula>
    </cfRule>
  </conditionalFormatting>
  <conditionalFormatting sqref="I69">
    <cfRule type="containsText" dxfId="414" priority="14" operator="containsText" text="Optional">
      <formula>NOT(ISERROR(SEARCH("Optional",I69)))</formula>
    </cfRule>
    <cfRule type="containsText" dxfId="413" priority="15" operator="containsText" text="Recommend">
      <formula>NOT(ISERROR(SEARCH("Recommend",I69)))</formula>
    </cfRule>
    <cfRule type="containsText" dxfId="412" priority="16" operator="containsText" text="Required">
      <formula>NOT(ISERROR(SEARCH("Required",I69)))</formula>
    </cfRule>
  </conditionalFormatting>
  <conditionalFormatting sqref="I73">
    <cfRule type="containsText" dxfId="411" priority="11" operator="containsText" text="Optional">
      <formula>NOT(ISERROR(SEARCH("Optional",I73)))</formula>
    </cfRule>
    <cfRule type="containsText" dxfId="410" priority="12" operator="containsText" text="Recommend">
      <formula>NOT(ISERROR(SEARCH("Recommend",I73)))</formula>
    </cfRule>
    <cfRule type="containsText" dxfId="409" priority="13" operator="containsText" text="Required">
      <formula>NOT(ISERROR(SEARCH("Required",I73)))</formula>
    </cfRule>
  </conditionalFormatting>
  <conditionalFormatting sqref="I76">
    <cfRule type="containsText" dxfId="408" priority="8" operator="containsText" text="Optional">
      <formula>NOT(ISERROR(SEARCH("Optional",I76)))</formula>
    </cfRule>
    <cfRule type="containsText" dxfId="407" priority="9" operator="containsText" text="Recommend">
      <formula>NOT(ISERROR(SEARCH("Recommend",I76)))</formula>
    </cfRule>
    <cfRule type="containsText" dxfId="406" priority="10" operator="containsText" text="Required">
      <formula>NOT(ISERROR(SEARCH("Required",I76)))</formula>
    </cfRule>
  </conditionalFormatting>
  <conditionalFormatting sqref="I80">
    <cfRule type="containsText" dxfId="405" priority="5" operator="containsText" text="Optional">
      <formula>NOT(ISERROR(SEARCH("Optional",I80)))</formula>
    </cfRule>
    <cfRule type="containsText" dxfId="404" priority="6" operator="containsText" text="Recommend">
      <formula>NOT(ISERROR(SEARCH("Recommend",I80)))</formula>
    </cfRule>
    <cfRule type="containsText" dxfId="403" priority="7" operator="containsText" text="Required">
      <formula>NOT(ISERROR(SEARCH("Required",I80)))</formula>
    </cfRule>
  </conditionalFormatting>
  <conditionalFormatting sqref="I87">
    <cfRule type="containsText" dxfId="402" priority="2" operator="containsText" text="Optional">
      <formula>NOT(ISERROR(SEARCH("Optional",I87)))</formula>
    </cfRule>
    <cfRule type="containsText" dxfId="401" priority="3" operator="containsText" text="Recommend">
      <formula>NOT(ISERROR(SEARCH("Recommend",I87)))</formula>
    </cfRule>
    <cfRule type="containsText" dxfId="400" priority="4" operator="containsText" text="Required">
      <formula>NOT(ISERROR(SEARCH("Required",I87)))</formula>
    </cfRule>
  </conditionalFormatting>
  <conditionalFormatting sqref="G3:I107">
    <cfRule type="containsText" dxfId="399" priority="1" operator="containsText" text="OVERRIDE">
      <formula>NOT(ISERROR(SEARCH("OVERRIDE",G3)))</formula>
    </cfRule>
  </conditionalFormatting>
  <dataValidations count="2">
    <dataValidation type="list" allowBlank="1" showInputMessage="1" showErrorMessage="1" sqref="Q3:Q107" xr:uid="{2B926587-0024-4D6F-9EAB-9005DAD71453}">
      <formula1>"Cyber Attack,Unauthorized Access to Systems or Data,Human Error,System Failure,Environmental Disaster"</formula1>
    </dataValidation>
    <dataValidation type="list" allowBlank="1" showInputMessage="1" showErrorMessage="1" sqref="G3:I107" xr:uid="{320B3E9F-1220-4281-87BD-5D28221494D5}">
      <formula1>"Required, Recommend, Optional, OVERRIDE"</formula1>
    </dataValidation>
  </dataValidations>
  <printOptions horizontalCentered="1" verticalCentered="1"/>
  <pageMargins left="0" right="0" top="0.25" bottom="0.25" header="0.3" footer="0.3"/>
  <pageSetup scale="24" fitToHeight="20"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6326-2B49-4036-93ED-8232B621FBD5}">
  <sheetPr>
    <tabColor theme="4"/>
    <pageSetUpPr fitToPage="1"/>
  </sheetPr>
  <dimension ref="A1:AK101"/>
  <sheetViews>
    <sheetView showGridLines="0" topLeftCell="A16" zoomScale="50" zoomScaleNormal="50" workbookViewId="0">
      <selection activeCell="U44" sqref="U44"/>
    </sheetView>
  </sheetViews>
  <sheetFormatPr baseColWidth="10" defaultColWidth="8.83203125" defaultRowHeight="16"/>
  <cols>
    <col min="2" max="2" width="7.6640625" customWidth="1"/>
    <col min="3" max="3" width="4.83203125" customWidth="1"/>
    <col min="4" max="4" width="27.83203125" customWidth="1"/>
    <col min="5" max="5" width="11.83203125" style="40" customWidth="1"/>
    <col min="6" max="6" width="7.83203125" customWidth="1"/>
    <col min="7" max="7" width="8.83203125" customWidth="1"/>
    <col min="8" max="8" width="23.33203125" bestFit="1" customWidth="1"/>
    <col min="9" max="12" width="13.5" style="40" customWidth="1"/>
    <col min="13" max="13" width="13.6640625" style="40" customWidth="1"/>
    <col min="14" max="14" width="13.5" customWidth="1"/>
    <col min="15" max="15" width="13.6640625" customWidth="1"/>
    <col min="16" max="22" width="13.5" customWidth="1"/>
    <col min="23" max="23" width="12.1640625" customWidth="1"/>
    <col min="24" max="24" width="20.1640625" bestFit="1" customWidth="1"/>
    <col min="25" max="25" width="12.1640625" bestFit="1" customWidth="1"/>
    <col min="26" max="27" width="10.6640625" customWidth="1"/>
    <col min="28" max="28" width="11.6640625" customWidth="1"/>
    <col min="29" max="29" width="10.6640625" customWidth="1"/>
    <col min="30" max="30" width="11.6640625" customWidth="1"/>
    <col min="31" max="31" width="20.1640625" customWidth="1"/>
  </cols>
  <sheetData>
    <row r="1" spans="1:32" ht="34.5" customHeight="1" thickBot="1">
      <c r="A1" s="632" t="s">
        <v>1557</v>
      </c>
      <c r="B1" s="632"/>
      <c r="C1" s="632"/>
      <c r="D1" s="632"/>
      <c r="E1" s="632"/>
      <c r="F1" s="632"/>
      <c r="G1" s="632"/>
      <c r="H1" s="632"/>
      <c r="I1" s="632"/>
      <c r="J1" s="632"/>
      <c r="K1" s="632"/>
      <c r="L1" s="632"/>
      <c r="M1" s="632"/>
      <c r="N1" s="632"/>
      <c r="O1" s="632"/>
      <c r="P1" s="632"/>
      <c r="Q1" s="632"/>
      <c r="R1" s="632"/>
      <c r="S1" s="632"/>
      <c r="T1" s="632"/>
      <c r="U1" s="632"/>
      <c r="V1" s="632"/>
      <c r="W1" s="632"/>
      <c r="X1" s="632"/>
      <c r="Y1" s="632"/>
      <c r="Z1" s="632"/>
      <c r="AA1" s="632"/>
      <c r="AB1" s="632"/>
      <c r="AC1" s="632"/>
      <c r="AD1" s="632"/>
      <c r="AE1" s="632"/>
      <c r="AF1" s="632"/>
    </row>
    <row r="2" spans="1:32">
      <c r="A2" s="765" t="s">
        <v>1460</v>
      </c>
      <c r="B2" s="164"/>
      <c r="C2" s="164"/>
      <c r="D2" s="164"/>
      <c r="E2" s="165"/>
      <c r="F2" s="164"/>
      <c r="G2" s="164"/>
      <c r="H2" s="164"/>
      <c r="I2" s="165"/>
      <c r="J2" s="165"/>
      <c r="K2" s="165"/>
      <c r="L2" s="165"/>
      <c r="M2" s="165"/>
      <c r="N2" s="164"/>
      <c r="O2" s="164"/>
      <c r="P2" s="164"/>
      <c r="Q2" s="164"/>
      <c r="R2" s="164"/>
      <c r="S2" s="164"/>
      <c r="T2" s="164"/>
      <c r="U2" s="164"/>
      <c r="V2" s="164"/>
      <c r="W2" s="164"/>
      <c r="X2" s="164"/>
      <c r="Y2" s="164"/>
      <c r="Z2" s="164"/>
      <c r="AA2" s="164"/>
      <c r="AB2" s="164"/>
      <c r="AC2" s="164"/>
      <c r="AD2" s="164"/>
      <c r="AE2" s="164"/>
      <c r="AF2" s="166"/>
    </row>
    <row r="3" spans="1:32" ht="16" customHeight="1">
      <c r="A3" s="766"/>
      <c r="B3" s="633" t="s">
        <v>1458</v>
      </c>
      <c r="C3" s="633"/>
      <c r="D3" s="633"/>
      <c r="E3" s="633"/>
      <c r="F3" s="105"/>
      <c r="G3" s="105"/>
      <c r="H3" s="105"/>
      <c r="I3" s="126"/>
      <c r="J3" s="126"/>
      <c r="K3" s="126"/>
      <c r="L3" s="126"/>
      <c r="M3" s="126"/>
      <c r="N3" s="105"/>
      <c r="O3" s="105"/>
      <c r="P3" s="105"/>
      <c r="Q3" s="105"/>
      <c r="R3" s="105"/>
      <c r="S3" s="105"/>
      <c r="T3" s="105"/>
      <c r="U3" s="105"/>
      <c r="V3" s="105"/>
      <c r="W3" s="105"/>
      <c r="X3" s="105"/>
      <c r="Y3" s="105"/>
      <c r="Z3" s="105"/>
      <c r="AA3" s="105"/>
      <c r="AB3" s="105"/>
      <c r="AC3" s="105"/>
      <c r="AD3" s="105"/>
      <c r="AE3" s="105"/>
      <c r="AF3" s="167"/>
    </row>
    <row r="4" spans="1:32" ht="15" customHeight="1">
      <c r="A4" s="766"/>
      <c r="B4" s="633"/>
      <c r="C4" s="633"/>
      <c r="D4" s="633"/>
      <c r="E4" s="633"/>
      <c r="F4" s="105"/>
      <c r="G4" s="105"/>
      <c r="H4" s="105"/>
      <c r="I4" s="126"/>
      <c r="J4" s="126"/>
      <c r="K4" s="126"/>
      <c r="L4" s="126"/>
      <c r="M4" s="126"/>
      <c r="N4" s="105"/>
      <c r="O4" s="105"/>
      <c r="P4" s="105"/>
      <c r="Q4" s="105"/>
      <c r="R4" s="105"/>
      <c r="S4" s="105"/>
      <c r="T4" s="105"/>
      <c r="U4" s="105"/>
      <c r="V4" s="105"/>
      <c r="W4" s="105"/>
      <c r="X4" s="105"/>
      <c r="Y4" s="105"/>
      <c r="Z4" s="105"/>
      <c r="AA4" s="105"/>
      <c r="AB4" s="105"/>
      <c r="AC4" s="105"/>
      <c r="AD4" s="105"/>
      <c r="AE4" s="105"/>
      <c r="AF4" s="167"/>
    </row>
    <row r="5" spans="1:32">
      <c r="A5" s="766"/>
      <c r="B5" s="633"/>
      <c r="C5" s="633"/>
      <c r="D5" s="633"/>
      <c r="E5" s="633"/>
      <c r="F5" s="105"/>
      <c r="G5" s="105"/>
      <c r="H5" s="105"/>
      <c r="I5" s="126"/>
      <c r="J5" s="126"/>
      <c r="K5" s="126"/>
      <c r="L5" s="126"/>
      <c r="M5" s="126"/>
      <c r="N5" s="105"/>
      <c r="O5" s="105"/>
      <c r="P5" s="105"/>
      <c r="Q5" s="105"/>
      <c r="R5" s="105"/>
      <c r="S5" s="105"/>
      <c r="T5" s="105"/>
      <c r="U5" s="105"/>
      <c r="V5" s="105"/>
      <c r="W5" s="105"/>
      <c r="X5" s="105"/>
      <c r="Y5" s="105"/>
      <c r="Z5" s="105"/>
      <c r="AA5" s="105"/>
      <c r="AB5" s="105"/>
      <c r="AC5" s="105"/>
      <c r="AD5" s="105"/>
      <c r="AE5" s="105"/>
      <c r="AF5" s="167"/>
    </row>
    <row r="6" spans="1:32" ht="16" customHeight="1">
      <c r="A6" s="766"/>
      <c r="B6" s="168"/>
      <c r="C6" s="168"/>
      <c r="D6" s="168"/>
      <c r="E6" s="168"/>
      <c r="F6" s="105"/>
      <c r="G6" s="105"/>
      <c r="H6" s="105"/>
      <c r="I6" s="126"/>
      <c r="J6" s="126"/>
      <c r="K6" s="126"/>
      <c r="L6" s="126"/>
      <c r="M6" s="126"/>
      <c r="N6" s="105"/>
      <c r="O6" s="105"/>
      <c r="P6" s="105"/>
      <c r="Q6" s="105"/>
      <c r="R6" s="105"/>
      <c r="S6" s="105"/>
      <c r="T6" s="105"/>
      <c r="U6" s="105"/>
      <c r="V6" s="105"/>
      <c r="W6" s="105"/>
      <c r="X6" s="105"/>
      <c r="Y6" s="105"/>
      <c r="Z6" s="105"/>
      <c r="AA6" s="105"/>
      <c r="AB6" s="105"/>
      <c r="AC6" s="105"/>
      <c r="AD6" s="105"/>
      <c r="AE6" s="105"/>
      <c r="AF6" s="167"/>
    </row>
    <row r="7" spans="1:32" ht="17" thickBot="1">
      <c r="A7" s="766"/>
      <c r="B7" s="105"/>
      <c r="C7" s="635"/>
      <c r="D7" s="635"/>
      <c r="E7" s="635"/>
      <c r="F7" s="105"/>
      <c r="G7" s="105"/>
      <c r="H7" s="105"/>
      <c r="I7" s="126"/>
      <c r="J7" s="126"/>
      <c r="K7" s="126"/>
      <c r="L7" s="126"/>
      <c r="M7" s="126"/>
      <c r="N7" s="105"/>
      <c r="O7" s="105"/>
      <c r="P7" s="105"/>
      <c r="Q7" s="105"/>
      <c r="R7" s="105"/>
      <c r="S7" s="105"/>
      <c r="T7" s="105"/>
      <c r="U7" s="105"/>
      <c r="V7" s="105"/>
      <c r="W7" s="105"/>
      <c r="X7" s="105"/>
      <c r="Y7" s="105"/>
      <c r="Z7" s="105"/>
      <c r="AA7" s="105"/>
      <c r="AB7" s="105"/>
      <c r="AC7" s="105"/>
      <c r="AD7" s="105"/>
      <c r="AE7" s="105"/>
      <c r="AF7" s="167"/>
    </row>
    <row r="8" spans="1:32" ht="17" customHeight="1" thickTop="1">
      <c r="A8" s="766"/>
      <c r="B8" s="768" t="s">
        <v>1469</v>
      </c>
      <c r="C8" s="639"/>
      <c r="D8" s="79" t="s">
        <v>1298</v>
      </c>
      <c r="E8" s="77" t="s">
        <v>1343</v>
      </c>
      <c r="F8" s="105"/>
      <c r="G8" s="633" t="s">
        <v>1462</v>
      </c>
      <c r="H8" s="633"/>
      <c r="I8" s="633"/>
      <c r="J8" s="633"/>
      <c r="K8" s="633"/>
      <c r="L8" s="633"/>
      <c r="M8" s="633"/>
      <c r="N8" s="105"/>
      <c r="O8" s="105"/>
      <c r="P8" s="731" t="s">
        <v>1472</v>
      </c>
      <c r="Q8" s="732"/>
      <c r="R8" s="732"/>
      <c r="S8" s="732"/>
      <c r="T8" s="732"/>
      <c r="U8" s="732"/>
      <c r="V8" s="733"/>
      <c r="W8" s="105"/>
      <c r="X8" s="105"/>
      <c r="Y8" s="105"/>
      <c r="Z8" s="105"/>
      <c r="AA8" s="105"/>
      <c r="AB8" s="105"/>
      <c r="AC8" s="105"/>
      <c r="AD8" s="105"/>
      <c r="AE8" s="105"/>
      <c r="AF8" s="167"/>
    </row>
    <row r="9" spans="1:32" ht="16" customHeight="1">
      <c r="A9" s="766"/>
      <c r="B9" s="768"/>
      <c r="C9" s="640"/>
      <c r="D9" s="80" t="s">
        <v>1307</v>
      </c>
      <c r="E9" s="300">
        <v>0</v>
      </c>
      <c r="F9" s="105"/>
      <c r="G9" s="633"/>
      <c r="H9" s="633"/>
      <c r="I9" s="633"/>
      <c r="J9" s="633"/>
      <c r="K9" s="633"/>
      <c r="L9" s="633"/>
      <c r="M9" s="633"/>
      <c r="N9" s="105"/>
      <c r="O9" s="105"/>
      <c r="P9" s="734"/>
      <c r="Q9" s="735"/>
      <c r="R9" s="735"/>
      <c r="S9" s="735"/>
      <c r="T9" s="735"/>
      <c r="U9" s="735"/>
      <c r="V9" s="736"/>
      <c r="W9" s="105"/>
      <c r="X9" s="105"/>
      <c r="Y9" s="105"/>
      <c r="Z9" s="105"/>
      <c r="AA9" s="105"/>
      <c r="AB9" s="105"/>
      <c r="AC9" s="105"/>
      <c r="AD9" s="105"/>
      <c r="AE9" s="105"/>
      <c r="AF9" s="167"/>
    </row>
    <row r="10" spans="1:32" ht="16" customHeight="1">
      <c r="A10" s="766"/>
      <c r="B10" s="768"/>
      <c r="C10" s="640"/>
      <c r="D10" s="80" t="s">
        <v>1302</v>
      </c>
      <c r="E10" s="300">
        <v>1</v>
      </c>
      <c r="F10" s="105"/>
      <c r="G10" s="633"/>
      <c r="H10" s="633"/>
      <c r="I10" s="633"/>
      <c r="J10" s="633"/>
      <c r="K10" s="633"/>
      <c r="L10" s="633"/>
      <c r="M10" s="633"/>
      <c r="N10" s="105"/>
      <c r="O10" s="105"/>
      <c r="P10" s="734"/>
      <c r="Q10" s="735"/>
      <c r="R10" s="735"/>
      <c r="S10" s="735"/>
      <c r="T10" s="735"/>
      <c r="U10" s="735"/>
      <c r="V10" s="736"/>
      <c r="W10" s="105"/>
      <c r="X10" s="105"/>
      <c r="Y10" s="105"/>
      <c r="Z10" s="105"/>
      <c r="AA10" s="105"/>
      <c r="AB10" s="105"/>
      <c r="AC10" s="105"/>
      <c r="AD10" s="105"/>
      <c r="AE10" s="105"/>
      <c r="AF10" s="167"/>
    </row>
    <row r="11" spans="1:32" ht="16" customHeight="1">
      <c r="A11" s="766"/>
      <c r="B11" s="768"/>
      <c r="C11" s="640"/>
      <c r="D11" s="80" t="s">
        <v>1381</v>
      </c>
      <c r="E11" s="300">
        <v>2</v>
      </c>
      <c r="F11" s="105"/>
      <c r="G11" s="105"/>
      <c r="H11" s="105"/>
      <c r="I11" s="126"/>
      <c r="J11" s="126"/>
      <c r="K11" s="126"/>
      <c r="L11" s="126"/>
      <c r="M11" s="126"/>
      <c r="N11" s="105"/>
      <c r="O11" s="105"/>
      <c r="P11" s="183"/>
      <c r="Q11" s="105"/>
      <c r="R11" s="105"/>
      <c r="S11" s="105"/>
      <c r="T11" s="105"/>
      <c r="U11" s="105"/>
      <c r="V11" s="184"/>
      <c r="W11" s="126"/>
      <c r="X11" s="105"/>
      <c r="Y11" s="105"/>
      <c r="Z11" s="105"/>
      <c r="AA11" s="105"/>
      <c r="AB11" s="105"/>
      <c r="AC11" s="105"/>
      <c r="AD11" s="126"/>
      <c r="AE11" s="126"/>
      <c r="AF11" s="169"/>
    </row>
    <row r="12" spans="1:32" ht="16" customHeight="1" thickBot="1">
      <c r="A12" s="766"/>
      <c r="B12" s="768"/>
      <c r="C12" s="640"/>
      <c r="D12" s="80" t="s">
        <v>1380</v>
      </c>
      <c r="E12" s="300">
        <v>3</v>
      </c>
      <c r="F12" s="105"/>
      <c r="G12" s="635" t="s">
        <v>1315</v>
      </c>
      <c r="H12" s="635"/>
      <c r="I12" s="635"/>
      <c r="J12" s="635"/>
      <c r="K12" s="635"/>
      <c r="L12" s="635"/>
      <c r="M12" s="635"/>
      <c r="N12" s="105"/>
      <c r="O12" s="105"/>
      <c r="P12" s="659" t="s">
        <v>1402</v>
      </c>
      <c r="Q12" s="635"/>
      <c r="R12" s="635"/>
      <c r="S12" s="635"/>
      <c r="T12" s="635"/>
      <c r="U12" s="635"/>
      <c r="V12" s="660"/>
      <c r="W12" s="105"/>
      <c r="X12" s="105"/>
      <c r="Y12" s="105"/>
      <c r="Z12" s="105"/>
      <c r="AA12" s="105"/>
      <c r="AB12" s="105"/>
      <c r="AC12" s="105"/>
      <c r="AD12" s="105"/>
      <c r="AE12" s="105"/>
      <c r="AF12" s="167"/>
    </row>
    <row r="13" spans="1:32" ht="17" thickBot="1">
      <c r="A13" s="766"/>
      <c r="B13" s="768"/>
      <c r="C13" s="640"/>
      <c r="D13" s="81" t="s">
        <v>1379</v>
      </c>
      <c r="E13" s="301">
        <v>4</v>
      </c>
      <c r="F13" s="105"/>
      <c r="G13" s="652"/>
      <c r="H13" s="653"/>
      <c r="I13" s="646" t="s">
        <v>1314</v>
      </c>
      <c r="J13" s="647"/>
      <c r="K13" s="647"/>
      <c r="L13" s="647"/>
      <c r="M13" s="648"/>
      <c r="N13" s="105"/>
      <c r="O13" s="105"/>
      <c r="P13" s="670" t="s">
        <v>1360</v>
      </c>
      <c r="Q13" s="671"/>
      <c r="R13" s="112" t="s">
        <v>1361</v>
      </c>
      <c r="S13" s="662" t="s">
        <v>1362</v>
      </c>
      <c r="T13" s="662"/>
      <c r="U13" s="662" t="s">
        <v>1391</v>
      </c>
      <c r="V13" s="669"/>
      <c r="W13" s="170"/>
      <c r="X13" s="105"/>
      <c r="Y13" s="105"/>
      <c r="Z13" s="105"/>
      <c r="AA13" s="105"/>
      <c r="AB13" s="105"/>
      <c r="AC13" s="105"/>
      <c r="AD13" s="105"/>
      <c r="AE13" s="105"/>
      <c r="AF13" s="167"/>
    </row>
    <row r="14" spans="1:32">
      <c r="A14" s="766"/>
      <c r="B14" s="768"/>
      <c r="C14" s="640"/>
      <c r="D14" s="636"/>
      <c r="E14" s="636"/>
      <c r="F14" s="105"/>
      <c r="G14" s="654"/>
      <c r="H14" s="655"/>
      <c r="I14" s="152" t="s">
        <v>1349</v>
      </c>
      <c r="J14" s="85" t="s">
        <v>1306</v>
      </c>
      <c r="K14" s="85" t="s">
        <v>1305</v>
      </c>
      <c r="L14" s="85" t="s">
        <v>1304</v>
      </c>
      <c r="M14" s="153" t="s">
        <v>1303</v>
      </c>
      <c r="N14" s="105"/>
      <c r="O14" s="105"/>
      <c r="P14" s="672" t="str">
        <f>CONCATENATE(LEFT('VENDOR QUESTIONNAIRE'!F28,2),"-",LEFT('VENDOR QUESTIONNAIRE'!J28,2))</f>
        <v>-</v>
      </c>
      <c r="Q14" s="673"/>
      <c r="R14" s="147">
        <f>VLOOKUP(P14,'Risk Calc'!J80:K96,2,FALSE)</f>
        <v>0</v>
      </c>
      <c r="S14" s="663">
        <f>_xlfn.AGGREGATE(4,6,R14:R18)</f>
        <v>0</v>
      </c>
      <c r="T14" s="663"/>
      <c r="U14" s="665" t="str">
        <f>IF(AND(S14&gt;0,S14&lt;='Risk Calc'!J22),"Low",IF(AND(S14&gt;='Risk Calc'!J23,S14&lt;='Risk Calc'!J24),"Medium",IF(S14&gt;='Risk Calc'!J25,"High","Unknown")))</f>
        <v>Unknown</v>
      </c>
      <c r="V14" s="666"/>
      <c r="W14" s="170"/>
      <c r="X14" s="105"/>
      <c r="Y14" s="105"/>
      <c r="Z14" s="105"/>
      <c r="AA14" s="105"/>
      <c r="AB14" s="105"/>
      <c r="AC14" s="105"/>
      <c r="AD14" s="105"/>
      <c r="AE14" s="105"/>
      <c r="AF14" s="167"/>
    </row>
    <row r="15" spans="1:32" ht="16" customHeight="1">
      <c r="A15" s="766"/>
      <c r="B15" s="768"/>
      <c r="C15" s="640"/>
      <c r="D15" s="637"/>
      <c r="E15" s="637"/>
      <c r="F15" s="105"/>
      <c r="G15" s="649" t="s">
        <v>1298</v>
      </c>
      <c r="H15" s="149" t="s">
        <v>1349</v>
      </c>
      <c r="I15" s="72">
        <f>SUM(E9)</f>
        <v>0</v>
      </c>
      <c r="J15" s="72">
        <f>SUM(E19)</f>
        <v>1</v>
      </c>
      <c r="K15" s="72">
        <f>SUM(E20)</f>
        <v>2</v>
      </c>
      <c r="L15" s="72">
        <f>SUM(E21)</f>
        <v>3</v>
      </c>
      <c r="M15" s="74">
        <f>SUM(E22)</f>
        <v>4</v>
      </c>
      <c r="N15" s="105"/>
      <c r="O15" s="105"/>
      <c r="P15" s="672" t="str">
        <f>CONCATENATE(LEFT('VENDOR QUESTIONNAIRE'!F29,2),"-",LEFT('VENDOR QUESTIONNAIRE'!J29,2))</f>
        <v>-</v>
      </c>
      <c r="Q15" s="673"/>
      <c r="R15" s="147" t="e">
        <f>VLOOKUP(P15,'Risk Calc'!J81:K97,2,FALSE)</f>
        <v>#N/A</v>
      </c>
      <c r="S15" s="663"/>
      <c r="T15" s="663"/>
      <c r="U15" s="665"/>
      <c r="V15" s="666"/>
      <c r="W15" s="170"/>
      <c r="X15" s="105"/>
      <c r="Y15" s="105"/>
      <c r="Z15" s="105"/>
      <c r="AA15" s="105"/>
      <c r="AB15" s="105"/>
      <c r="AC15" s="105"/>
      <c r="AD15" s="105"/>
      <c r="AE15" s="105"/>
      <c r="AF15" s="167"/>
    </row>
    <row r="16" spans="1:32" ht="17" thickBot="1">
      <c r="A16" s="766"/>
      <c r="B16" s="768"/>
      <c r="C16" s="640"/>
      <c r="D16" s="638"/>
      <c r="E16" s="638"/>
      <c r="F16" s="105"/>
      <c r="G16" s="650"/>
      <c r="H16" s="150" t="s">
        <v>1302</v>
      </c>
      <c r="I16" s="72">
        <f>SUM(E10)</f>
        <v>1</v>
      </c>
      <c r="J16" s="99">
        <f>SUM(J15*I16)</f>
        <v>1</v>
      </c>
      <c r="K16" s="99">
        <f>SUM(K15*J16)</f>
        <v>2</v>
      </c>
      <c r="L16" s="99">
        <f>SUM(L15*I16)</f>
        <v>3</v>
      </c>
      <c r="M16" s="100">
        <f>SUM(M15*I16)</f>
        <v>4</v>
      </c>
      <c r="N16" s="105"/>
      <c r="O16" s="105"/>
      <c r="P16" s="672" t="str">
        <f>CONCATENATE(LEFT('VENDOR QUESTIONNAIRE'!F30,2),"-",LEFT('VENDOR QUESTIONNAIRE'!J30,2))</f>
        <v>-</v>
      </c>
      <c r="Q16" s="673"/>
      <c r="R16" s="147" t="e">
        <f>VLOOKUP(P16,'Risk Calc'!J82:K98,2,FALSE)</f>
        <v>#N/A</v>
      </c>
      <c r="S16" s="663"/>
      <c r="T16" s="663"/>
      <c r="U16" s="665"/>
      <c r="V16" s="666"/>
      <c r="W16" s="105"/>
      <c r="X16" s="105"/>
      <c r="Y16" s="105"/>
      <c r="Z16" s="105"/>
      <c r="AA16" s="105"/>
      <c r="AB16" s="105"/>
      <c r="AC16" s="105"/>
      <c r="AD16" s="105"/>
      <c r="AE16" s="105"/>
      <c r="AF16" s="167"/>
    </row>
    <row r="17" spans="1:37">
      <c r="A17" s="766"/>
      <c r="B17" s="768"/>
      <c r="C17" s="640"/>
      <c r="D17" s="79" t="s">
        <v>1316</v>
      </c>
      <c r="E17" s="77" t="s">
        <v>1343</v>
      </c>
      <c r="F17" s="105"/>
      <c r="G17" s="650"/>
      <c r="H17" s="150" t="s">
        <v>1381</v>
      </c>
      <c r="I17" s="72">
        <f>SUM(E11)</f>
        <v>2</v>
      </c>
      <c r="J17" s="99">
        <f>SUM(J15*I17)</f>
        <v>2</v>
      </c>
      <c r="K17" s="99">
        <f>SUM(K15*I17)</f>
        <v>4</v>
      </c>
      <c r="L17" s="99">
        <f>SUM(L15*I17)</f>
        <v>6</v>
      </c>
      <c r="M17" s="100">
        <f>SUM(M15*I17)</f>
        <v>8</v>
      </c>
      <c r="N17" s="105"/>
      <c r="O17" s="105"/>
      <c r="P17" s="672" t="str">
        <f>CONCATENATE(LEFT('VENDOR QUESTIONNAIRE'!F31,2),"-",LEFT('VENDOR QUESTIONNAIRE'!J31,2))</f>
        <v>-</v>
      </c>
      <c r="Q17" s="673"/>
      <c r="R17" s="147" t="e">
        <f>VLOOKUP(P17,'Risk Calc'!J83:K99,2,FALSE)</f>
        <v>#N/A</v>
      </c>
      <c r="S17" s="663"/>
      <c r="T17" s="663"/>
      <c r="U17" s="665"/>
      <c r="V17" s="666"/>
      <c r="W17" s="170"/>
      <c r="X17" s="105"/>
      <c r="Y17" s="105"/>
      <c r="Z17" s="105"/>
      <c r="AA17" s="105"/>
      <c r="AB17" s="105"/>
      <c r="AC17" s="105"/>
      <c r="AD17" s="105"/>
      <c r="AE17" s="105"/>
      <c r="AF17" s="167"/>
    </row>
    <row r="18" spans="1:37" ht="17" thickBot="1">
      <c r="A18" s="766"/>
      <c r="B18" s="768"/>
      <c r="C18" s="640"/>
      <c r="D18" s="80" t="s">
        <v>1307</v>
      </c>
      <c r="E18" s="300">
        <v>0</v>
      </c>
      <c r="F18" s="105"/>
      <c r="G18" s="650"/>
      <c r="H18" s="150" t="s">
        <v>1380</v>
      </c>
      <c r="I18" s="72">
        <f>SUM(E12)</f>
        <v>3</v>
      </c>
      <c r="J18" s="99">
        <f>SUM(J15*I18)</f>
        <v>3</v>
      </c>
      <c r="K18" s="99">
        <f>SUM(K15*I18)</f>
        <v>6</v>
      </c>
      <c r="L18" s="99">
        <f>SUM(L15*I18)</f>
        <v>9</v>
      </c>
      <c r="M18" s="100">
        <f>SUM(M15*I18)</f>
        <v>12</v>
      </c>
      <c r="N18" s="105"/>
      <c r="O18" s="105"/>
      <c r="P18" s="701" t="str">
        <f>CONCATENATE(LEFT('VENDOR QUESTIONNAIRE'!F32,2),"-",LEFT('VENDOR QUESTIONNAIRE'!J32,2))</f>
        <v>-</v>
      </c>
      <c r="Q18" s="702"/>
      <c r="R18" s="186" t="e">
        <f>VLOOKUP(P18,'Risk Calc'!J84:K100,2,FALSE)</f>
        <v>#N/A</v>
      </c>
      <c r="S18" s="664"/>
      <c r="T18" s="664"/>
      <c r="U18" s="667"/>
      <c r="V18" s="668"/>
      <c r="W18" s="170"/>
      <c r="X18" s="105"/>
      <c r="Y18" s="105"/>
      <c r="Z18" s="105"/>
      <c r="AA18" s="105"/>
      <c r="AB18" s="105"/>
      <c r="AC18" s="105"/>
      <c r="AD18" s="105"/>
      <c r="AE18" s="105"/>
      <c r="AF18" s="167"/>
    </row>
    <row r="19" spans="1:37" ht="18" thickTop="1" thickBot="1">
      <c r="A19" s="766"/>
      <c r="B19" s="768"/>
      <c r="C19" s="640"/>
      <c r="D19" s="80" t="s">
        <v>1306</v>
      </c>
      <c r="E19" s="300">
        <v>1</v>
      </c>
      <c r="F19" s="105"/>
      <c r="G19" s="651"/>
      <c r="H19" s="151" t="s">
        <v>1379</v>
      </c>
      <c r="I19" s="73">
        <f>SUM(E13)</f>
        <v>4</v>
      </c>
      <c r="J19" s="101">
        <f>SUM(J15*I19)</f>
        <v>4</v>
      </c>
      <c r="K19" s="101">
        <f>SUM(K15*I19)</f>
        <v>8</v>
      </c>
      <c r="L19" s="101">
        <f>SUM(L15*I19)</f>
        <v>12</v>
      </c>
      <c r="M19" s="102">
        <f>SUM(M15*I19)</f>
        <v>16</v>
      </c>
      <c r="N19" s="105"/>
      <c r="O19" s="105"/>
      <c r="P19" s="105"/>
      <c r="Q19" s="105"/>
      <c r="R19" s="105"/>
      <c r="S19" s="105"/>
      <c r="T19" s="105"/>
      <c r="U19" s="105"/>
      <c r="V19" s="105"/>
      <c r="W19" s="170"/>
      <c r="X19" s="105"/>
      <c r="Y19" s="105"/>
      <c r="Z19" s="105"/>
      <c r="AA19" s="105"/>
      <c r="AB19" s="105"/>
      <c r="AC19" s="105"/>
      <c r="AD19" s="105"/>
      <c r="AE19" s="105"/>
      <c r="AF19" s="167"/>
    </row>
    <row r="20" spans="1:37" ht="17" thickBot="1">
      <c r="A20" s="766"/>
      <c r="B20" s="768"/>
      <c r="C20" s="640"/>
      <c r="D20" s="80" t="s">
        <v>1305</v>
      </c>
      <c r="E20" s="300">
        <v>2</v>
      </c>
      <c r="F20" s="105"/>
      <c r="G20" s="105"/>
      <c r="H20" s="105"/>
      <c r="I20" s="126"/>
      <c r="J20" s="126"/>
      <c r="K20" s="126"/>
      <c r="L20" s="126"/>
      <c r="M20" s="126"/>
      <c r="N20" s="105"/>
      <c r="O20" s="105"/>
      <c r="P20" s="105"/>
      <c r="Q20" s="105"/>
      <c r="R20" s="105"/>
      <c r="S20" s="105"/>
      <c r="T20" s="105"/>
      <c r="U20" s="105"/>
      <c r="V20" s="105"/>
      <c r="W20" s="170"/>
      <c r="X20" s="105"/>
      <c r="Y20" s="105"/>
      <c r="Z20" s="105"/>
      <c r="AA20" s="105"/>
      <c r="AB20" s="105"/>
      <c r="AC20" s="105"/>
      <c r="AD20" s="105"/>
      <c r="AE20" s="105"/>
      <c r="AF20" s="167"/>
    </row>
    <row r="21" spans="1:37">
      <c r="A21" s="766"/>
      <c r="B21" s="768"/>
      <c r="C21" s="640"/>
      <c r="D21" s="80" t="s">
        <v>1304</v>
      </c>
      <c r="E21" s="300">
        <v>3</v>
      </c>
      <c r="F21" s="105"/>
      <c r="G21" s="105"/>
      <c r="H21" s="658" t="s">
        <v>1454</v>
      </c>
      <c r="I21" s="644"/>
      <c r="J21" s="645"/>
      <c r="K21" s="763" t="s">
        <v>1465</v>
      </c>
      <c r="L21" s="764"/>
      <c r="M21" s="764"/>
      <c r="N21" s="105"/>
      <c r="O21" s="105"/>
      <c r="P21" s="105"/>
      <c r="Q21" s="105"/>
      <c r="R21" s="105"/>
      <c r="S21" s="105"/>
      <c r="T21" s="105"/>
      <c r="U21" s="105"/>
      <c r="V21" s="105"/>
      <c r="W21" s="105"/>
      <c r="X21" s="105"/>
      <c r="Y21" s="105"/>
      <c r="Z21" s="105"/>
      <c r="AA21" s="105"/>
      <c r="AB21" s="105"/>
      <c r="AC21" s="105"/>
      <c r="AD21" s="105"/>
      <c r="AE21" s="105"/>
      <c r="AF21" s="167"/>
    </row>
    <row r="22" spans="1:37" ht="17" customHeight="1" thickBot="1">
      <c r="A22" s="766"/>
      <c r="B22" s="768"/>
      <c r="C22" s="641"/>
      <c r="D22" s="81" t="s">
        <v>1303</v>
      </c>
      <c r="E22" s="301">
        <v>4</v>
      </c>
      <c r="F22" s="105"/>
      <c r="G22" s="105"/>
      <c r="H22" s="98" t="s">
        <v>1387</v>
      </c>
      <c r="I22" s="95" t="s">
        <v>1340</v>
      </c>
      <c r="J22" s="302">
        <v>3</v>
      </c>
      <c r="K22" s="763"/>
      <c r="L22" s="764"/>
      <c r="M22" s="764"/>
      <c r="N22" s="171"/>
      <c r="O22" s="105"/>
      <c r="P22" s="105"/>
      <c r="Q22" s="105"/>
      <c r="R22" s="105"/>
      <c r="S22" s="105"/>
      <c r="T22" s="105"/>
      <c r="U22" s="105"/>
      <c r="V22" s="105"/>
      <c r="W22" s="105"/>
      <c r="X22" s="105"/>
      <c r="Y22" s="105"/>
      <c r="Z22" s="105"/>
      <c r="AA22" s="105"/>
      <c r="AB22" s="105"/>
      <c r="AC22" s="105"/>
      <c r="AD22" s="105"/>
      <c r="AE22" s="105"/>
      <c r="AF22" s="167"/>
    </row>
    <row r="23" spans="1:37" ht="16" customHeight="1">
      <c r="A23" s="766"/>
      <c r="B23" s="105"/>
      <c r="C23" s="105"/>
      <c r="D23" s="105"/>
      <c r="E23" s="126"/>
      <c r="F23" s="105"/>
      <c r="G23" s="105"/>
      <c r="H23" s="656" t="s">
        <v>1398</v>
      </c>
      <c r="I23" s="96" t="s">
        <v>1341</v>
      </c>
      <c r="J23" s="303">
        <v>4</v>
      </c>
      <c r="K23" s="763"/>
      <c r="L23" s="764"/>
      <c r="M23" s="764"/>
      <c r="N23" s="105"/>
      <c r="O23" s="105"/>
      <c r="P23" s="105"/>
      <c r="Q23" s="105"/>
      <c r="R23" s="105"/>
      <c r="S23" s="105"/>
      <c r="T23" s="105"/>
      <c r="U23" s="105"/>
      <c r="V23" s="105"/>
      <c r="W23" s="105"/>
      <c r="X23" s="105"/>
      <c r="Y23" s="105"/>
      <c r="Z23" s="105"/>
      <c r="AA23" s="105"/>
      <c r="AB23" s="105"/>
      <c r="AC23" s="105"/>
      <c r="AD23" s="105"/>
      <c r="AE23" s="105"/>
      <c r="AF23" s="167"/>
    </row>
    <row r="24" spans="1:37" ht="16" customHeight="1">
      <c r="A24" s="766"/>
      <c r="B24" s="105"/>
      <c r="C24" s="105"/>
      <c r="D24" s="172" t="s">
        <v>1459</v>
      </c>
      <c r="E24" s="126"/>
      <c r="F24" s="105"/>
      <c r="G24" s="105"/>
      <c r="H24" s="657"/>
      <c r="I24" s="97" t="s">
        <v>1340</v>
      </c>
      <c r="J24" s="304">
        <v>7</v>
      </c>
      <c r="K24" s="763"/>
      <c r="L24" s="764"/>
      <c r="M24" s="764"/>
      <c r="N24" s="105"/>
      <c r="O24" s="105"/>
      <c r="P24" s="105"/>
      <c r="Q24" s="105"/>
      <c r="R24" s="105"/>
      <c r="S24" s="105"/>
      <c r="T24" s="105"/>
      <c r="U24" s="105"/>
      <c r="V24" s="105"/>
      <c r="W24" s="105"/>
      <c r="X24" s="105"/>
      <c r="Y24" s="105"/>
      <c r="Z24" s="105"/>
      <c r="AA24" s="105"/>
      <c r="AB24" s="105"/>
      <c r="AC24" s="105"/>
      <c r="AD24" s="105"/>
      <c r="AE24" s="105"/>
      <c r="AF24" s="167"/>
    </row>
    <row r="25" spans="1:37" ht="16" customHeight="1" thickBot="1">
      <c r="A25" s="766"/>
      <c r="B25" s="105"/>
      <c r="C25" s="105"/>
      <c r="D25" s="172"/>
      <c r="E25" s="126"/>
      <c r="F25" s="105"/>
      <c r="G25" s="105"/>
      <c r="H25" s="93" t="s">
        <v>1388</v>
      </c>
      <c r="I25" s="94" t="s">
        <v>1341</v>
      </c>
      <c r="J25" s="305">
        <v>8</v>
      </c>
      <c r="K25" s="763"/>
      <c r="L25" s="764"/>
      <c r="M25" s="764"/>
      <c r="N25" s="105"/>
      <c r="O25" s="105"/>
      <c r="P25" s="105"/>
      <c r="Q25" s="105"/>
      <c r="R25" s="105"/>
      <c r="S25" s="105"/>
      <c r="T25" s="105"/>
      <c r="U25" s="105"/>
      <c r="V25" s="105"/>
      <c r="W25" s="105"/>
      <c r="X25" s="105"/>
      <c r="Y25" s="105"/>
      <c r="Z25" s="105"/>
      <c r="AA25" s="105"/>
      <c r="AB25" s="105"/>
      <c r="AC25" s="105"/>
      <c r="AD25" s="105"/>
      <c r="AE25" s="105"/>
      <c r="AF25" s="167"/>
    </row>
    <row r="26" spans="1:37" ht="16" customHeight="1" thickBot="1">
      <c r="A26" s="767"/>
      <c r="B26" s="173"/>
      <c r="C26" s="173"/>
      <c r="D26" s="173"/>
      <c r="E26" s="174"/>
      <c r="F26" s="173"/>
      <c r="G26" s="173"/>
      <c r="H26" s="173"/>
      <c r="I26" s="174"/>
      <c r="J26" s="174"/>
      <c r="K26" s="174"/>
      <c r="L26" s="174"/>
      <c r="M26" s="174"/>
      <c r="N26" s="173"/>
      <c r="O26" s="173"/>
      <c r="P26" s="173"/>
      <c r="Q26" s="173"/>
      <c r="R26" s="173"/>
      <c r="S26" s="173"/>
      <c r="T26" s="173"/>
      <c r="U26" s="173"/>
      <c r="V26" s="173"/>
      <c r="W26" s="173"/>
      <c r="X26" s="173"/>
      <c r="Y26" s="173"/>
      <c r="Z26" s="173"/>
      <c r="AA26" s="173"/>
      <c r="AB26" s="173"/>
      <c r="AC26" s="173"/>
      <c r="AD26" s="173"/>
      <c r="AE26" s="173"/>
      <c r="AF26" s="175"/>
    </row>
    <row r="27" spans="1:37" ht="16" customHeight="1" thickBot="1">
      <c r="E27" s="113"/>
      <c r="I27" s="113"/>
      <c r="J27" s="113"/>
      <c r="K27" s="113"/>
      <c r="L27" s="113"/>
      <c r="M27" s="113"/>
    </row>
    <row r="28" spans="1:37" ht="16" customHeight="1">
      <c r="A28" s="765" t="s">
        <v>1461</v>
      </c>
      <c r="B28" s="164"/>
      <c r="C28" s="164"/>
      <c r="D28" s="164"/>
      <c r="E28" s="165"/>
      <c r="F28" s="164"/>
      <c r="G28" s="164"/>
      <c r="H28" s="164"/>
      <c r="I28" s="165"/>
      <c r="J28" s="165"/>
      <c r="K28" s="165"/>
      <c r="L28" s="165"/>
      <c r="M28" s="165"/>
      <c r="N28" s="164"/>
      <c r="O28" s="164"/>
      <c r="P28" s="164"/>
      <c r="Q28" s="164"/>
      <c r="R28" s="164"/>
      <c r="S28" s="164"/>
      <c r="T28" s="164"/>
      <c r="U28" s="164"/>
      <c r="V28" s="164"/>
      <c r="W28" s="164"/>
      <c r="X28" s="164"/>
      <c r="Y28" s="164"/>
      <c r="Z28" s="164"/>
      <c r="AA28" s="164"/>
      <c r="AB28" s="164"/>
      <c r="AC28" s="164"/>
      <c r="AD28" s="164"/>
      <c r="AE28" s="164"/>
      <c r="AF28" s="166"/>
    </row>
    <row r="29" spans="1:37" s="82" customFormat="1" ht="21" customHeight="1">
      <c r="A29" s="766"/>
      <c r="B29" s="633" t="s">
        <v>1467</v>
      </c>
      <c r="C29" s="633"/>
      <c r="D29" s="633"/>
      <c r="E29" s="633"/>
      <c r="F29" s="171"/>
      <c r="G29" s="171"/>
      <c r="H29" s="171"/>
      <c r="I29" s="171"/>
      <c r="J29" s="171"/>
      <c r="K29" s="171"/>
      <c r="L29" s="171"/>
      <c r="M29" s="171"/>
      <c r="N29" s="171"/>
      <c r="O29" s="171"/>
      <c r="P29" s="171"/>
      <c r="Q29" s="171"/>
      <c r="R29" s="171"/>
      <c r="S29" s="171"/>
      <c r="T29" s="171"/>
      <c r="U29" s="171"/>
      <c r="V29" s="171"/>
      <c r="W29" s="105"/>
      <c r="X29" s="105"/>
      <c r="Y29" s="105"/>
      <c r="Z29" s="105"/>
      <c r="AA29" s="105"/>
      <c r="AB29" s="105"/>
      <c r="AC29" s="105"/>
      <c r="AD29" s="171"/>
      <c r="AE29" s="105"/>
      <c r="AF29" s="167"/>
      <c r="AG29"/>
      <c r="AH29"/>
      <c r="AI29"/>
      <c r="AJ29"/>
      <c r="AK29"/>
    </row>
    <row r="30" spans="1:37">
      <c r="A30" s="766"/>
      <c r="B30" s="633"/>
      <c r="C30" s="633"/>
      <c r="D30" s="633"/>
      <c r="E30" s="633"/>
      <c r="F30" s="105"/>
      <c r="G30" s="105"/>
      <c r="H30" s="105"/>
      <c r="I30" s="126"/>
      <c r="J30" s="126"/>
      <c r="K30" s="126"/>
      <c r="L30" s="126"/>
      <c r="M30" s="126"/>
      <c r="N30" s="105"/>
      <c r="O30" s="105"/>
      <c r="P30" s="105"/>
      <c r="Q30" s="105"/>
      <c r="R30" s="105"/>
      <c r="S30" s="105"/>
      <c r="T30" s="105"/>
      <c r="U30" s="105"/>
      <c r="V30" s="105"/>
      <c r="W30" s="105"/>
      <c r="X30" s="105"/>
      <c r="Y30" s="105"/>
      <c r="Z30" s="105"/>
      <c r="AA30" s="105"/>
      <c r="AB30" s="105"/>
      <c r="AC30" s="105"/>
      <c r="AD30" s="105"/>
      <c r="AE30" s="105"/>
      <c r="AF30" s="167"/>
    </row>
    <row r="31" spans="1:37">
      <c r="A31" s="766"/>
      <c r="B31" s="633"/>
      <c r="C31" s="633"/>
      <c r="D31" s="633"/>
      <c r="E31" s="633"/>
      <c r="F31" s="105"/>
      <c r="G31" s="105"/>
      <c r="H31" s="105"/>
      <c r="I31" s="126"/>
      <c r="J31" s="126"/>
      <c r="K31" s="126"/>
      <c r="L31" s="126"/>
      <c r="M31" s="105"/>
      <c r="N31" s="105"/>
      <c r="O31" s="105"/>
      <c r="P31" s="105"/>
      <c r="Q31" s="105"/>
      <c r="R31" s="105"/>
      <c r="S31" s="105"/>
      <c r="T31" s="105"/>
      <c r="U31" s="105"/>
      <c r="V31" s="105"/>
      <c r="W31" s="105"/>
      <c r="X31" s="105"/>
      <c r="Y31" s="105"/>
      <c r="Z31" s="105"/>
      <c r="AA31" s="105"/>
      <c r="AB31" s="105"/>
      <c r="AC31" s="105"/>
      <c r="AD31" s="105"/>
      <c r="AE31" s="105"/>
      <c r="AF31" s="167"/>
    </row>
    <row r="32" spans="1:37" ht="16.5" customHeight="1" thickBot="1">
      <c r="A32" s="766"/>
      <c r="B32" s="182"/>
      <c r="C32" s="105"/>
      <c r="D32" s="105"/>
      <c r="E32" s="126"/>
      <c r="F32" s="105"/>
      <c r="G32" s="633" t="s">
        <v>1463</v>
      </c>
      <c r="H32" s="633"/>
      <c r="I32" s="633"/>
      <c r="J32" s="633"/>
      <c r="K32" s="633"/>
      <c r="L32" s="633"/>
      <c r="M32" s="105"/>
      <c r="N32" s="105"/>
      <c r="O32" s="105"/>
      <c r="P32" s="105"/>
      <c r="Q32" s="105"/>
      <c r="R32" s="633" t="s">
        <v>1471</v>
      </c>
      <c r="S32" s="633"/>
      <c r="T32" s="633"/>
      <c r="U32" s="633"/>
      <c r="V32" s="633"/>
      <c r="W32" s="633"/>
      <c r="X32" s="633"/>
      <c r="Y32" s="633"/>
      <c r="Z32" s="633"/>
      <c r="AA32" s="633"/>
      <c r="AB32" s="105"/>
      <c r="AC32" s="105"/>
      <c r="AD32" s="105"/>
      <c r="AE32" s="105"/>
      <c r="AF32" s="167"/>
    </row>
    <row r="33" spans="1:32" ht="15.75" customHeight="1">
      <c r="A33" s="766"/>
      <c r="B33" s="783" t="s">
        <v>1468</v>
      </c>
      <c r="C33" s="771"/>
      <c r="D33" s="79" t="s">
        <v>1296</v>
      </c>
      <c r="E33" s="77" t="s">
        <v>1343</v>
      </c>
      <c r="F33" s="105"/>
      <c r="G33" s="633"/>
      <c r="H33" s="633"/>
      <c r="I33" s="633"/>
      <c r="J33" s="633"/>
      <c r="K33" s="633"/>
      <c r="L33" s="633"/>
      <c r="M33" s="105"/>
      <c r="N33" s="105"/>
      <c r="O33" s="105"/>
      <c r="P33" s="105"/>
      <c r="Q33" s="105"/>
      <c r="R33" s="633"/>
      <c r="S33" s="633"/>
      <c r="T33" s="633"/>
      <c r="U33" s="633"/>
      <c r="V33" s="633"/>
      <c r="W33" s="633"/>
      <c r="X33" s="633"/>
      <c r="Y33" s="633"/>
      <c r="Z33" s="633"/>
      <c r="AA33" s="633"/>
      <c r="AB33" s="105"/>
      <c r="AC33" s="105"/>
      <c r="AD33" s="105"/>
      <c r="AE33" s="105"/>
      <c r="AF33" s="167"/>
    </row>
    <row r="34" spans="1:32" ht="15.75" customHeight="1">
      <c r="A34" s="766"/>
      <c r="B34" s="783"/>
      <c r="C34" s="772"/>
      <c r="D34" s="80" t="s">
        <v>1443</v>
      </c>
      <c r="E34" s="300">
        <v>1</v>
      </c>
      <c r="F34" s="105"/>
      <c r="G34" s="633"/>
      <c r="H34" s="633"/>
      <c r="I34" s="633"/>
      <c r="J34" s="633"/>
      <c r="K34" s="633"/>
      <c r="L34" s="633"/>
      <c r="M34" s="105"/>
      <c r="N34" s="105"/>
      <c r="O34" s="105"/>
      <c r="P34" s="105"/>
      <c r="Q34" s="105"/>
      <c r="R34" s="633"/>
      <c r="S34" s="633"/>
      <c r="T34" s="633"/>
      <c r="U34" s="633"/>
      <c r="V34" s="633"/>
      <c r="W34" s="633"/>
      <c r="X34" s="633"/>
      <c r="Y34" s="633"/>
      <c r="Z34" s="633"/>
      <c r="AA34" s="633"/>
      <c r="AB34" s="105"/>
      <c r="AC34" s="105"/>
      <c r="AD34" s="105"/>
      <c r="AE34" s="105"/>
      <c r="AF34" s="167"/>
    </row>
    <row r="35" spans="1:32">
      <c r="A35" s="766"/>
      <c r="B35" s="783"/>
      <c r="C35" s="772"/>
      <c r="D35" s="80" t="s">
        <v>1442</v>
      </c>
      <c r="E35" s="300">
        <v>2</v>
      </c>
      <c r="F35" s="105"/>
      <c r="G35" s="105"/>
      <c r="H35" s="105"/>
      <c r="I35" s="126"/>
      <c r="J35" s="126"/>
      <c r="K35" s="126"/>
      <c r="L35" s="126"/>
      <c r="M35" s="126"/>
      <c r="N35" s="105"/>
      <c r="O35" s="105"/>
      <c r="P35" s="105"/>
      <c r="Q35" s="105"/>
      <c r="R35" s="105"/>
      <c r="S35" s="105"/>
      <c r="T35" s="105"/>
      <c r="U35" s="105"/>
      <c r="V35" s="105"/>
      <c r="W35" s="105"/>
      <c r="X35" s="105"/>
      <c r="Y35" s="105"/>
      <c r="Z35" s="105"/>
      <c r="AA35" s="105"/>
      <c r="AB35" s="105"/>
      <c r="AC35" s="105"/>
      <c r="AD35" s="105"/>
      <c r="AE35" s="105"/>
      <c r="AF35" s="167"/>
    </row>
    <row r="36" spans="1:32" ht="17" thickBot="1">
      <c r="A36" s="766"/>
      <c r="B36" s="783"/>
      <c r="C36" s="772"/>
      <c r="D36" s="80" t="s">
        <v>1540</v>
      </c>
      <c r="E36" s="300">
        <v>3</v>
      </c>
      <c r="F36" s="105"/>
      <c r="G36" s="780" t="s">
        <v>1456</v>
      </c>
      <c r="H36" s="780"/>
      <c r="I36" s="780"/>
      <c r="J36" s="780"/>
      <c r="K36" s="780"/>
      <c r="L36" s="780"/>
      <c r="M36" s="126"/>
      <c r="N36" s="105"/>
      <c r="O36" s="661"/>
      <c r="P36" s="661"/>
      <c r="Q36" s="661"/>
      <c r="R36" s="661"/>
      <c r="S36" s="661"/>
      <c r="T36" s="661"/>
      <c r="U36" s="661"/>
      <c r="V36" s="661"/>
      <c r="W36" s="661"/>
      <c r="X36" s="661"/>
      <c r="Y36" s="661"/>
      <c r="Z36" s="661"/>
      <c r="AA36" s="661"/>
      <c r="AB36" s="661"/>
      <c r="AC36" s="661"/>
      <c r="AD36" s="661"/>
      <c r="AE36" s="661"/>
      <c r="AF36" s="167"/>
    </row>
    <row r="37" spans="1:32" ht="15.75" customHeight="1">
      <c r="A37" s="766"/>
      <c r="B37" s="783"/>
      <c r="C37" s="772"/>
      <c r="D37" s="80" t="s">
        <v>1441</v>
      </c>
      <c r="E37" s="300">
        <v>4</v>
      </c>
      <c r="F37" s="105"/>
      <c r="G37" s="776" t="s">
        <v>1296</v>
      </c>
      <c r="H37" s="138"/>
      <c r="I37" s="741" t="s">
        <v>1334</v>
      </c>
      <c r="J37" s="741"/>
      <c r="K37" s="741"/>
      <c r="L37" s="742"/>
      <c r="M37" s="126"/>
      <c r="N37" s="105"/>
      <c r="O37" s="188"/>
      <c r="P37" s="127"/>
      <c r="Q37" s="127"/>
      <c r="R37" s="127"/>
      <c r="S37" s="127"/>
      <c r="T37" s="756" t="s">
        <v>1447</v>
      </c>
      <c r="U37" s="756"/>
      <c r="V37" s="756"/>
      <c r="W37" s="756"/>
      <c r="X37" s="756"/>
      <c r="Y37" s="757" t="s">
        <v>1448</v>
      </c>
      <c r="Z37" s="757"/>
      <c r="AA37" s="757"/>
      <c r="AB37" s="757"/>
      <c r="AC37" s="757"/>
      <c r="AD37" s="757"/>
      <c r="AE37" s="146"/>
      <c r="AF37" s="167"/>
    </row>
    <row r="38" spans="1:32" ht="17" thickBot="1">
      <c r="A38" s="766"/>
      <c r="B38" s="783"/>
      <c r="C38" s="772"/>
      <c r="D38" s="81" t="s">
        <v>1440</v>
      </c>
      <c r="E38" s="301">
        <v>5</v>
      </c>
      <c r="F38" s="105"/>
      <c r="G38" s="777"/>
      <c r="H38" s="139"/>
      <c r="I38" s="205" t="s">
        <v>1349</v>
      </c>
      <c r="J38" s="206" t="s">
        <v>1444</v>
      </c>
      <c r="K38" s="206" t="s">
        <v>1445</v>
      </c>
      <c r="L38" s="207" t="s">
        <v>1446</v>
      </c>
      <c r="M38" s="126"/>
      <c r="N38" s="105"/>
      <c r="O38" s="188"/>
      <c r="P38" s="127"/>
      <c r="Q38" s="127"/>
      <c r="R38" s="127"/>
      <c r="S38" s="127"/>
      <c r="T38" s="760" t="s">
        <v>1345</v>
      </c>
      <c r="U38" s="746" t="s">
        <v>1337</v>
      </c>
      <c r="V38" s="747" t="s">
        <v>1338</v>
      </c>
      <c r="W38" s="774" t="s">
        <v>1346</v>
      </c>
      <c r="X38" s="754" t="s">
        <v>1451</v>
      </c>
      <c r="Y38" s="759" t="s">
        <v>1235</v>
      </c>
      <c r="Z38" s="759" t="s">
        <v>1236</v>
      </c>
      <c r="AA38" s="759" t="s">
        <v>1237</v>
      </c>
      <c r="AB38" s="759" t="s">
        <v>1279</v>
      </c>
      <c r="AC38" s="759" t="s">
        <v>1559</v>
      </c>
      <c r="AD38" s="755" t="s">
        <v>1452</v>
      </c>
      <c r="AE38" s="754" t="s">
        <v>1450</v>
      </c>
      <c r="AF38" s="167"/>
    </row>
    <row r="39" spans="1:32">
      <c r="A39" s="766"/>
      <c r="B39" s="783"/>
      <c r="C39" s="772"/>
      <c r="D39" s="105"/>
      <c r="E39" s="126"/>
      <c r="F39" s="105"/>
      <c r="G39" s="777"/>
      <c r="H39" s="136" t="s">
        <v>1349</v>
      </c>
      <c r="I39" s="137">
        <v>0</v>
      </c>
      <c r="J39" s="137">
        <f>E44</f>
        <v>1</v>
      </c>
      <c r="K39" s="137">
        <f>E45</f>
        <v>3</v>
      </c>
      <c r="L39" s="140">
        <f>E46</f>
        <v>5</v>
      </c>
      <c r="M39" s="126"/>
      <c r="N39" s="105"/>
      <c r="O39" s="188"/>
      <c r="P39" s="127"/>
      <c r="Q39" s="127"/>
      <c r="R39" s="127"/>
      <c r="S39" s="127"/>
      <c r="T39" s="760"/>
      <c r="U39" s="746"/>
      <c r="V39" s="747"/>
      <c r="W39" s="774"/>
      <c r="X39" s="754"/>
      <c r="Y39" s="759"/>
      <c r="Z39" s="759"/>
      <c r="AA39" s="759"/>
      <c r="AB39" s="759"/>
      <c r="AC39" s="759"/>
      <c r="AD39" s="755"/>
      <c r="AE39" s="754"/>
      <c r="AF39" s="167"/>
    </row>
    <row r="40" spans="1:32">
      <c r="A40" s="766"/>
      <c r="B40" s="783"/>
      <c r="C40" s="772"/>
      <c r="D40" s="105"/>
      <c r="E40" s="126"/>
      <c r="F40" s="105"/>
      <c r="G40" s="777"/>
      <c r="H40" s="136" t="s">
        <v>1443</v>
      </c>
      <c r="I40" s="137">
        <f>E34</f>
        <v>1</v>
      </c>
      <c r="J40" s="160">
        <f>J$39*I40</f>
        <v>1</v>
      </c>
      <c r="K40" s="160">
        <f>K$39*I40</f>
        <v>3</v>
      </c>
      <c r="L40" s="161">
        <f>L$39*I40</f>
        <v>5</v>
      </c>
      <c r="M40" s="126"/>
      <c r="N40" s="105"/>
      <c r="O40" s="785" t="s">
        <v>1457</v>
      </c>
      <c r="P40" s="775" t="s">
        <v>1364</v>
      </c>
      <c r="Q40" s="775"/>
      <c r="R40" s="775"/>
      <c r="S40" s="775"/>
      <c r="T40" s="131">
        <f>COUNTIFS('VENDOR QUESTIONNAIRE'!$V$58:$V$181,$P40,'VENDOR QUESTIONNAIRE'!$T$58:$T$181,"Required")+COUNTIFS('VENDOR QUESTIONNAIRE'!$V$58:$V$181,$P40,'VENDOR QUESTIONNAIRE'!$T$58:$T$181,"OVERRIDE")</f>
        <v>0</v>
      </c>
      <c r="U40" s="131">
        <f>COUNTIFS('VENDOR QUESTIONNAIRE'!$V$58:$V$181,$P40,'VENDOR QUESTIONNAIRE'!$T$58:$T$181,"Required",'VENDOR QUESTIONNAIRE'!$L$58:$L$181,"Yes")+COUNTIFS('VENDOR QUESTIONNAIRE'!$V$58:$V$181,$P40,'VENDOR QUESTIONNAIRE'!$T$58:$T$181,"OVERRIDE")</f>
        <v>0</v>
      </c>
      <c r="V40" s="131">
        <f>COUNTIFS('VENDOR QUESTIONNAIRE'!$V$58:$V$181,$P40,'VENDOR QUESTIONNAIRE'!$T$58:$T$181,"Required",'VENDOR QUESTIONNAIRE'!$L$58:$L$181,"No")</f>
        <v>0</v>
      </c>
      <c r="W40" s="145" t="e">
        <f>(T40-V40)/T40</f>
        <v>#DIV/0!</v>
      </c>
      <c r="X40" s="196" t="e">
        <f>IF(AND(W40&gt;=0,W40&lt;$U$47),$R$47,IF(AND(W40&gt;=$U$48,W40&lt;=$U$49),$R$48,IF(W40&gt;=$U$50,$R$50,"Unknown")))</f>
        <v>#DIV/0!</v>
      </c>
      <c r="Y40" s="131">
        <f>COUNTIFS('VENDOR QUESTIONNAIRE'!$V$58:$V$181,$P40,'VENDOR QUESTIONNAIRE'!$T$58:$T$181,"Recommend",'VENDOR QUESTIONNAIRE'!$L$58:$L$181,"Yes",'VENDOR QUESTIONNAIRE'!$S$58:$S$181,"Identify")</f>
        <v>0</v>
      </c>
      <c r="Z40" s="214">
        <f>COUNTIFS('VENDOR QUESTIONNAIRE'!$V$58:$V$181,$P40,'VENDOR QUESTIONNAIRE'!$T$58:$T$181,"Recommend",'VENDOR QUESTIONNAIRE'!$L$58:$L$181,"Yes",'VENDOR QUESTIONNAIRE'!$S$58:$S$181,"Detect")</f>
        <v>0</v>
      </c>
      <c r="AA40" s="214">
        <f>COUNTIFS('VENDOR QUESTIONNAIRE'!$V$58:$V$181,$P40,'VENDOR QUESTIONNAIRE'!$T$58:$T$181,"Recommend",'VENDOR QUESTIONNAIRE'!$L$58:$L$181,"Yes",'VENDOR QUESTIONNAIRE'!$S$58:$S$181,"Protect")</f>
        <v>0</v>
      </c>
      <c r="AB40" s="214">
        <f>COUNTIFS('VENDOR QUESTIONNAIRE'!$V$58:$V$181,$P40,'VENDOR QUESTIONNAIRE'!$T$58:$T$181,"Recommend",'VENDOR QUESTIONNAIRE'!$L$58:$L$181,"Yes",'VENDOR QUESTIONNAIRE'!$S$58:$S$181,"Respond")</f>
        <v>0</v>
      </c>
      <c r="AC40" s="214">
        <f>COUNTIFS('VENDOR QUESTIONNAIRE'!$V$58:$V$181,$P40,'VENDOR QUESTIONNAIRE'!$T$58:$T$181,"Recommend",'VENDOR QUESTIONNAIRE'!$L$58:$L$181,"Yes",'VENDOR QUESTIONNAIRE'!$S$58:$S$181,"N/A")</f>
        <v>0</v>
      </c>
      <c r="AD40" s="145">
        <f>(Y40*Y45)+(Z40*Z45)+(AA40*AA45)+(AB40*AB45)+(AC40*AC45)</f>
        <v>0</v>
      </c>
      <c r="AE40" s="197" t="e">
        <f>IF(AND(W40+AD40&gt;=0,W40+AD40&lt;$U$47),$R$47,IF(AND(W40+AD40&gt;$U$47,W40+AD40&lt;=$U$49),$R$48,IF(W40+AD40&gt;$U$49,$R$50,"Unknown")))</f>
        <v>#DIV/0!</v>
      </c>
      <c r="AF40" s="167"/>
    </row>
    <row r="41" spans="1:32">
      <c r="A41" s="766"/>
      <c r="B41" s="783"/>
      <c r="C41" s="772"/>
      <c r="D41" s="105"/>
      <c r="E41" s="126"/>
      <c r="F41" s="105"/>
      <c r="G41" s="777"/>
      <c r="H41" s="136" t="s">
        <v>1442</v>
      </c>
      <c r="I41" s="137">
        <f>E35</f>
        <v>2</v>
      </c>
      <c r="J41" s="160">
        <f>J$39*I41</f>
        <v>2</v>
      </c>
      <c r="K41" s="160">
        <f>K$39*I41</f>
        <v>6</v>
      </c>
      <c r="L41" s="161">
        <f>L$39*I41</f>
        <v>10</v>
      </c>
      <c r="M41" s="126"/>
      <c r="N41" s="105"/>
      <c r="O41" s="785"/>
      <c r="P41" s="775" t="s">
        <v>1365</v>
      </c>
      <c r="Q41" s="775"/>
      <c r="R41" s="775"/>
      <c r="S41" s="775"/>
      <c r="T41" s="376">
        <f>COUNTIFS('VENDOR QUESTIONNAIRE'!$V$58:$V$181,$P41,'VENDOR QUESTIONNAIRE'!$T$58:$T$181,"Required")+COUNTIFS('VENDOR QUESTIONNAIRE'!$V$58:$V$181,$P41,'VENDOR QUESTIONNAIRE'!$T$58:$T$181,"OVERRIDE")</f>
        <v>0</v>
      </c>
      <c r="U41" s="376">
        <f>COUNTIFS('VENDOR QUESTIONNAIRE'!$V$58:$V$181,$P41,'VENDOR QUESTIONNAIRE'!$T$58:$T$181,"Required",'VENDOR QUESTIONNAIRE'!$L$58:$L$181,"Yes")+COUNTIFS('VENDOR QUESTIONNAIRE'!$V$58:$V$181,$P41,'VENDOR QUESTIONNAIRE'!$T$58:$T$181,"OVERRIDE")</f>
        <v>0</v>
      </c>
      <c r="V41" s="214">
        <f>COUNTIFS('VENDOR QUESTIONNAIRE'!$V$58:$V$181,$P41,'VENDOR QUESTIONNAIRE'!$T$58:$T$181,"Required",'VENDOR QUESTIONNAIRE'!$L$58:$L$181,"No")</f>
        <v>0</v>
      </c>
      <c r="W41" s="145" t="e">
        <f>(T41-V41)/T41</f>
        <v>#DIV/0!</v>
      </c>
      <c r="X41" s="196" t="e">
        <f>IF(AND(W41&gt;=0,W41&lt;$U$47),$R$47,IF(AND(W41&gt;=$U$48,W41&lt;=$U$49),$R$48,IF(W41&gt;=$U$50,$R$50,"Unknown")))</f>
        <v>#DIV/0!</v>
      </c>
      <c r="Y41" s="214">
        <f>COUNTIFS('VENDOR QUESTIONNAIRE'!$V$58:$V$181,$P41,'VENDOR QUESTIONNAIRE'!$T$58:$T$181,"Recommend",'VENDOR QUESTIONNAIRE'!$L$58:$L$181,"Yes",'VENDOR QUESTIONNAIRE'!$S$58:$S$181,"Identify")</f>
        <v>0</v>
      </c>
      <c r="Z41" s="214">
        <f>COUNTIFS('VENDOR QUESTIONNAIRE'!$V$58:$V$181,$P41,'VENDOR QUESTIONNAIRE'!$T$58:$T$181,"Recommend",'VENDOR QUESTIONNAIRE'!$L$58:$L$181,"Yes",'VENDOR QUESTIONNAIRE'!$S$58:$S$181,"Detect")</f>
        <v>0</v>
      </c>
      <c r="AA41" s="214">
        <f>COUNTIFS('VENDOR QUESTIONNAIRE'!$V$58:$V$181,$P41,'VENDOR QUESTIONNAIRE'!$T$58:$T$181,"Recommend",'VENDOR QUESTIONNAIRE'!$L$58:$L$181,"Yes",'VENDOR QUESTIONNAIRE'!$S$58:$S$181,"Protect")</f>
        <v>0</v>
      </c>
      <c r="AB41" s="214">
        <f>COUNTIFS('VENDOR QUESTIONNAIRE'!$V$58:$V$181,$P41,'VENDOR QUESTIONNAIRE'!$T$58:$T$181,"Recommend",'VENDOR QUESTIONNAIRE'!$L$58:$L$181,"Yes",'VENDOR QUESTIONNAIRE'!$S$58:$S$181,"Respond")</f>
        <v>0</v>
      </c>
      <c r="AC41" s="214">
        <f>COUNTIFS('VENDOR QUESTIONNAIRE'!$V$58:$V$181,$P41,'VENDOR QUESTIONNAIRE'!$T$58:$T$181,"Recommend",'VENDOR QUESTIONNAIRE'!$L$58:$L$181,"Yes",'VENDOR QUESTIONNAIRE'!$S$58:$S$181,AC39)</f>
        <v>0</v>
      </c>
      <c r="AD41" s="145">
        <f>(Y41*Y45)+(Z41*Z45)+(AA41*AA45)+(AB41*AB45)+(AC41*AC45)</f>
        <v>0</v>
      </c>
      <c r="AE41" s="197" t="e">
        <f t="shared" ref="AE41:AE44" si="0">IF(AND(W41+AD41&gt;=0,W41+AD41&lt;$U$47),$R$47,IF(AND(W41+AD41&gt;$U$47,W41+AD41&lt;=$U$49),$R$48,IF(W41+AD41&gt;$U$49,$R$50,"Unknown")))</f>
        <v>#DIV/0!</v>
      </c>
      <c r="AF41" s="167"/>
    </row>
    <row r="42" spans="1:32" ht="17" thickBot="1">
      <c r="A42" s="766"/>
      <c r="B42" s="783"/>
      <c r="C42" s="772"/>
      <c r="D42" s="105"/>
      <c r="E42" s="126"/>
      <c r="F42" s="105"/>
      <c r="G42" s="777"/>
      <c r="H42" s="136" t="s">
        <v>1540</v>
      </c>
      <c r="I42" s="137">
        <f>E36</f>
        <v>3</v>
      </c>
      <c r="J42" s="160">
        <f>J$39*I42</f>
        <v>3</v>
      </c>
      <c r="K42" s="160">
        <f>K$39*I42</f>
        <v>9</v>
      </c>
      <c r="L42" s="161">
        <f>L$39*I42</f>
        <v>15</v>
      </c>
      <c r="M42" s="126"/>
      <c r="N42" s="105"/>
      <c r="O42" s="785"/>
      <c r="P42" s="775" t="s">
        <v>1438</v>
      </c>
      <c r="Q42" s="775"/>
      <c r="R42" s="775"/>
      <c r="S42" s="775"/>
      <c r="T42" s="376">
        <f>COUNTIFS('VENDOR QUESTIONNAIRE'!$V$58:$V$181,$P42,'VENDOR QUESTIONNAIRE'!$T$58:$T$181,"Required")+COUNTIFS('VENDOR QUESTIONNAIRE'!$V$58:$V$181,$P42,'VENDOR QUESTIONNAIRE'!$T$58:$T$181,"OVERRIDE")</f>
        <v>0</v>
      </c>
      <c r="U42" s="376">
        <f>COUNTIFS('VENDOR QUESTIONNAIRE'!$V$58:$V$181,$P42,'VENDOR QUESTIONNAIRE'!$T$58:$T$181,"Required",'VENDOR QUESTIONNAIRE'!$L$58:$L$181,"Yes")+COUNTIFS('VENDOR QUESTIONNAIRE'!$V$58:$V$181,$P42,'VENDOR QUESTIONNAIRE'!$T$58:$T$181,"OVERRIDE")</f>
        <v>0</v>
      </c>
      <c r="V42" s="214">
        <f>COUNTIFS('VENDOR QUESTIONNAIRE'!$V$58:$V$181,$P42,'VENDOR QUESTIONNAIRE'!$T$58:$T$181,"Required",'VENDOR QUESTIONNAIRE'!$L$58:$L$181,"No")</f>
        <v>0</v>
      </c>
      <c r="W42" s="145" t="e">
        <f>(T42-V42)/T42</f>
        <v>#DIV/0!</v>
      </c>
      <c r="X42" s="196" t="e">
        <f>IF(AND(W42&gt;=0,W42&lt;$U$47),$R$47,IF(AND(W42&gt;=$U$48,W42&lt;=$U$49),$R$48,IF(W42&gt;=$U$50,$R$50,"Unknown")))</f>
        <v>#DIV/0!</v>
      </c>
      <c r="Y42" s="214">
        <f>COUNTIFS('VENDOR QUESTIONNAIRE'!$V$58:$V$181,$P42,'VENDOR QUESTIONNAIRE'!$T$58:$T$181,"Recommend",'VENDOR QUESTIONNAIRE'!$L$58:$L$181,"Yes",'VENDOR QUESTIONNAIRE'!$S$58:$S$181,"Identify")</f>
        <v>0</v>
      </c>
      <c r="Z42" s="214">
        <f>COUNTIFS('VENDOR QUESTIONNAIRE'!$V$58:$V$181,$P42,'VENDOR QUESTIONNAIRE'!$T$58:$T$181,"Recommend",'VENDOR QUESTIONNAIRE'!$L$58:$L$181,"Yes",'VENDOR QUESTIONNAIRE'!$S$58:$S$181,"Detect")</f>
        <v>0</v>
      </c>
      <c r="AA42" s="214">
        <f>COUNTIFS('VENDOR QUESTIONNAIRE'!$V$58:$V$181,$P42,'VENDOR QUESTIONNAIRE'!$T$58:$T$181,"Recommend",'VENDOR QUESTIONNAIRE'!$L$58:$L$181,"Yes",'VENDOR QUESTIONNAIRE'!$S$58:$S$181,"Protect")</f>
        <v>0</v>
      </c>
      <c r="AB42" s="214">
        <f>COUNTIFS('VENDOR QUESTIONNAIRE'!$V$58:$V$181,$P42,'VENDOR QUESTIONNAIRE'!$T$58:$T$181,"Recommend",'VENDOR QUESTIONNAIRE'!$L$58:$L$181,"Yes",'VENDOR QUESTIONNAIRE'!$S$58:$S$181,"Respond")</f>
        <v>0</v>
      </c>
      <c r="AC42" s="214">
        <f>COUNTIFS('VENDOR QUESTIONNAIRE'!$V$58:$V$181,$P42,'VENDOR QUESTIONNAIRE'!$T$58:$T$181,"Recommend",'VENDOR QUESTIONNAIRE'!$L$58:$L$181,"Yes",'VENDOR QUESTIONNAIRE'!$S$58:$S$181,AC40)</f>
        <v>0</v>
      </c>
      <c r="AD42" s="145">
        <f>(Y42*Y45)+(Z42*Z45)+(AA42*AA45)+(AB42*AB45)+(AC42*AC45)</f>
        <v>0</v>
      </c>
      <c r="AE42" s="197" t="e">
        <f t="shared" si="0"/>
        <v>#DIV/0!</v>
      </c>
      <c r="AF42" s="167"/>
    </row>
    <row r="43" spans="1:32">
      <c r="A43" s="766"/>
      <c r="B43" s="783"/>
      <c r="C43" s="772"/>
      <c r="D43" s="79" t="s">
        <v>1334</v>
      </c>
      <c r="E43" s="77" t="s">
        <v>1343</v>
      </c>
      <c r="F43" s="105"/>
      <c r="G43" s="777"/>
      <c r="H43" s="136" t="s">
        <v>1441</v>
      </c>
      <c r="I43" s="137">
        <f>E37</f>
        <v>4</v>
      </c>
      <c r="J43" s="160">
        <f>J$39*I43</f>
        <v>4</v>
      </c>
      <c r="K43" s="160">
        <f>K$39*I43</f>
        <v>12</v>
      </c>
      <c r="L43" s="161">
        <f>L$39*I43</f>
        <v>20</v>
      </c>
      <c r="M43" s="126"/>
      <c r="N43" s="105"/>
      <c r="O43" s="785"/>
      <c r="P43" s="775" t="s">
        <v>1437</v>
      </c>
      <c r="Q43" s="775"/>
      <c r="R43" s="775"/>
      <c r="S43" s="775"/>
      <c r="T43" s="376">
        <f>COUNTIFS('VENDOR QUESTIONNAIRE'!$V$58:$V$181,$P43,'VENDOR QUESTIONNAIRE'!$T$58:$T$181,"Required")+COUNTIFS('VENDOR QUESTIONNAIRE'!$V$58:$V$181,$P43,'VENDOR QUESTIONNAIRE'!$T$58:$T$181,"OVERRIDE")</f>
        <v>0</v>
      </c>
      <c r="U43" s="376">
        <f>COUNTIFS('VENDOR QUESTIONNAIRE'!$V$58:$V$181,$P43,'VENDOR QUESTIONNAIRE'!$T$58:$T$181,"Required",'VENDOR QUESTIONNAIRE'!$L$58:$L$181,"Yes")+COUNTIFS('VENDOR QUESTIONNAIRE'!$V$58:$V$181,$P43,'VENDOR QUESTIONNAIRE'!$T$58:$T$181,"OVERRIDE")</f>
        <v>0</v>
      </c>
      <c r="V43" s="214">
        <f>COUNTIFS('VENDOR QUESTIONNAIRE'!$V$58:$V$181,$P43,'VENDOR QUESTIONNAIRE'!$T$58:$T$181,"Required",'VENDOR QUESTIONNAIRE'!$L$58:$L$181,"No")</f>
        <v>0</v>
      </c>
      <c r="W43" s="145" t="e">
        <f>(T43-V43)/T43</f>
        <v>#DIV/0!</v>
      </c>
      <c r="X43" s="196" t="e">
        <f>IF(AND(W43&gt;=0,W43&lt;$U$47),$R$47,IF(AND(W43&gt;=$U$48,W43&lt;=$U$49),$R$48,IF(W43&gt;=$U$50,$R$50,"Unknown")))</f>
        <v>#DIV/0!</v>
      </c>
      <c r="Y43" s="214">
        <f>COUNTIFS('VENDOR QUESTIONNAIRE'!$V$58:$V$181,$P43,'VENDOR QUESTIONNAIRE'!$T$58:$T$181,"Recommend",'VENDOR QUESTIONNAIRE'!$L$58:$L$181,"Yes",'VENDOR QUESTIONNAIRE'!$S$58:$S$181,"Identify")</f>
        <v>0</v>
      </c>
      <c r="Z43" s="214">
        <f>COUNTIFS('VENDOR QUESTIONNAIRE'!$V$58:$V$181,$P43,'VENDOR QUESTIONNAIRE'!$T$58:$T$181,"Recommend",'VENDOR QUESTIONNAIRE'!$L$58:$L$181,"Yes",'VENDOR QUESTIONNAIRE'!$S$58:$S$181,"Detect")</f>
        <v>0</v>
      </c>
      <c r="AA43" s="214">
        <f>COUNTIFS('VENDOR QUESTIONNAIRE'!$V$58:$V$181,$P43,'VENDOR QUESTIONNAIRE'!$T$58:$T$181,"Recommend",'VENDOR QUESTIONNAIRE'!$L$58:$L$181,"Yes",'VENDOR QUESTIONNAIRE'!$S$58:$S$181,"Protect")</f>
        <v>0</v>
      </c>
      <c r="AB43" s="214">
        <f>COUNTIFS('VENDOR QUESTIONNAIRE'!$V$58:$V$181,$P43,'VENDOR QUESTIONNAIRE'!$T$58:$T$181,"Recommend",'VENDOR QUESTIONNAIRE'!$L$58:$L$181,"Yes",'VENDOR QUESTIONNAIRE'!$S$58:$S$181,"Respond")</f>
        <v>0</v>
      </c>
      <c r="AC43" s="214">
        <f>COUNTIFS('VENDOR QUESTIONNAIRE'!$V$58:$V$181,$P43,'VENDOR QUESTIONNAIRE'!$T$58:$T$181,"Recommend",'VENDOR QUESTIONNAIRE'!$L$58:$L$181,"Yes",'VENDOR QUESTIONNAIRE'!$S$58:$S$181,AC41)</f>
        <v>0</v>
      </c>
      <c r="AD43" s="145">
        <f>(Y43*Y45)+(Z43*Z45)+(AA43*AA45)+(AB43*AB45)+(AC43*AC45)</f>
        <v>0</v>
      </c>
      <c r="AE43" s="197" t="e">
        <f t="shared" si="0"/>
        <v>#DIV/0!</v>
      </c>
      <c r="AF43" s="167"/>
    </row>
    <row r="44" spans="1:32" ht="17" thickBot="1">
      <c r="A44" s="766"/>
      <c r="B44" s="783"/>
      <c r="C44" s="772"/>
      <c r="D44" s="80" t="s">
        <v>1444</v>
      </c>
      <c r="E44" s="300">
        <v>1</v>
      </c>
      <c r="F44" s="105"/>
      <c r="G44" s="778"/>
      <c r="H44" s="141" t="s">
        <v>1440</v>
      </c>
      <c r="I44" s="142">
        <f>E38</f>
        <v>5</v>
      </c>
      <c r="J44" s="162">
        <f>J$39*I44</f>
        <v>5</v>
      </c>
      <c r="K44" s="162">
        <f>K$39*I44</f>
        <v>15</v>
      </c>
      <c r="L44" s="163">
        <f>L$39*I44</f>
        <v>25</v>
      </c>
      <c r="M44" s="126"/>
      <c r="N44" s="105"/>
      <c r="O44" s="785"/>
      <c r="P44" s="775" t="s">
        <v>1439</v>
      </c>
      <c r="Q44" s="775"/>
      <c r="R44" s="775"/>
      <c r="S44" s="775"/>
      <c r="T44" s="376">
        <f>COUNTIFS('VENDOR QUESTIONNAIRE'!$V$58:$V$181,$P44,'VENDOR QUESTIONNAIRE'!$T$58:$T$181,"Required")+COUNTIFS('VENDOR QUESTIONNAIRE'!$V$58:$V$181,$P44,'VENDOR QUESTIONNAIRE'!$T$58:$T$181,"OVERRIDE")</f>
        <v>0</v>
      </c>
      <c r="U44" s="376">
        <f>COUNTIFS('VENDOR QUESTIONNAIRE'!$V$58:$V$181,$P44,'VENDOR QUESTIONNAIRE'!$T$58:$T$181,"Required",'VENDOR QUESTIONNAIRE'!$L$58:$L$181,"Yes")+COUNTIFS('VENDOR QUESTIONNAIRE'!$V$58:$V$181,$P44,'VENDOR QUESTIONNAIRE'!$T$58:$T$181,"OVERRIDE")</f>
        <v>0</v>
      </c>
      <c r="V44" s="214">
        <f>COUNTIFS('VENDOR QUESTIONNAIRE'!$V$58:$V$181,$P44,'VENDOR QUESTIONNAIRE'!$T$58:$T$181,"Required",'VENDOR QUESTIONNAIRE'!$L$58:$L$181,"No")</f>
        <v>0</v>
      </c>
      <c r="W44" s="145" t="e">
        <f>(T44-V44)/T44</f>
        <v>#DIV/0!</v>
      </c>
      <c r="X44" s="196" t="e">
        <f>IF(AND(W44&gt;=0,W44&lt;$U$47),$R$47,IF(AND(W44&gt;=$U$48,W44&lt;=$U$49),$R$48,IF(W44&gt;=$U$50,$R$50,"Unknown")))</f>
        <v>#DIV/0!</v>
      </c>
      <c r="Y44" s="214">
        <f>COUNTIFS('VENDOR QUESTIONNAIRE'!$V$58:$V$181,$P44,'VENDOR QUESTIONNAIRE'!$T$58:$T$181,"Recommend",'VENDOR QUESTIONNAIRE'!$L$58:$L$181,"Yes",'VENDOR QUESTIONNAIRE'!$S$58:$S$181,"Identify")</f>
        <v>0</v>
      </c>
      <c r="Z44" s="214">
        <f>COUNTIFS('VENDOR QUESTIONNAIRE'!$V$58:$V$181,$P44,'VENDOR QUESTIONNAIRE'!$T$58:$T$181,"Recommend",'VENDOR QUESTIONNAIRE'!$L$58:$L$181,"Yes",'VENDOR QUESTIONNAIRE'!$S$58:$S$181,"Detect")</f>
        <v>0</v>
      </c>
      <c r="AA44" s="214">
        <f>COUNTIFS('VENDOR QUESTIONNAIRE'!$V$58:$V$181,$P44,'VENDOR QUESTIONNAIRE'!$T$58:$T$181,"Recommend",'VENDOR QUESTIONNAIRE'!$L$58:$L$181,"Yes",'VENDOR QUESTIONNAIRE'!$S$58:$S$181,"Protect")</f>
        <v>0</v>
      </c>
      <c r="AB44" s="214">
        <f>COUNTIFS('VENDOR QUESTIONNAIRE'!$V$58:$V$181,$P44,'VENDOR QUESTIONNAIRE'!$T$58:$T$181,"Recommend",'VENDOR QUESTIONNAIRE'!$L$58:$L$181,"Yes",'VENDOR QUESTIONNAIRE'!$S$58:$S$181,"Respond")</f>
        <v>0</v>
      </c>
      <c r="AC44" s="214">
        <f>COUNTIFS('VENDOR QUESTIONNAIRE'!$V$58:$V$181,$P44,'VENDOR QUESTIONNAIRE'!$T$58:$T$181,"Recommend",'VENDOR QUESTIONNAIRE'!$L$58:$L$181,"Yes",'VENDOR QUESTIONNAIRE'!$S$58:$S$181,AC42)</f>
        <v>0</v>
      </c>
      <c r="AD44" s="145">
        <f>(Y44*Y45)+(Z44*Z45)+(AA44*AA45)+(AB44*AB45)+(AC44*AC45)</f>
        <v>0</v>
      </c>
      <c r="AE44" s="197" t="e">
        <f t="shared" si="0"/>
        <v>#DIV/0!</v>
      </c>
      <c r="AF44" s="167"/>
    </row>
    <row r="45" spans="1:32">
      <c r="A45" s="766"/>
      <c r="B45" s="783"/>
      <c r="C45" s="772"/>
      <c r="D45" s="80" t="s">
        <v>1445</v>
      </c>
      <c r="E45" s="300">
        <v>3</v>
      </c>
      <c r="F45" s="105"/>
      <c r="G45" s="105"/>
      <c r="H45" s="126"/>
      <c r="I45" s="126"/>
      <c r="J45" s="126"/>
      <c r="K45" s="126"/>
      <c r="L45" s="126"/>
      <c r="M45" s="126"/>
      <c r="N45" s="105"/>
      <c r="O45" s="105"/>
      <c r="P45" s="105"/>
      <c r="Q45" s="105"/>
      <c r="R45" s="105"/>
      <c r="S45" s="105"/>
      <c r="T45" s="105"/>
      <c r="U45" s="105"/>
      <c r="V45" s="105"/>
      <c r="W45" s="105"/>
      <c r="X45" s="181" t="s">
        <v>1453</v>
      </c>
      <c r="Y45" s="306">
        <v>5.0000000000000001E-3</v>
      </c>
      <c r="Z45" s="306">
        <v>1.4999999999999999E-2</v>
      </c>
      <c r="AA45" s="306">
        <v>1.4999999999999999E-2</v>
      </c>
      <c r="AB45" s="306">
        <v>5.0000000000000001E-3</v>
      </c>
      <c r="AC45" s="306">
        <v>5.0000000000000001E-3</v>
      </c>
      <c r="AD45" s="105"/>
      <c r="AE45" s="105"/>
      <c r="AF45" s="167"/>
    </row>
    <row r="46" spans="1:32" ht="15.75" customHeight="1" thickBot="1">
      <c r="A46" s="766"/>
      <c r="B46" s="783"/>
      <c r="C46" s="773"/>
      <c r="D46" s="80" t="s">
        <v>1446</v>
      </c>
      <c r="E46" s="300">
        <v>5</v>
      </c>
      <c r="F46" s="105"/>
      <c r="G46" s="105"/>
      <c r="H46" s="779" t="s">
        <v>1455</v>
      </c>
      <c r="I46" s="779"/>
      <c r="J46" s="779"/>
      <c r="K46" s="763" t="s">
        <v>1464</v>
      </c>
      <c r="L46" s="764"/>
      <c r="M46" s="764"/>
      <c r="N46" s="105"/>
      <c r="O46" s="105"/>
      <c r="P46" s="105"/>
      <c r="Q46" s="105"/>
      <c r="R46" s="758" t="s">
        <v>1449</v>
      </c>
      <c r="S46" s="758"/>
      <c r="T46" s="758"/>
      <c r="U46" s="758"/>
      <c r="V46" s="105"/>
      <c r="W46" s="105"/>
      <c r="X46" s="105"/>
      <c r="Y46" s="105"/>
      <c r="Z46" s="105"/>
      <c r="AA46" s="105"/>
      <c r="AB46" s="105"/>
      <c r="AC46" s="105"/>
      <c r="AD46" s="105"/>
      <c r="AE46" s="105"/>
      <c r="AF46" s="167"/>
    </row>
    <row r="47" spans="1:32">
      <c r="A47" s="766"/>
      <c r="B47" s="105"/>
      <c r="C47" s="105"/>
      <c r="D47" s="105"/>
      <c r="E47" s="126"/>
      <c r="F47" s="105"/>
      <c r="G47" s="105"/>
      <c r="H47" s="143" t="s">
        <v>1372</v>
      </c>
      <c r="I47" s="137" t="s">
        <v>1340</v>
      </c>
      <c r="J47" s="306">
        <v>2</v>
      </c>
      <c r="K47" s="763"/>
      <c r="L47" s="764"/>
      <c r="M47" s="764"/>
      <c r="N47" s="105"/>
      <c r="O47" s="105"/>
      <c r="P47" s="105"/>
      <c r="Q47" s="105"/>
      <c r="R47" s="745" t="s">
        <v>1374</v>
      </c>
      <c r="S47" s="745"/>
      <c r="T47" s="137" t="s">
        <v>1340</v>
      </c>
      <c r="U47" s="307">
        <v>0.69</v>
      </c>
      <c r="V47" s="781" t="s">
        <v>1466</v>
      </c>
      <c r="W47" s="782"/>
      <c r="X47" s="782"/>
      <c r="Y47" s="105"/>
      <c r="Z47" s="105"/>
      <c r="AA47" s="105"/>
      <c r="AB47" s="105"/>
      <c r="AC47" s="105"/>
      <c r="AD47" s="105"/>
      <c r="AE47" s="105"/>
      <c r="AF47" s="167"/>
    </row>
    <row r="48" spans="1:32">
      <c r="A48" s="766"/>
      <c r="B48" s="105"/>
      <c r="C48" s="105"/>
      <c r="D48" s="172" t="s">
        <v>1459</v>
      </c>
      <c r="E48" s="126"/>
      <c r="F48" s="105"/>
      <c r="G48" s="105"/>
      <c r="H48" s="743" t="s">
        <v>1375</v>
      </c>
      <c r="I48" s="137" t="s">
        <v>1341</v>
      </c>
      <c r="J48" s="306">
        <v>3</v>
      </c>
      <c r="K48" s="763"/>
      <c r="L48" s="764"/>
      <c r="M48" s="764"/>
      <c r="N48" s="105"/>
      <c r="O48" s="105"/>
      <c r="P48" s="105"/>
      <c r="Q48" s="105"/>
      <c r="R48" s="743" t="s">
        <v>1377</v>
      </c>
      <c r="S48" s="743"/>
      <c r="T48" s="137" t="s">
        <v>1341</v>
      </c>
      <c r="U48" s="307">
        <v>0.7</v>
      </c>
      <c r="V48" s="781"/>
      <c r="W48" s="782"/>
      <c r="X48" s="782"/>
      <c r="Y48" s="105"/>
      <c r="Z48" s="105"/>
      <c r="AA48" s="105"/>
      <c r="AB48" s="105"/>
      <c r="AC48" s="105"/>
      <c r="AD48" s="105"/>
      <c r="AE48" s="105"/>
      <c r="AF48" s="167"/>
    </row>
    <row r="49" spans="1:32">
      <c r="A49" s="766"/>
      <c r="B49" s="105"/>
      <c r="C49" s="105"/>
      <c r="D49" s="105"/>
      <c r="E49" s="126"/>
      <c r="F49" s="105"/>
      <c r="G49" s="105"/>
      <c r="H49" s="743"/>
      <c r="I49" s="137" t="s">
        <v>1340</v>
      </c>
      <c r="J49" s="306">
        <v>6</v>
      </c>
      <c r="K49" s="763"/>
      <c r="L49" s="764"/>
      <c r="M49" s="764"/>
      <c r="N49" s="105"/>
      <c r="O49" s="105"/>
      <c r="P49" s="105"/>
      <c r="Q49" s="105"/>
      <c r="R49" s="743"/>
      <c r="S49" s="743"/>
      <c r="T49" s="137" t="s">
        <v>1340</v>
      </c>
      <c r="U49" s="307">
        <v>0.89</v>
      </c>
      <c r="V49" s="781"/>
      <c r="W49" s="782"/>
      <c r="X49" s="782"/>
      <c r="Y49" s="105"/>
      <c r="Z49" s="105"/>
      <c r="AA49" s="105"/>
      <c r="AB49" s="105"/>
      <c r="AC49" s="105"/>
      <c r="AD49" s="105"/>
      <c r="AE49" s="105"/>
      <c r="AF49" s="167"/>
    </row>
    <row r="50" spans="1:32">
      <c r="A50" s="766"/>
      <c r="B50" s="105"/>
      <c r="C50" s="105"/>
      <c r="D50" s="105"/>
      <c r="E50" s="126"/>
      <c r="F50" s="105"/>
      <c r="G50" s="105"/>
      <c r="H50" s="144" t="s">
        <v>1376</v>
      </c>
      <c r="I50" s="137" t="s">
        <v>1341</v>
      </c>
      <c r="J50" s="306">
        <v>7</v>
      </c>
      <c r="K50" s="763"/>
      <c r="L50" s="764"/>
      <c r="M50" s="764"/>
      <c r="N50" s="105"/>
      <c r="O50" s="105"/>
      <c r="P50" s="105"/>
      <c r="Q50" s="105"/>
      <c r="R50" s="744" t="s">
        <v>1373</v>
      </c>
      <c r="S50" s="744"/>
      <c r="T50" s="137" t="s">
        <v>1341</v>
      </c>
      <c r="U50" s="307">
        <v>0.9</v>
      </c>
      <c r="V50" s="781"/>
      <c r="W50" s="782"/>
      <c r="X50" s="782"/>
      <c r="Y50" s="105"/>
      <c r="Z50" s="105"/>
      <c r="AA50" s="105"/>
      <c r="AB50" s="105"/>
      <c r="AC50" s="105"/>
      <c r="AD50" s="105"/>
      <c r="AE50" s="105"/>
      <c r="AF50" s="167"/>
    </row>
    <row r="51" spans="1:32" ht="17" thickBot="1">
      <c r="A51" s="766"/>
      <c r="B51" s="105"/>
      <c r="C51" s="105"/>
      <c r="D51" s="105"/>
      <c r="E51" s="126"/>
      <c r="F51" s="105"/>
      <c r="G51" s="105"/>
      <c r="H51" s="105"/>
      <c r="I51" s="126"/>
      <c r="J51" s="126"/>
      <c r="K51" s="126"/>
      <c r="L51" s="126"/>
      <c r="M51" s="633" t="s">
        <v>1470</v>
      </c>
      <c r="N51" s="633"/>
      <c r="O51" s="633"/>
      <c r="P51" s="633"/>
      <c r="Q51" s="105"/>
      <c r="R51" s="105"/>
      <c r="S51" s="105"/>
      <c r="T51" s="105"/>
      <c r="U51" s="105"/>
      <c r="V51" s="105"/>
      <c r="W51" s="105"/>
      <c r="X51" s="105"/>
      <c r="Y51" s="105"/>
      <c r="Z51" s="105"/>
      <c r="AA51" s="105"/>
      <c r="AB51" s="105"/>
      <c r="AC51" s="105"/>
      <c r="AD51" s="105"/>
      <c r="AE51" s="105"/>
      <c r="AF51" s="167"/>
    </row>
    <row r="52" spans="1:32" ht="15.75" customHeight="1" thickTop="1" thickBot="1">
      <c r="A52" s="766"/>
      <c r="B52" s="105"/>
      <c r="C52" s="105"/>
      <c r="D52" s="105"/>
      <c r="E52" s="126"/>
      <c r="F52" s="105"/>
      <c r="G52" s="105"/>
      <c r="H52" s="105"/>
      <c r="I52" s="126"/>
      <c r="J52" s="126"/>
      <c r="K52" s="126"/>
      <c r="L52" s="126"/>
      <c r="M52" s="633"/>
      <c r="N52" s="633"/>
      <c r="O52" s="633"/>
      <c r="P52" s="633"/>
      <c r="Q52" s="105"/>
      <c r="R52" s="633" t="s">
        <v>1476</v>
      </c>
      <c r="S52" s="633"/>
      <c r="T52" s="633"/>
      <c r="U52" s="633"/>
      <c r="V52" s="633"/>
      <c r="W52" s="633"/>
      <c r="Y52" s="731" t="s">
        <v>1472</v>
      </c>
      <c r="Z52" s="732"/>
      <c r="AA52" s="732"/>
      <c r="AB52" s="732"/>
      <c r="AC52" s="732"/>
      <c r="AD52" s="732"/>
      <c r="AE52" s="733"/>
      <c r="AF52" s="167"/>
    </row>
    <row r="53" spans="1:32" ht="15.75" customHeight="1" thickTop="1">
      <c r="A53" s="766"/>
      <c r="B53" s="105"/>
      <c r="C53" s="105"/>
      <c r="D53" s="105"/>
      <c r="E53" s="126"/>
      <c r="F53" s="748" t="s">
        <v>1472</v>
      </c>
      <c r="G53" s="749"/>
      <c r="H53" s="749"/>
      <c r="I53" s="749"/>
      <c r="J53" s="750"/>
      <c r="K53" s="126"/>
      <c r="L53" s="126"/>
      <c r="M53" s="633"/>
      <c r="N53" s="633"/>
      <c r="O53" s="633"/>
      <c r="P53" s="633"/>
      <c r="Q53" s="105"/>
      <c r="R53" s="633"/>
      <c r="S53" s="633"/>
      <c r="T53" s="633"/>
      <c r="U53" s="633"/>
      <c r="V53" s="633"/>
      <c r="W53" s="633"/>
      <c r="Y53" s="734"/>
      <c r="Z53" s="735"/>
      <c r="AA53" s="735"/>
      <c r="AB53" s="735"/>
      <c r="AC53" s="735"/>
      <c r="AD53" s="735"/>
      <c r="AE53" s="736"/>
      <c r="AF53" s="167"/>
    </row>
    <row r="54" spans="1:32" ht="16.5" customHeight="1" thickBot="1">
      <c r="A54" s="766"/>
      <c r="B54" s="105"/>
      <c r="C54" s="105"/>
      <c r="D54" s="105"/>
      <c r="E54" s="126"/>
      <c r="F54" s="751"/>
      <c r="G54" s="752"/>
      <c r="H54" s="752"/>
      <c r="I54" s="752"/>
      <c r="J54" s="753"/>
      <c r="K54"/>
      <c r="L54"/>
      <c r="M54" s="126"/>
      <c r="N54" s="105"/>
      <c r="O54" s="105"/>
      <c r="P54" s="105"/>
      <c r="Q54" s="105"/>
      <c r="R54" s="633"/>
      <c r="S54" s="633"/>
      <c r="T54" s="633"/>
      <c r="U54" s="633"/>
      <c r="V54" s="633"/>
      <c r="W54" s="633"/>
      <c r="Y54" s="734"/>
      <c r="Z54" s="735"/>
      <c r="AA54" s="735"/>
      <c r="AB54" s="735"/>
      <c r="AC54" s="735"/>
      <c r="AD54" s="735"/>
      <c r="AE54" s="736"/>
      <c r="AF54" s="167"/>
    </row>
    <row r="55" spans="1:32">
      <c r="A55" s="766"/>
      <c r="B55" s="105"/>
      <c r="C55" s="105"/>
      <c r="D55" s="105"/>
      <c r="E55" s="126"/>
      <c r="F55" s="183"/>
      <c r="G55" s="105"/>
      <c r="H55" s="105"/>
      <c r="I55" s="126"/>
      <c r="J55" s="199"/>
      <c r="K55"/>
      <c r="L55" s="768" t="s">
        <v>1475</v>
      </c>
      <c r="M55" s="771"/>
      <c r="N55" s="769" t="s">
        <v>1309</v>
      </c>
      <c r="O55" s="769"/>
      <c r="P55" s="130" t="s">
        <v>1343</v>
      </c>
      <c r="R55" s="105"/>
      <c r="S55" s="105"/>
      <c r="T55" s="126"/>
      <c r="U55" s="126"/>
      <c r="V55" s="126"/>
      <c r="W55" s="126"/>
      <c r="Y55" s="183"/>
      <c r="Z55" s="105"/>
      <c r="AA55" s="105"/>
      <c r="AB55" s="105"/>
      <c r="AC55" s="105"/>
      <c r="AD55" s="105"/>
      <c r="AE55" s="184"/>
      <c r="AF55" s="167"/>
    </row>
    <row r="56" spans="1:32" ht="17" thickBot="1">
      <c r="A56" s="766"/>
      <c r="B56" s="105"/>
      <c r="C56" s="105"/>
      <c r="D56" s="105"/>
      <c r="E56" s="198"/>
      <c r="F56" s="204" t="s">
        <v>1481</v>
      </c>
      <c r="G56" s="761" t="s">
        <v>1482</v>
      </c>
      <c r="H56" s="761"/>
      <c r="I56" s="761" t="s">
        <v>1483</v>
      </c>
      <c r="J56" s="762"/>
      <c r="K56"/>
      <c r="L56" s="768"/>
      <c r="M56" s="772"/>
      <c r="N56" s="770" t="s">
        <v>1373</v>
      </c>
      <c r="O56" s="770"/>
      <c r="P56" s="306">
        <v>1</v>
      </c>
      <c r="R56" s="634" t="s">
        <v>1336</v>
      </c>
      <c r="S56" s="634"/>
      <c r="T56" s="634"/>
      <c r="U56" s="634"/>
      <c r="V56" s="634"/>
      <c r="W56" s="634"/>
      <c r="Y56" s="659" t="s">
        <v>1399</v>
      </c>
      <c r="Z56" s="635"/>
      <c r="AA56" s="635"/>
      <c r="AB56" s="635"/>
      <c r="AC56" s="635"/>
      <c r="AD56" s="635"/>
      <c r="AE56" s="660"/>
      <c r="AF56" s="167"/>
    </row>
    <row r="57" spans="1:32">
      <c r="A57" s="766"/>
      <c r="B57" s="105"/>
      <c r="C57" s="105"/>
      <c r="D57" s="105"/>
      <c r="E57" s="198"/>
      <c r="F57" s="285" t="e">
        <f>VLOOKUP('VENDOR QUESTIONNAIRE'!E22,'Risk Calc'!D34:E38,2,FALSE)*VLOOKUP(U14,D44:E46,2,FALSE)</f>
        <v>#N/A</v>
      </c>
      <c r="G57" s="703" t="str">
        <f>CONCATENATE('VENDOR QUESTIONNAIRE'!E22,"-",U14)</f>
        <v>-Unknown</v>
      </c>
      <c r="H57" s="703"/>
      <c r="I57" s="704" t="e">
        <f>IF(AND(F57&gt;0,F57&lt;=J47),H47,IF(AND(F57&gt;=J48,F57&lt;=J49),H48,IF(F57&gt;=J50,H50,"Unknown")))</f>
        <v>#N/A</v>
      </c>
      <c r="J57" s="705"/>
      <c r="K57"/>
      <c r="L57" s="768"/>
      <c r="M57" s="772"/>
      <c r="N57" s="770" t="s">
        <v>1377</v>
      </c>
      <c r="O57" s="770"/>
      <c r="P57" s="306">
        <v>2</v>
      </c>
      <c r="R57" s="78"/>
      <c r="S57" s="644" t="s">
        <v>1308</v>
      </c>
      <c r="T57" s="644"/>
      <c r="U57" s="644"/>
      <c r="V57" s="644"/>
      <c r="W57" s="645"/>
      <c r="Y57" s="670" t="s">
        <v>1369</v>
      </c>
      <c r="Z57" s="671"/>
      <c r="AA57" s="112" t="s">
        <v>1370</v>
      </c>
      <c r="AB57" s="662" t="s">
        <v>1390</v>
      </c>
      <c r="AC57" s="662"/>
      <c r="AD57" s="662" t="s">
        <v>1317</v>
      </c>
      <c r="AE57" s="669"/>
      <c r="AF57" s="167"/>
    </row>
    <row r="58" spans="1:32" ht="17" thickBot="1">
      <c r="A58" s="766"/>
      <c r="B58" s="105"/>
      <c r="C58" s="105"/>
      <c r="D58" s="105"/>
      <c r="E58" s="126"/>
      <c r="F58" s="200"/>
      <c r="G58" s="201"/>
      <c r="H58" s="201"/>
      <c r="I58" s="202"/>
      <c r="J58" s="203"/>
      <c r="K58"/>
      <c r="L58" s="768"/>
      <c r="M58" s="772"/>
      <c r="N58" s="770" t="s">
        <v>1374</v>
      </c>
      <c r="O58" s="770"/>
      <c r="P58" s="306">
        <v>3</v>
      </c>
      <c r="R58" s="642" t="s">
        <v>1309</v>
      </c>
      <c r="S58" s="83"/>
      <c r="T58" s="75" t="s">
        <v>1349</v>
      </c>
      <c r="U58" s="75" t="s">
        <v>1372</v>
      </c>
      <c r="V58" s="75" t="s">
        <v>1375</v>
      </c>
      <c r="W58" s="76" t="s">
        <v>1376</v>
      </c>
      <c r="Y58" s="737" t="e">
        <f>CONCATENATE('VENDOR QUESTIONNAIRE'!$N189,"-",'VENDOR QUESTIONNAIRE'!$J189)</f>
        <v>#DIV/0!</v>
      </c>
      <c r="Z58" s="738"/>
      <c r="AA58" s="148" t="e">
        <f>HLOOKUP(Y58,'Risk Calc'!$K$79:$T$80,2,FALSE)</f>
        <v>#DIV/0!</v>
      </c>
      <c r="AB58" s="714">
        <f>_xlfn.AGGREGATE(4,6,AA58:AA62)</f>
        <v>0</v>
      </c>
      <c r="AC58" s="715"/>
      <c r="AD58" s="725" t="str">
        <f>IF(AND(AB58&gt;0,AB58&lt;='Risk Calc'!V65),"Low",IF(AND(AB58&gt;='Risk Calc'!V66,AB58&lt;='Risk Calc'!V67), "Medium",IF(AB58&gt;='Risk Calc'!V68,"High","Unknown")))</f>
        <v>Unknown</v>
      </c>
      <c r="AE58" s="726"/>
      <c r="AF58" s="167"/>
    </row>
    <row r="59" spans="1:32" ht="17" thickTop="1">
      <c r="A59" s="766"/>
      <c r="B59" s="105"/>
      <c r="C59" s="105"/>
      <c r="D59" s="105"/>
      <c r="E59" s="126"/>
      <c r="F59" s="105"/>
      <c r="L59" s="768"/>
      <c r="M59" s="772"/>
      <c r="O59" s="40"/>
      <c r="P59" s="40"/>
      <c r="R59" s="642"/>
      <c r="S59" s="75" t="s">
        <v>1349</v>
      </c>
      <c r="T59" s="72">
        <v>0</v>
      </c>
      <c r="U59" s="154">
        <f>P63</f>
        <v>1</v>
      </c>
      <c r="V59" s="154">
        <f>P64</f>
        <v>2</v>
      </c>
      <c r="W59" s="155">
        <f>P65</f>
        <v>3</v>
      </c>
      <c r="Y59" s="737" t="e">
        <f>CONCATENATE('VENDOR QUESTIONNAIRE'!$N191,"-",'VENDOR QUESTIONNAIRE'!$J191)</f>
        <v>#DIV/0!</v>
      </c>
      <c r="Z59" s="738"/>
      <c r="AA59" s="148" t="e">
        <f>HLOOKUP(Y59,'Risk Calc'!$K$79:$T$80,2,FALSE)</f>
        <v>#DIV/0!</v>
      </c>
      <c r="AB59" s="716"/>
      <c r="AC59" s="717"/>
      <c r="AD59" s="727"/>
      <c r="AE59" s="728"/>
      <c r="AF59" s="167"/>
    </row>
    <row r="60" spans="1:32">
      <c r="A60" s="766"/>
      <c r="B60" s="105"/>
      <c r="C60" s="105"/>
      <c r="E60" s="126"/>
      <c r="F60" s="105"/>
      <c r="L60" s="768"/>
      <c r="M60" s="772"/>
      <c r="O60" s="40"/>
      <c r="P60" s="40"/>
      <c r="R60" s="642"/>
      <c r="S60" s="75" t="s">
        <v>1373</v>
      </c>
      <c r="T60" s="72">
        <f>P56</f>
        <v>1</v>
      </c>
      <c r="U60" s="156">
        <f>SUM(U59*T60)</f>
        <v>1</v>
      </c>
      <c r="V60" s="156">
        <f>SUM(V59*T60)</f>
        <v>2</v>
      </c>
      <c r="W60" s="157">
        <f>SUM(W59*T60)</f>
        <v>3</v>
      </c>
      <c r="Y60" s="737" t="e">
        <f>CONCATENATE('VENDOR QUESTIONNAIRE'!$N193,"-",'VENDOR QUESTIONNAIRE'!$J193)</f>
        <v>#DIV/0!</v>
      </c>
      <c r="Z60" s="738"/>
      <c r="AA60" s="148" t="e">
        <f>HLOOKUP(Y60,'Risk Calc'!$K$79:$T$80,2,FALSE)</f>
        <v>#DIV/0!</v>
      </c>
      <c r="AB60" s="716"/>
      <c r="AC60" s="717"/>
      <c r="AD60" s="727"/>
      <c r="AE60" s="728"/>
      <c r="AF60" s="167"/>
    </row>
    <row r="61" spans="1:32">
      <c r="A61" s="766"/>
      <c r="B61" s="105"/>
      <c r="C61" s="105"/>
      <c r="D61" s="105"/>
      <c r="E61" s="126"/>
      <c r="F61" s="105"/>
      <c r="L61" s="768"/>
      <c r="M61" s="772"/>
      <c r="O61" s="40"/>
      <c r="P61" s="40"/>
      <c r="R61" s="642"/>
      <c r="S61" s="75" t="s">
        <v>1377</v>
      </c>
      <c r="T61" s="72">
        <f>P57</f>
        <v>2</v>
      </c>
      <c r="U61" s="156">
        <f>SUM(U59*T61)</f>
        <v>2</v>
      </c>
      <c r="V61" s="156">
        <f>SUM(V59*T61)</f>
        <v>4</v>
      </c>
      <c r="W61" s="157">
        <f>SUM(W59*T61)</f>
        <v>6</v>
      </c>
      <c r="Y61" s="737" t="e">
        <f>CONCATENATE('VENDOR QUESTIONNAIRE'!$N195,"-",'VENDOR QUESTIONNAIRE'!$J195)</f>
        <v>#DIV/0!</v>
      </c>
      <c r="Z61" s="738"/>
      <c r="AA61" s="148" t="e">
        <f>HLOOKUP(Y61,'Risk Calc'!$K$79:$T$80,2,FALSE)</f>
        <v>#DIV/0!</v>
      </c>
      <c r="AB61" s="716"/>
      <c r="AC61" s="717"/>
      <c r="AD61" s="727"/>
      <c r="AE61" s="728"/>
      <c r="AF61" s="167"/>
    </row>
    <row r="62" spans="1:32" ht="17" thickBot="1">
      <c r="A62" s="766"/>
      <c r="B62" s="105"/>
      <c r="C62" s="105"/>
      <c r="D62" s="105"/>
      <c r="E62" s="126"/>
      <c r="F62" s="105"/>
      <c r="L62" s="768"/>
      <c r="M62" s="772"/>
      <c r="N62" s="769" t="s">
        <v>1308</v>
      </c>
      <c r="O62" s="769"/>
      <c r="P62" s="130" t="s">
        <v>1343</v>
      </c>
      <c r="R62" s="643"/>
      <c r="S62" s="86" t="s">
        <v>1374</v>
      </c>
      <c r="T62" s="73">
        <f>P58</f>
        <v>3</v>
      </c>
      <c r="U62" s="158">
        <f>SUM(U59*T62)</f>
        <v>3</v>
      </c>
      <c r="V62" s="158">
        <f>SUM(V59*T62)</f>
        <v>6</v>
      </c>
      <c r="W62" s="159">
        <f>SUM(W59*T62)</f>
        <v>9</v>
      </c>
      <c r="Y62" s="739" t="e">
        <f>CONCATENATE('VENDOR QUESTIONNAIRE'!$N197,"-",'VENDOR QUESTIONNAIRE'!$J197)</f>
        <v>#DIV/0!</v>
      </c>
      <c r="Z62" s="740"/>
      <c r="AA62" s="185" t="e">
        <f>HLOOKUP(Y62,'Risk Calc'!$K$79:$T$80,2,FALSE)</f>
        <v>#DIV/0!</v>
      </c>
      <c r="AB62" s="718"/>
      <c r="AC62" s="719"/>
      <c r="AD62" s="729"/>
      <c r="AE62" s="730"/>
      <c r="AF62" s="167"/>
    </row>
    <row r="63" spans="1:32" ht="17" thickBot="1">
      <c r="A63" s="766"/>
      <c r="B63" s="105"/>
      <c r="C63" s="105"/>
      <c r="D63" s="105"/>
      <c r="E63" s="126"/>
      <c r="F63" s="105"/>
      <c r="L63" s="768"/>
      <c r="M63" s="772"/>
      <c r="N63" s="770" t="s">
        <v>1372</v>
      </c>
      <c r="O63" s="770"/>
      <c r="P63" s="306">
        <v>1</v>
      </c>
      <c r="R63" s="176"/>
      <c r="S63" s="176"/>
      <c r="T63" s="105"/>
      <c r="U63" s="105"/>
      <c r="V63" s="105"/>
      <c r="W63" s="105"/>
      <c r="X63" s="105"/>
      <c r="AF63" s="167"/>
    </row>
    <row r="64" spans="1:32">
      <c r="A64" s="766"/>
      <c r="B64" s="105"/>
      <c r="C64" s="105"/>
      <c r="D64" s="105"/>
      <c r="E64" s="126"/>
      <c r="F64" s="105"/>
      <c r="L64" s="768"/>
      <c r="M64" s="772"/>
      <c r="N64" s="770" t="s">
        <v>1375</v>
      </c>
      <c r="O64" s="770"/>
      <c r="P64" s="306">
        <v>2</v>
      </c>
      <c r="R64" s="105"/>
      <c r="S64" s="658" t="s">
        <v>1479</v>
      </c>
      <c r="T64" s="644"/>
      <c r="U64" s="644"/>
      <c r="V64" s="645"/>
      <c r="W64" s="105"/>
      <c r="X64" s="105"/>
      <c r="AF64" s="167"/>
    </row>
    <row r="65" spans="1:32" ht="22" thickBot="1">
      <c r="A65" s="766"/>
      <c r="B65" s="105"/>
      <c r="C65" s="105"/>
      <c r="D65" s="105"/>
      <c r="E65" s="126"/>
      <c r="F65" s="105"/>
      <c r="L65" s="768"/>
      <c r="M65" s="773"/>
      <c r="N65" s="770" t="s">
        <v>1376</v>
      </c>
      <c r="O65" s="770"/>
      <c r="P65" s="306">
        <v>3</v>
      </c>
      <c r="R65" s="171"/>
      <c r="S65" s="786" t="s">
        <v>1352</v>
      </c>
      <c r="T65" s="787"/>
      <c r="U65" s="95" t="s">
        <v>1340</v>
      </c>
      <c r="V65" s="302">
        <v>2</v>
      </c>
      <c r="W65" s="105"/>
      <c r="X65" s="105"/>
      <c r="AF65" s="167"/>
    </row>
    <row r="66" spans="1:32">
      <c r="A66" s="766"/>
      <c r="B66" s="105"/>
      <c r="C66" s="105"/>
      <c r="D66" s="105"/>
      <c r="E66" s="126"/>
      <c r="F66" s="105"/>
      <c r="O66" s="40"/>
      <c r="P66" s="40"/>
      <c r="R66" s="105"/>
      <c r="S66" s="682" t="s">
        <v>1351</v>
      </c>
      <c r="T66" s="683"/>
      <c r="U66" s="107" t="s">
        <v>1341</v>
      </c>
      <c r="V66" s="308">
        <v>3</v>
      </c>
      <c r="W66" s="105"/>
      <c r="X66" s="105"/>
      <c r="AF66" s="167"/>
    </row>
    <row r="67" spans="1:32">
      <c r="A67" s="766"/>
      <c r="B67" s="105"/>
      <c r="C67" s="105"/>
      <c r="D67" s="105"/>
      <c r="E67" s="126"/>
      <c r="F67" s="105"/>
      <c r="O67" s="40"/>
      <c r="P67" s="40"/>
      <c r="R67" s="105"/>
      <c r="S67" s="684"/>
      <c r="T67" s="685"/>
      <c r="U67" s="97" t="s">
        <v>1340</v>
      </c>
      <c r="V67" s="304">
        <v>5</v>
      </c>
      <c r="W67" s="105"/>
      <c r="X67" s="105"/>
      <c r="AF67" s="167"/>
    </row>
    <row r="68" spans="1:32" ht="17" thickBot="1">
      <c r="A68" s="766"/>
      <c r="B68" s="105"/>
      <c r="C68" s="105"/>
      <c r="D68" s="105"/>
      <c r="E68" s="126"/>
      <c r="F68" s="105"/>
      <c r="O68" s="40"/>
      <c r="P68" s="40"/>
      <c r="R68" s="105"/>
      <c r="S68" s="686" t="s">
        <v>1350</v>
      </c>
      <c r="T68" s="687"/>
      <c r="U68" s="94" t="s">
        <v>1341</v>
      </c>
      <c r="V68" s="305">
        <v>6</v>
      </c>
      <c r="W68" s="105"/>
      <c r="X68" s="105"/>
      <c r="Y68" s="105"/>
      <c r="Z68" s="105"/>
      <c r="AA68" s="105"/>
      <c r="AB68" s="105"/>
      <c r="AC68" s="105"/>
      <c r="AD68" s="105"/>
      <c r="AE68" s="105"/>
      <c r="AF68" s="167"/>
    </row>
    <row r="69" spans="1:32" ht="17" thickBot="1">
      <c r="A69" s="767"/>
      <c r="B69" s="173"/>
      <c r="C69" s="173"/>
      <c r="D69" s="173"/>
      <c r="E69" s="174"/>
      <c r="F69" s="173"/>
      <c r="G69" s="173"/>
      <c r="H69" s="173"/>
      <c r="I69" s="174"/>
      <c r="J69" s="174"/>
      <c r="K69" s="174"/>
      <c r="L69" s="174"/>
      <c r="M69" s="174"/>
      <c r="N69" s="173"/>
      <c r="O69" s="173"/>
      <c r="P69" s="173"/>
      <c r="Q69" s="173"/>
      <c r="R69" s="173"/>
      <c r="S69" s="173"/>
      <c r="T69" s="173"/>
      <c r="U69" s="173"/>
      <c r="V69" s="173"/>
      <c r="W69" s="173"/>
      <c r="X69" s="173"/>
      <c r="Y69" s="173"/>
      <c r="Z69" s="173"/>
      <c r="AA69" s="173"/>
      <c r="AB69" s="173"/>
      <c r="AC69" s="173"/>
      <c r="AD69" s="173"/>
      <c r="AE69" s="173"/>
      <c r="AF69" s="175"/>
    </row>
    <row r="70" spans="1:32" ht="17" thickBot="1"/>
    <row r="71" spans="1:32">
      <c r="A71" s="765" t="s">
        <v>1477</v>
      </c>
      <c r="B71" s="164"/>
      <c r="C71" s="164"/>
      <c r="D71" s="164"/>
      <c r="E71" s="165"/>
      <c r="F71" s="164"/>
      <c r="G71" s="164"/>
      <c r="H71" s="164"/>
      <c r="I71" s="165"/>
      <c r="J71" s="165"/>
      <c r="K71" s="165"/>
      <c r="L71" s="165"/>
      <c r="M71" s="165"/>
      <c r="N71" s="164"/>
      <c r="O71" s="164"/>
      <c r="P71" s="164"/>
      <c r="Q71" s="164"/>
      <c r="R71" s="164"/>
      <c r="S71" s="164"/>
      <c r="T71" s="164"/>
      <c r="U71" s="164"/>
      <c r="V71" s="164"/>
      <c r="W71" s="164"/>
      <c r="X71" s="164"/>
      <c r="Y71" s="164"/>
      <c r="Z71" s="164"/>
      <c r="AA71" s="164"/>
      <c r="AB71" s="164"/>
      <c r="AC71" s="164"/>
      <c r="AD71" s="164"/>
      <c r="AE71" s="164"/>
      <c r="AF71" s="166"/>
    </row>
    <row r="72" spans="1:32" ht="17" thickBot="1">
      <c r="A72" s="766"/>
      <c r="B72" s="105"/>
      <c r="C72" s="105"/>
      <c r="D72" s="105"/>
      <c r="E72" s="126"/>
      <c r="F72" s="105"/>
      <c r="G72" s="105"/>
      <c r="H72" s="105"/>
      <c r="I72" s="126"/>
      <c r="J72" s="126"/>
      <c r="K72" s="126"/>
      <c r="L72" s="126"/>
      <c r="M72" s="126"/>
      <c r="N72" s="105"/>
      <c r="O72" s="105"/>
      <c r="P72" s="105"/>
      <c r="Q72" s="105"/>
      <c r="R72" s="105"/>
      <c r="S72" s="105"/>
      <c r="T72" s="105"/>
      <c r="U72" s="105"/>
      <c r="V72" s="105"/>
      <c r="W72" s="105"/>
      <c r="X72" s="105"/>
      <c r="Y72" s="105"/>
      <c r="Z72" s="105"/>
      <c r="AA72" s="105"/>
      <c r="AB72" s="105"/>
      <c r="AC72" s="105"/>
      <c r="AD72" s="105"/>
      <c r="AE72" s="105"/>
      <c r="AF72" s="167"/>
    </row>
    <row r="73" spans="1:32" ht="22" thickTop="1">
      <c r="A73" s="766"/>
      <c r="B73" s="105"/>
      <c r="C73" s="171"/>
      <c r="D73" s="171"/>
      <c r="E73" s="177"/>
      <c r="F73" s="171"/>
      <c r="G73" s="105"/>
      <c r="H73" s="105"/>
      <c r="I73" s="126"/>
      <c r="J73" s="126"/>
      <c r="K73" s="126"/>
      <c r="L73" s="633" t="s">
        <v>1478</v>
      </c>
      <c r="M73" s="633"/>
      <c r="N73" s="633"/>
      <c r="O73" s="633"/>
      <c r="P73" s="633"/>
      <c r="Q73" s="633"/>
      <c r="R73" s="633"/>
      <c r="S73" s="633"/>
      <c r="T73" s="171"/>
      <c r="U73" s="171"/>
      <c r="V73" s="171"/>
      <c r="W73" s="105"/>
      <c r="X73" s="731" t="s">
        <v>1472</v>
      </c>
      <c r="Y73" s="732"/>
      <c r="Z73" s="732"/>
      <c r="AA73" s="732"/>
      <c r="AB73" s="732"/>
      <c r="AC73" s="733"/>
      <c r="AD73" s="105"/>
      <c r="AE73" s="105"/>
      <c r="AF73" s="167"/>
    </row>
    <row r="74" spans="1:32" ht="15.75" customHeight="1">
      <c r="A74" s="766"/>
      <c r="B74" s="105"/>
      <c r="C74" s="105"/>
      <c r="D74" s="105"/>
      <c r="E74" s="126"/>
      <c r="F74" s="105"/>
      <c r="G74" s="105"/>
      <c r="H74" s="105"/>
      <c r="I74" s="126"/>
      <c r="J74" s="126"/>
      <c r="K74" s="126"/>
      <c r="L74" s="633"/>
      <c r="M74" s="633"/>
      <c r="N74" s="633"/>
      <c r="O74" s="633"/>
      <c r="P74" s="633"/>
      <c r="Q74" s="633"/>
      <c r="R74" s="633"/>
      <c r="S74" s="633"/>
      <c r="T74" s="105"/>
      <c r="U74" s="105"/>
      <c r="V74" s="105"/>
      <c r="W74" s="105"/>
      <c r="X74" s="734"/>
      <c r="Y74" s="735"/>
      <c r="Z74" s="735"/>
      <c r="AA74" s="735"/>
      <c r="AB74" s="735"/>
      <c r="AC74" s="736"/>
      <c r="AD74" s="105"/>
      <c r="AE74" s="105"/>
      <c r="AF74" s="167"/>
    </row>
    <row r="75" spans="1:32" ht="15.75" customHeight="1">
      <c r="A75" s="766"/>
      <c r="B75" s="105"/>
      <c r="C75" s="105"/>
      <c r="D75" s="105"/>
      <c r="E75" s="126"/>
      <c r="F75" s="105"/>
      <c r="G75" s="105"/>
      <c r="H75" s="105"/>
      <c r="I75" s="126"/>
      <c r="J75" s="126"/>
      <c r="K75" s="126"/>
      <c r="L75" s="633"/>
      <c r="M75" s="633"/>
      <c r="N75" s="633"/>
      <c r="O75" s="633"/>
      <c r="P75" s="633"/>
      <c r="Q75" s="633"/>
      <c r="R75" s="633"/>
      <c r="S75" s="633"/>
      <c r="T75" s="105"/>
      <c r="U75" s="105"/>
      <c r="V75" s="105"/>
      <c r="W75" s="105"/>
      <c r="X75" s="734"/>
      <c r="Y75" s="735"/>
      <c r="Z75" s="735"/>
      <c r="AA75" s="735"/>
      <c r="AB75" s="735"/>
      <c r="AC75" s="736"/>
      <c r="AD75" s="105"/>
      <c r="AE75" s="105"/>
      <c r="AF75" s="167"/>
    </row>
    <row r="76" spans="1:32">
      <c r="A76" s="766"/>
      <c r="B76" s="105"/>
      <c r="C76" s="105"/>
      <c r="D76" s="105"/>
      <c r="E76" s="126"/>
      <c r="F76" s="105"/>
      <c r="G76" s="105"/>
      <c r="H76" s="105"/>
      <c r="I76" s="105"/>
      <c r="J76" s="105"/>
      <c r="K76" s="105"/>
      <c r="L76" s="105"/>
      <c r="M76" s="126"/>
      <c r="N76" s="105"/>
      <c r="O76" s="105"/>
      <c r="P76" s="105"/>
      <c r="Q76" s="105"/>
      <c r="R76" s="105"/>
      <c r="S76" s="105"/>
      <c r="T76" s="105"/>
      <c r="U76" s="105"/>
      <c r="V76" s="105"/>
      <c r="W76" s="105"/>
      <c r="X76" s="183"/>
      <c r="Y76" s="105"/>
      <c r="Z76" s="105"/>
      <c r="AA76" s="105"/>
      <c r="AB76" s="105"/>
      <c r="AC76" s="184"/>
      <c r="AD76" s="105"/>
      <c r="AE76" s="105"/>
      <c r="AF76" s="167"/>
    </row>
    <row r="77" spans="1:32" ht="17" thickBot="1">
      <c r="A77" s="766"/>
      <c r="B77" s="105"/>
      <c r="C77" s="105"/>
      <c r="D77" s="105"/>
      <c r="E77" s="126"/>
      <c r="F77" s="105"/>
      <c r="G77" s="105"/>
      <c r="H77" s="105"/>
      <c r="I77" s="634" t="s">
        <v>1335</v>
      </c>
      <c r="J77" s="634"/>
      <c r="K77" s="634"/>
      <c r="L77" s="634"/>
      <c r="M77" s="634"/>
      <c r="N77" s="634"/>
      <c r="O77" s="634"/>
      <c r="P77" s="634"/>
      <c r="Q77" s="634"/>
      <c r="R77" s="634"/>
      <c r="S77" s="634"/>
      <c r="T77" s="634"/>
      <c r="U77" s="187"/>
      <c r="V77" s="105"/>
      <c r="W77" s="105"/>
      <c r="X77" s="659" t="s">
        <v>1401</v>
      </c>
      <c r="Y77" s="635"/>
      <c r="Z77" s="635"/>
      <c r="AA77" s="635"/>
      <c r="AB77" s="635"/>
      <c r="AC77" s="660"/>
      <c r="AD77" s="105"/>
      <c r="AE77" s="105"/>
      <c r="AF77" s="167"/>
    </row>
    <row r="78" spans="1:32" ht="19">
      <c r="A78" s="766"/>
      <c r="B78" s="105"/>
      <c r="C78" s="105"/>
      <c r="D78" s="105"/>
      <c r="E78" s="126"/>
      <c r="F78" s="105"/>
      <c r="G78" s="105"/>
      <c r="H78" s="105"/>
      <c r="I78" s="88"/>
      <c r="J78" s="89"/>
      <c r="K78" s="89"/>
      <c r="L78" s="784" t="s">
        <v>1317</v>
      </c>
      <c r="M78" s="784"/>
      <c r="N78" s="784"/>
      <c r="O78" s="784"/>
      <c r="P78" s="784"/>
      <c r="Q78" s="784"/>
      <c r="R78" s="784"/>
      <c r="S78" s="784"/>
      <c r="T78" s="784"/>
      <c r="U78" s="105"/>
      <c r="V78" s="105"/>
      <c r="W78" s="105"/>
      <c r="X78" s="189"/>
      <c r="Y78" s="178" t="s">
        <v>1403</v>
      </c>
      <c r="Z78" s="706" t="s">
        <v>1404</v>
      </c>
      <c r="AA78" s="706"/>
      <c r="AB78" s="706" t="s">
        <v>1400</v>
      </c>
      <c r="AC78" s="707"/>
      <c r="AD78" s="105"/>
      <c r="AE78" s="105"/>
      <c r="AF78" s="167"/>
    </row>
    <row r="79" spans="1:32" ht="34">
      <c r="A79" s="766"/>
      <c r="B79" s="105"/>
      <c r="C79" s="106"/>
      <c r="D79" s="106"/>
      <c r="E79" s="179"/>
      <c r="F79" s="106"/>
      <c r="G79" s="106"/>
      <c r="H79" s="106"/>
      <c r="I79" s="103"/>
      <c r="J79" s="104"/>
      <c r="K79" s="122" t="s">
        <v>1349</v>
      </c>
      <c r="L79" s="122" t="s">
        <v>1423</v>
      </c>
      <c r="M79" s="122" t="s">
        <v>1424</v>
      </c>
      <c r="N79" s="122" t="s">
        <v>1425</v>
      </c>
      <c r="O79" s="122" t="s">
        <v>1426</v>
      </c>
      <c r="P79" s="122" t="s">
        <v>1427</v>
      </c>
      <c r="Q79" s="122" t="s">
        <v>1428</v>
      </c>
      <c r="R79" s="122" t="s">
        <v>1429</v>
      </c>
      <c r="S79" s="122" t="s">
        <v>1430</v>
      </c>
      <c r="T79" s="123" t="s">
        <v>1431</v>
      </c>
      <c r="V79" s="171"/>
      <c r="W79" s="105"/>
      <c r="X79" s="191" t="s">
        <v>1334</v>
      </c>
      <c r="Y79" s="114">
        <f>S14</f>
        <v>0</v>
      </c>
      <c r="Z79" s="714">
        <f>SUM(Y79*Y80)</f>
        <v>0</v>
      </c>
      <c r="AA79" s="715"/>
      <c r="AB79" s="407" t="str">
        <f>IF(AND(Z79&gt;0,Z79&lt;='Risk Calc'!F87),"Acceptable",IF(AND(Z79&gt;='Risk Calc'!F89,Z79&lt;='Risk Calc'!F91),"Tolerable",IF(Z79&gt;='Risk Calc'!F93,"Unacceptable","Unknown")))</f>
        <v>Unknown</v>
      </c>
      <c r="AC79" s="720"/>
      <c r="AD79" s="105"/>
      <c r="AE79" s="105"/>
      <c r="AF79" s="167"/>
    </row>
    <row r="80" spans="1:32">
      <c r="A80" s="766"/>
      <c r="B80" s="105"/>
      <c r="C80" s="105"/>
      <c r="D80" s="105"/>
      <c r="E80" s="126"/>
      <c r="F80" s="105"/>
      <c r="G80" s="105"/>
      <c r="H80" s="105"/>
      <c r="I80" s="90"/>
      <c r="J80" s="85" t="s">
        <v>1349</v>
      </c>
      <c r="K80" s="72">
        <v>0</v>
      </c>
      <c r="L80" s="72">
        <f>SUM(U60)</f>
        <v>1</v>
      </c>
      <c r="M80" s="72">
        <f>SUM(V60)</f>
        <v>2</v>
      </c>
      <c r="N80" s="72">
        <f>SUM(U61)</f>
        <v>2</v>
      </c>
      <c r="O80" s="72">
        <f>SUM(W60)</f>
        <v>3</v>
      </c>
      <c r="P80" s="72">
        <f>SUM(U62)</f>
        <v>3</v>
      </c>
      <c r="Q80" s="72">
        <f>SUM(V61)</f>
        <v>4</v>
      </c>
      <c r="R80" s="72">
        <f>SUM(W61)</f>
        <v>6</v>
      </c>
      <c r="S80" s="72">
        <f>SUM(V62)</f>
        <v>6</v>
      </c>
      <c r="T80" s="74">
        <f>SUM(W62)</f>
        <v>9</v>
      </c>
      <c r="V80" s="105"/>
      <c r="W80" s="105"/>
      <c r="X80" s="190" t="s">
        <v>1317</v>
      </c>
      <c r="Y80" s="114">
        <f>AB58</f>
        <v>0</v>
      </c>
      <c r="Z80" s="716"/>
      <c r="AA80" s="717"/>
      <c r="AB80" s="721"/>
      <c r="AC80" s="722"/>
      <c r="AD80" s="105"/>
      <c r="AE80" s="105"/>
      <c r="AF80" s="167"/>
    </row>
    <row r="81" spans="1:32">
      <c r="A81" s="766"/>
      <c r="B81" s="105"/>
      <c r="C81" s="105"/>
      <c r="D81" s="633" t="s">
        <v>1473</v>
      </c>
      <c r="E81" s="633"/>
      <c r="F81" s="633"/>
      <c r="G81" s="633"/>
      <c r="H81" s="105"/>
      <c r="I81" s="680" t="s">
        <v>1334</v>
      </c>
      <c r="J81" s="85" t="s">
        <v>1318</v>
      </c>
      <c r="K81" s="72">
        <f>SUM(J16)</f>
        <v>1</v>
      </c>
      <c r="L81" s="114">
        <f t="shared" ref="L81:T90" si="1">SUM(L$80*$K81)</f>
        <v>1</v>
      </c>
      <c r="M81" s="114">
        <f t="shared" si="1"/>
        <v>2</v>
      </c>
      <c r="N81" s="114">
        <f t="shared" si="1"/>
        <v>2</v>
      </c>
      <c r="O81" s="114">
        <f t="shared" si="1"/>
        <v>3</v>
      </c>
      <c r="P81" s="114">
        <f t="shared" si="1"/>
        <v>3</v>
      </c>
      <c r="Q81" s="114">
        <f t="shared" si="1"/>
        <v>4</v>
      </c>
      <c r="R81" s="114">
        <f t="shared" si="1"/>
        <v>6</v>
      </c>
      <c r="S81" s="114">
        <f t="shared" si="1"/>
        <v>6</v>
      </c>
      <c r="T81" s="69">
        <f t="shared" si="1"/>
        <v>9</v>
      </c>
      <c r="V81" s="105"/>
      <c r="W81" s="105"/>
      <c r="X81" s="708"/>
      <c r="Y81" s="709"/>
      <c r="Z81" s="716"/>
      <c r="AA81" s="717"/>
      <c r="AB81" s="721"/>
      <c r="AC81" s="722"/>
      <c r="AD81" s="105"/>
      <c r="AE81" s="105"/>
      <c r="AF81" s="167"/>
    </row>
    <row r="82" spans="1:32">
      <c r="A82" s="766"/>
      <c r="B82" s="105"/>
      <c r="C82" s="105"/>
      <c r="D82" s="633"/>
      <c r="E82" s="633"/>
      <c r="F82" s="633"/>
      <c r="G82" s="633"/>
      <c r="H82" s="105"/>
      <c r="I82" s="680"/>
      <c r="J82" s="85" t="s">
        <v>1319</v>
      </c>
      <c r="K82" s="72">
        <f>SUM(K16)</f>
        <v>2</v>
      </c>
      <c r="L82" s="114">
        <f t="shared" si="1"/>
        <v>2</v>
      </c>
      <c r="M82" s="114">
        <f t="shared" si="1"/>
        <v>4</v>
      </c>
      <c r="N82" s="114">
        <f t="shared" si="1"/>
        <v>4</v>
      </c>
      <c r="O82" s="114">
        <f t="shared" si="1"/>
        <v>6</v>
      </c>
      <c r="P82" s="114">
        <f t="shared" si="1"/>
        <v>6</v>
      </c>
      <c r="Q82" s="114">
        <f t="shared" si="1"/>
        <v>8</v>
      </c>
      <c r="R82" s="114">
        <f t="shared" si="1"/>
        <v>12</v>
      </c>
      <c r="S82" s="114">
        <f t="shared" si="1"/>
        <v>12</v>
      </c>
      <c r="T82" s="69">
        <f t="shared" si="1"/>
        <v>18</v>
      </c>
      <c r="V82" s="105"/>
      <c r="W82" s="105"/>
      <c r="X82" s="710"/>
      <c r="Y82" s="711"/>
      <c r="Z82" s="716"/>
      <c r="AA82" s="717"/>
      <c r="AB82" s="721"/>
      <c r="AC82" s="722"/>
      <c r="AD82" s="105"/>
      <c r="AE82" s="105"/>
      <c r="AF82" s="167"/>
    </row>
    <row r="83" spans="1:32" ht="17" thickBot="1">
      <c r="A83" s="766"/>
      <c r="B83" s="105"/>
      <c r="C83" s="105"/>
      <c r="D83" s="633"/>
      <c r="E83" s="633"/>
      <c r="F83" s="633"/>
      <c r="G83" s="633"/>
      <c r="H83" s="105"/>
      <c r="I83" s="680"/>
      <c r="J83" s="85" t="s">
        <v>1322</v>
      </c>
      <c r="K83" s="72">
        <f>SUM(J17)</f>
        <v>2</v>
      </c>
      <c r="L83" s="114">
        <f t="shared" si="1"/>
        <v>2</v>
      </c>
      <c r="M83" s="114">
        <f t="shared" si="1"/>
        <v>4</v>
      </c>
      <c r="N83" s="114">
        <f t="shared" si="1"/>
        <v>4</v>
      </c>
      <c r="O83" s="114">
        <f t="shared" si="1"/>
        <v>6</v>
      </c>
      <c r="P83" s="114">
        <f t="shared" si="1"/>
        <v>6</v>
      </c>
      <c r="Q83" s="114">
        <f t="shared" si="1"/>
        <v>8</v>
      </c>
      <c r="R83" s="114">
        <f t="shared" si="1"/>
        <v>12</v>
      </c>
      <c r="S83" s="114">
        <f t="shared" si="1"/>
        <v>12</v>
      </c>
      <c r="T83" s="69">
        <f t="shared" si="1"/>
        <v>18</v>
      </c>
      <c r="V83" s="105"/>
      <c r="W83" s="105"/>
      <c r="X83" s="712"/>
      <c r="Y83" s="713"/>
      <c r="Z83" s="718"/>
      <c r="AA83" s="719"/>
      <c r="AB83" s="723"/>
      <c r="AC83" s="724"/>
      <c r="AD83" s="105"/>
      <c r="AE83" s="105"/>
      <c r="AF83" s="167"/>
    </row>
    <row r="84" spans="1:32" ht="18" thickTop="1" thickBot="1">
      <c r="A84" s="766"/>
      <c r="B84" s="105"/>
      <c r="C84" s="105"/>
      <c r="D84" s="105"/>
      <c r="E84" s="126"/>
      <c r="F84" s="105"/>
      <c r="G84" s="105"/>
      <c r="H84" s="105"/>
      <c r="I84" s="680"/>
      <c r="J84" s="85" t="s">
        <v>1320</v>
      </c>
      <c r="K84" s="72">
        <f>SUM(L16)</f>
        <v>3</v>
      </c>
      <c r="L84" s="114">
        <f t="shared" si="1"/>
        <v>3</v>
      </c>
      <c r="M84" s="114">
        <f t="shared" si="1"/>
        <v>6</v>
      </c>
      <c r="N84" s="114">
        <f t="shared" si="1"/>
        <v>6</v>
      </c>
      <c r="O84" s="114">
        <f t="shared" si="1"/>
        <v>9</v>
      </c>
      <c r="P84" s="114">
        <f t="shared" si="1"/>
        <v>9</v>
      </c>
      <c r="Q84" s="114">
        <f t="shared" si="1"/>
        <v>12</v>
      </c>
      <c r="R84" s="114">
        <f t="shared" si="1"/>
        <v>18</v>
      </c>
      <c r="S84" s="114">
        <f t="shared" si="1"/>
        <v>18</v>
      </c>
      <c r="T84" s="69">
        <f t="shared" si="1"/>
        <v>27</v>
      </c>
      <c r="V84" s="105"/>
      <c r="W84" s="105"/>
      <c r="X84" s="105"/>
      <c r="Y84" s="105"/>
      <c r="Z84" s="105"/>
      <c r="AA84" s="105"/>
      <c r="AB84" s="105"/>
      <c r="AC84" s="105"/>
      <c r="AD84" s="105"/>
      <c r="AE84" s="105"/>
      <c r="AF84" s="167"/>
    </row>
    <row r="85" spans="1:32">
      <c r="A85" s="766"/>
      <c r="B85" s="105"/>
      <c r="C85" s="105"/>
      <c r="D85" s="788" t="s">
        <v>1342</v>
      </c>
      <c r="E85" s="789"/>
      <c r="F85" s="789"/>
      <c r="G85" s="790"/>
      <c r="H85" s="105"/>
      <c r="I85" s="680"/>
      <c r="J85" s="85" t="s">
        <v>1326</v>
      </c>
      <c r="K85" s="72">
        <f>SUM(J18)</f>
        <v>3</v>
      </c>
      <c r="L85" s="114">
        <f t="shared" si="1"/>
        <v>3</v>
      </c>
      <c r="M85" s="114">
        <f t="shared" si="1"/>
        <v>6</v>
      </c>
      <c r="N85" s="114">
        <f t="shared" si="1"/>
        <v>6</v>
      </c>
      <c r="O85" s="114">
        <f t="shared" si="1"/>
        <v>9</v>
      </c>
      <c r="P85" s="114">
        <f t="shared" si="1"/>
        <v>9</v>
      </c>
      <c r="Q85" s="114">
        <f t="shared" si="1"/>
        <v>12</v>
      </c>
      <c r="R85" s="114">
        <f t="shared" si="1"/>
        <v>18</v>
      </c>
      <c r="S85" s="114">
        <f t="shared" si="1"/>
        <v>18</v>
      </c>
      <c r="T85" s="69">
        <f t="shared" si="1"/>
        <v>27</v>
      </c>
      <c r="V85" s="105"/>
      <c r="W85" s="105"/>
      <c r="X85" s="105"/>
      <c r="Y85" s="105"/>
      <c r="Z85" s="105"/>
      <c r="AA85" s="105"/>
      <c r="AB85" s="105"/>
      <c r="AC85" s="105"/>
      <c r="AD85" s="105"/>
      <c r="AE85" s="105"/>
      <c r="AF85" s="167"/>
    </row>
    <row r="86" spans="1:32">
      <c r="A86" s="766"/>
      <c r="B86" s="105"/>
      <c r="C86" s="105"/>
      <c r="D86" s="791"/>
      <c r="E86" s="792"/>
      <c r="F86" s="792"/>
      <c r="G86" s="793"/>
      <c r="H86" s="105"/>
      <c r="I86" s="680"/>
      <c r="J86" s="85" t="s">
        <v>1321</v>
      </c>
      <c r="K86" s="72">
        <f>SUM(M16)</f>
        <v>4</v>
      </c>
      <c r="L86" s="114">
        <f t="shared" si="1"/>
        <v>4</v>
      </c>
      <c r="M86" s="114">
        <f t="shared" si="1"/>
        <v>8</v>
      </c>
      <c r="N86" s="114">
        <f t="shared" si="1"/>
        <v>8</v>
      </c>
      <c r="O86" s="114">
        <f t="shared" si="1"/>
        <v>12</v>
      </c>
      <c r="P86" s="114">
        <f t="shared" si="1"/>
        <v>12</v>
      </c>
      <c r="Q86" s="114">
        <f t="shared" si="1"/>
        <v>16</v>
      </c>
      <c r="R86" s="114">
        <f t="shared" si="1"/>
        <v>24</v>
      </c>
      <c r="S86" s="114">
        <f t="shared" si="1"/>
        <v>24</v>
      </c>
      <c r="T86" s="69">
        <f t="shared" si="1"/>
        <v>36</v>
      </c>
      <c r="V86" s="105"/>
      <c r="W86" s="105"/>
      <c r="X86" s="105"/>
      <c r="Y86" s="105"/>
      <c r="Z86" s="105"/>
      <c r="AA86" s="105"/>
      <c r="AB86" s="105"/>
      <c r="AC86" s="105"/>
      <c r="AD86" s="105"/>
      <c r="AE86" s="105"/>
      <c r="AF86" s="167"/>
    </row>
    <row r="87" spans="1:32">
      <c r="A87" s="766"/>
      <c r="B87" s="105"/>
      <c r="C87" s="105"/>
      <c r="D87" s="674" t="s">
        <v>1353</v>
      </c>
      <c r="E87" s="688" t="s">
        <v>1340</v>
      </c>
      <c r="F87" s="676">
        <v>18</v>
      </c>
      <c r="G87" s="677"/>
      <c r="H87" s="105"/>
      <c r="I87" s="680"/>
      <c r="J87" s="85" t="s">
        <v>1323</v>
      </c>
      <c r="K87" s="72">
        <f>SUM(K17)</f>
        <v>4</v>
      </c>
      <c r="L87" s="114">
        <f t="shared" si="1"/>
        <v>4</v>
      </c>
      <c r="M87" s="114">
        <f t="shared" si="1"/>
        <v>8</v>
      </c>
      <c r="N87" s="114">
        <f t="shared" si="1"/>
        <v>8</v>
      </c>
      <c r="O87" s="114">
        <f t="shared" si="1"/>
        <v>12</v>
      </c>
      <c r="P87" s="114">
        <f t="shared" si="1"/>
        <v>12</v>
      </c>
      <c r="Q87" s="114">
        <f t="shared" si="1"/>
        <v>16</v>
      </c>
      <c r="R87" s="114">
        <f t="shared" si="1"/>
        <v>24</v>
      </c>
      <c r="S87" s="114">
        <f t="shared" si="1"/>
        <v>24</v>
      </c>
      <c r="T87" s="69">
        <f t="shared" si="1"/>
        <v>36</v>
      </c>
      <c r="V87" s="105"/>
      <c r="W87" s="105"/>
      <c r="X87" s="105"/>
      <c r="Y87" s="105"/>
      <c r="Z87" s="105"/>
      <c r="AA87" s="105"/>
      <c r="AB87" s="105"/>
      <c r="AC87" s="105"/>
      <c r="AD87" s="105"/>
      <c r="AE87" s="105"/>
      <c r="AF87" s="167"/>
    </row>
    <row r="88" spans="1:32">
      <c r="A88" s="766"/>
      <c r="B88" s="105"/>
      <c r="C88" s="105"/>
      <c r="D88" s="675"/>
      <c r="E88" s="690"/>
      <c r="F88" s="678"/>
      <c r="G88" s="679"/>
      <c r="H88" s="105"/>
      <c r="I88" s="680"/>
      <c r="J88" s="85" t="s">
        <v>1329</v>
      </c>
      <c r="K88" s="72">
        <f>SUM(J19)</f>
        <v>4</v>
      </c>
      <c r="L88" s="114">
        <f t="shared" si="1"/>
        <v>4</v>
      </c>
      <c r="M88" s="114">
        <f t="shared" si="1"/>
        <v>8</v>
      </c>
      <c r="N88" s="114">
        <f t="shared" si="1"/>
        <v>8</v>
      </c>
      <c r="O88" s="114">
        <f t="shared" si="1"/>
        <v>12</v>
      </c>
      <c r="P88" s="114">
        <f t="shared" si="1"/>
        <v>12</v>
      </c>
      <c r="Q88" s="114">
        <f t="shared" si="1"/>
        <v>16</v>
      </c>
      <c r="R88" s="114">
        <f t="shared" si="1"/>
        <v>24</v>
      </c>
      <c r="S88" s="114">
        <f t="shared" si="1"/>
        <v>24</v>
      </c>
      <c r="T88" s="69">
        <f t="shared" si="1"/>
        <v>36</v>
      </c>
      <c r="V88" s="105"/>
      <c r="W88" s="105"/>
      <c r="X88" s="105"/>
      <c r="Y88" s="105"/>
      <c r="Z88" s="105"/>
      <c r="AA88" s="105"/>
      <c r="AB88" s="105"/>
      <c r="AC88" s="105"/>
      <c r="AD88" s="105"/>
      <c r="AE88" s="105"/>
      <c r="AF88" s="167"/>
    </row>
    <row r="89" spans="1:32">
      <c r="A89" s="766"/>
      <c r="B89" s="105"/>
      <c r="C89" s="105"/>
      <c r="D89" s="693" t="s">
        <v>1354</v>
      </c>
      <c r="E89" s="688" t="s">
        <v>1341</v>
      </c>
      <c r="F89" s="676">
        <v>19</v>
      </c>
      <c r="G89" s="677"/>
      <c r="H89" s="105"/>
      <c r="I89" s="680"/>
      <c r="J89" s="85" t="s">
        <v>1324</v>
      </c>
      <c r="K89" s="72">
        <f>SUM(L17)</f>
        <v>6</v>
      </c>
      <c r="L89" s="114">
        <f t="shared" si="1"/>
        <v>6</v>
      </c>
      <c r="M89" s="114">
        <f t="shared" si="1"/>
        <v>12</v>
      </c>
      <c r="N89" s="114">
        <f t="shared" si="1"/>
        <v>12</v>
      </c>
      <c r="O89" s="114">
        <f t="shared" si="1"/>
        <v>18</v>
      </c>
      <c r="P89" s="114">
        <f t="shared" si="1"/>
        <v>18</v>
      </c>
      <c r="Q89" s="114">
        <f t="shared" si="1"/>
        <v>24</v>
      </c>
      <c r="R89" s="114">
        <f t="shared" si="1"/>
        <v>36</v>
      </c>
      <c r="S89" s="114">
        <f t="shared" si="1"/>
        <v>36</v>
      </c>
      <c r="T89" s="69">
        <f t="shared" si="1"/>
        <v>54</v>
      </c>
      <c r="V89" s="105"/>
      <c r="W89" s="105"/>
      <c r="X89" s="105"/>
      <c r="Y89" s="105"/>
      <c r="Z89" s="105"/>
      <c r="AA89" s="105"/>
      <c r="AB89" s="105"/>
      <c r="AC89" s="105"/>
      <c r="AD89" s="105"/>
      <c r="AE89" s="105"/>
      <c r="AF89" s="167"/>
    </row>
    <row r="90" spans="1:32">
      <c r="A90" s="766"/>
      <c r="B90" s="105"/>
      <c r="C90" s="105"/>
      <c r="D90" s="694"/>
      <c r="E90" s="689"/>
      <c r="F90" s="691"/>
      <c r="G90" s="692"/>
      <c r="H90" s="105"/>
      <c r="I90" s="680"/>
      <c r="J90" s="85" t="s">
        <v>1327</v>
      </c>
      <c r="K90" s="72">
        <f>SUM(K18)</f>
        <v>6</v>
      </c>
      <c r="L90" s="114">
        <f t="shared" si="1"/>
        <v>6</v>
      </c>
      <c r="M90" s="114">
        <f t="shared" si="1"/>
        <v>12</v>
      </c>
      <c r="N90" s="114">
        <f t="shared" si="1"/>
        <v>12</v>
      </c>
      <c r="O90" s="114">
        <f t="shared" si="1"/>
        <v>18</v>
      </c>
      <c r="P90" s="114">
        <f t="shared" si="1"/>
        <v>18</v>
      </c>
      <c r="Q90" s="114">
        <f t="shared" si="1"/>
        <v>24</v>
      </c>
      <c r="R90" s="114">
        <f t="shared" si="1"/>
        <v>36</v>
      </c>
      <c r="S90" s="114">
        <f t="shared" si="1"/>
        <v>36</v>
      </c>
      <c r="T90" s="69">
        <f t="shared" si="1"/>
        <v>54</v>
      </c>
      <c r="V90" s="105"/>
      <c r="W90" s="105"/>
      <c r="X90" s="105"/>
      <c r="Y90" s="105"/>
      <c r="Z90" s="105"/>
      <c r="AA90" s="105"/>
      <c r="AB90" s="105"/>
      <c r="AC90" s="105"/>
      <c r="AD90" s="105"/>
      <c r="AE90" s="105"/>
      <c r="AF90" s="167"/>
    </row>
    <row r="91" spans="1:32">
      <c r="A91" s="766"/>
      <c r="B91" s="105"/>
      <c r="C91" s="105"/>
      <c r="D91" s="694"/>
      <c r="E91" s="689" t="s">
        <v>1340</v>
      </c>
      <c r="F91" s="691">
        <v>53</v>
      </c>
      <c r="G91" s="692"/>
      <c r="H91" s="105"/>
      <c r="I91" s="680"/>
      <c r="J91" s="85" t="s">
        <v>1325</v>
      </c>
      <c r="K91" s="72">
        <f>SUM(M17)</f>
        <v>8</v>
      </c>
      <c r="L91" s="114">
        <f t="shared" ref="L91:T96" si="2">SUM(L$80*$K91)</f>
        <v>8</v>
      </c>
      <c r="M91" s="114">
        <f t="shared" si="2"/>
        <v>16</v>
      </c>
      <c r="N91" s="114">
        <f t="shared" si="2"/>
        <v>16</v>
      </c>
      <c r="O91" s="114">
        <f t="shared" si="2"/>
        <v>24</v>
      </c>
      <c r="P91" s="114">
        <f t="shared" si="2"/>
        <v>24</v>
      </c>
      <c r="Q91" s="114">
        <f t="shared" si="2"/>
        <v>32</v>
      </c>
      <c r="R91" s="114">
        <f t="shared" si="2"/>
        <v>48</v>
      </c>
      <c r="S91" s="114">
        <f t="shared" si="2"/>
        <v>48</v>
      </c>
      <c r="T91" s="69">
        <f t="shared" si="2"/>
        <v>72</v>
      </c>
      <c r="V91" s="105"/>
      <c r="W91" s="105"/>
      <c r="X91" s="105"/>
      <c r="Y91" s="105"/>
      <c r="Z91" s="105"/>
      <c r="AA91" s="105"/>
      <c r="AB91" s="105"/>
      <c r="AC91" s="105"/>
      <c r="AD91" s="105"/>
      <c r="AE91" s="105"/>
      <c r="AF91" s="167"/>
    </row>
    <row r="92" spans="1:32">
      <c r="A92" s="766"/>
      <c r="B92" s="105"/>
      <c r="C92" s="105"/>
      <c r="D92" s="695"/>
      <c r="E92" s="690"/>
      <c r="F92" s="678"/>
      <c r="G92" s="679"/>
      <c r="H92" s="105"/>
      <c r="I92" s="680"/>
      <c r="J92" s="85" t="s">
        <v>1330</v>
      </c>
      <c r="K92" s="72">
        <f>SUM(K19)</f>
        <v>8</v>
      </c>
      <c r="L92" s="114">
        <f t="shared" si="2"/>
        <v>8</v>
      </c>
      <c r="M92" s="114">
        <f t="shared" si="2"/>
        <v>16</v>
      </c>
      <c r="N92" s="114">
        <f t="shared" si="2"/>
        <v>16</v>
      </c>
      <c r="O92" s="114">
        <f t="shared" si="2"/>
        <v>24</v>
      </c>
      <c r="P92" s="114">
        <f t="shared" si="2"/>
        <v>24</v>
      </c>
      <c r="Q92" s="114">
        <f t="shared" si="2"/>
        <v>32</v>
      </c>
      <c r="R92" s="114">
        <f t="shared" si="2"/>
        <v>48</v>
      </c>
      <c r="S92" s="114">
        <f t="shared" si="2"/>
        <v>48</v>
      </c>
      <c r="T92" s="69">
        <f t="shared" si="2"/>
        <v>72</v>
      </c>
      <c r="V92" s="105"/>
      <c r="W92" s="105"/>
      <c r="X92" s="105"/>
      <c r="Y92" s="105"/>
      <c r="Z92" s="105"/>
      <c r="AA92" s="105"/>
      <c r="AB92" s="105"/>
      <c r="AC92" s="105"/>
      <c r="AD92" s="105"/>
      <c r="AE92" s="105"/>
      <c r="AF92" s="167"/>
    </row>
    <row r="93" spans="1:32">
      <c r="A93" s="766"/>
      <c r="B93" s="105"/>
      <c r="C93" s="105"/>
      <c r="D93" s="696" t="s">
        <v>1355</v>
      </c>
      <c r="E93" s="688" t="s">
        <v>1341</v>
      </c>
      <c r="F93" s="676">
        <v>54</v>
      </c>
      <c r="G93" s="677"/>
      <c r="H93" s="105"/>
      <c r="I93" s="680"/>
      <c r="J93" s="85" t="s">
        <v>1328</v>
      </c>
      <c r="K93" s="72">
        <f>SUM(L18)</f>
        <v>9</v>
      </c>
      <c r="L93" s="114">
        <f t="shared" si="2"/>
        <v>9</v>
      </c>
      <c r="M93" s="114">
        <f t="shared" si="2"/>
        <v>18</v>
      </c>
      <c r="N93" s="114">
        <f t="shared" si="2"/>
        <v>18</v>
      </c>
      <c r="O93" s="114">
        <f t="shared" si="2"/>
        <v>27</v>
      </c>
      <c r="P93" s="114">
        <f t="shared" si="2"/>
        <v>27</v>
      </c>
      <c r="Q93" s="114">
        <f t="shared" si="2"/>
        <v>36</v>
      </c>
      <c r="R93" s="114">
        <f t="shared" si="2"/>
        <v>54</v>
      </c>
      <c r="S93" s="114">
        <f t="shared" si="2"/>
        <v>54</v>
      </c>
      <c r="T93" s="69">
        <f t="shared" si="2"/>
        <v>81</v>
      </c>
      <c r="V93" s="105"/>
      <c r="W93" s="105"/>
      <c r="X93" s="105"/>
      <c r="Y93" s="105"/>
      <c r="Z93" s="105"/>
      <c r="AA93" s="105"/>
      <c r="AB93" s="105"/>
      <c r="AC93" s="105"/>
      <c r="AD93" s="105"/>
      <c r="AE93" s="105"/>
      <c r="AF93" s="167"/>
    </row>
    <row r="94" spans="1:32" ht="17" thickBot="1">
      <c r="A94" s="766"/>
      <c r="B94" s="105"/>
      <c r="C94" s="105"/>
      <c r="D94" s="697"/>
      <c r="E94" s="698"/>
      <c r="F94" s="699"/>
      <c r="G94" s="700"/>
      <c r="H94" s="105"/>
      <c r="I94" s="680"/>
      <c r="J94" s="85" t="s">
        <v>1331</v>
      </c>
      <c r="K94" s="72">
        <f>SUM(L19)</f>
        <v>12</v>
      </c>
      <c r="L94" s="114">
        <f t="shared" si="2"/>
        <v>12</v>
      </c>
      <c r="M94" s="114">
        <f t="shared" si="2"/>
        <v>24</v>
      </c>
      <c r="N94" s="114">
        <f t="shared" si="2"/>
        <v>24</v>
      </c>
      <c r="O94" s="114">
        <f t="shared" si="2"/>
        <v>36</v>
      </c>
      <c r="P94" s="114">
        <f t="shared" si="2"/>
        <v>36</v>
      </c>
      <c r="Q94" s="114">
        <f t="shared" si="2"/>
        <v>48</v>
      </c>
      <c r="R94" s="114">
        <f t="shared" si="2"/>
        <v>72</v>
      </c>
      <c r="S94" s="114">
        <f t="shared" si="2"/>
        <v>72</v>
      </c>
      <c r="T94" s="69">
        <f t="shared" si="2"/>
        <v>108</v>
      </c>
      <c r="V94" s="105"/>
      <c r="W94" s="105"/>
      <c r="X94" s="105"/>
      <c r="Y94" s="105"/>
      <c r="Z94" s="105"/>
      <c r="AA94" s="105"/>
      <c r="AB94" s="105"/>
      <c r="AC94" s="105"/>
      <c r="AD94" s="105"/>
      <c r="AE94" s="105"/>
      <c r="AF94" s="167"/>
    </row>
    <row r="95" spans="1:32">
      <c r="A95" s="766"/>
      <c r="B95" s="105"/>
      <c r="C95" s="105"/>
      <c r="D95" s="105"/>
      <c r="E95" s="126"/>
      <c r="F95" s="105"/>
      <c r="G95" s="105"/>
      <c r="H95" s="105"/>
      <c r="I95" s="680"/>
      <c r="J95" s="85" t="s">
        <v>1332</v>
      </c>
      <c r="K95" s="72">
        <f>SUM(M18)</f>
        <v>12</v>
      </c>
      <c r="L95" s="114">
        <f t="shared" si="2"/>
        <v>12</v>
      </c>
      <c r="M95" s="114">
        <f t="shared" si="2"/>
        <v>24</v>
      </c>
      <c r="N95" s="114">
        <f t="shared" si="2"/>
        <v>24</v>
      </c>
      <c r="O95" s="114">
        <f t="shared" si="2"/>
        <v>36</v>
      </c>
      <c r="P95" s="114">
        <f t="shared" si="2"/>
        <v>36</v>
      </c>
      <c r="Q95" s="114">
        <f t="shared" si="2"/>
        <v>48</v>
      </c>
      <c r="R95" s="114">
        <f t="shared" si="2"/>
        <v>72</v>
      </c>
      <c r="S95" s="114">
        <f t="shared" si="2"/>
        <v>72</v>
      </c>
      <c r="T95" s="69">
        <f t="shared" si="2"/>
        <v>108</v>
      </c>
      <c r="V95" s="105"/>
      <c r="W95" s="105"/>
      <c r="X95" s="105"/>
      <c r="Y95" s="105"/>
      <c r="Z95" s="105"/>
      <c r="AA95" s="105"/>
      <c r="AB95" s="105"/>
      <c r="AC95" s="105"/>
      <c r="AD95" s="105"/>
      <c r="AE95" s="105"/>
      <c r="AF95" s="167"/>
    </row>
    <row r="96" spans="1:32" ht="17" thickBot="1">
      <c r="A96" s="766"/>
      <c r="B96" s="105"/>
      <c r="C96" s="105"/>
      <c r="D96" s="172" t="s">
        <v>1474</v>
      </c>
      <c r="E96" s="126"/>
      <c r="F96" s="105"/>
      <c r="G96" s="105"/>
      <c r="H96" s="105"/>
      <c r="I96" s="681"/>
      <c r="J96" s="87" t="s">
        <v>1333</v>
      </c>
      <c r="K96" s="73">
        <f>SUM(M19)</f>
        <v>16</v>
      </c>
      <c r="L96" s="115">
        <f t="shared" si="2"/>
        <v>16</v>
      </c>
      <c r="M96" s="115">
        <f t="shared" si="2"/>
        <v>32</v>
      </c>
      <c r="N96" s="115">
        <f t="shared" si="2"/>
        <v>32</v>
      </c>
      <c r="O96" s="115">
        <f t="shared" si="2"/>
        <v>48</v>
      </c>
      <c r="P96" s="115">
        <f t="shared" si="2"/>
        <v>48</v>
      </c>
      <c r="Q96" s="115">
        <f t="shared" si="2"/>
        <v>64</v>
      </c>
      <c r="R96" s="115">
        <f t="shared" si="2"/>
        <v>96</v>
      </c>
      <c r="S96" s="115">
        <f t="shared" si="2"/>
        <v>96</v>
      </c>
      <c r="T96" s="70">
        <f t="shared" si="2"/>
        <v>144</v>
      </c>
      <c r="V96" s="105"/>
      <c r="W96" s="105"/>
      <c r="X96" s="105"/>
      <c r="Y96" s="105"/>
      <c r="Z96" s="105"/>
      <c r="AA96" s="105"/>
      <c r="AB96" s="105"/>
      <c r="AC96" s="105"/>
      <c r="AD96" s="105"/>
      <c r="AE96" s="105"/>
      <c r="AF96" s="167"/>
    </row>
    <row r="97" spans="1:32">
      <c r="A97" s="766"/>
      <c r="B97" s="105"/>
      <c r="C97" s="105"/>
      <c r="D97" s="180" t="s">
        <v>1356</v>
      </c>
      <c r="E97" s="126"/>
      <c r="F97" s="105"/>
      <c r="G97" s="105"/>
      <c r="H97" s="105"/>
      <c r="I97" s="126"/>
      <c r="J97" s="126"/>
      <c r="K97" s="126"/>
      <c r="L97" s="126"/>
      <c r="M97" s="126"/>
      <c r="N97" s="106"/>
      <c r="O97" s="106"/>
      <c r="P97" s="106"/>
      <c r="Q97" s="106"/>
      <c r="R97" s="106"/>
      <c r="S97" s="106"/>
      <c r="T97" s="106"/>
      <c r="U97" s="106"/>
      <c r="V97" s="105"/>
      <c r="W97" s="105"/>
      <c r="X97" s="105"/>
      <c r="Y97" s="105"/>
      <c r="Z97" s="105"/>
      <c r="AA97" s="105"/>
      <c r="AB97" s="105"/>
      <c r="AC97" s="105"/>
      <c r="AD97" s="105"/>
      <c r="AE97" s="105"/>
      <c r="AF97" s="167"/>
    </row>
    <row r="98" spans="1:32">
      <c r="A98" s="766"/>
      <c r="B98" s="105"/>
      <c r="C98" s="105"/>
      <c r="D98" s="105" t="s">
        <v>1357</v>
      </c>
      <c r="E98" s="126"/>
      <c r="F98" s="105"/>
      <c r="G98" s="105"/>
      <c r="H98" s="105"/>
      <c r="I98" s="126"/>
      <c r="J98" s="126"/>
      <c r="K98" s="126"/>
      <c r="L98" s="126"/>
      <c r="M98" s="126"/>
      <c r="N98" s="105"/>
      <c r="O98" s="105"/>
      <c r="P98" s="105"/>
      <c r="Q98" s="105"/>
      <c r="R98" s="105"/>
      <c r="S98" s="105"/>
      <c r="T98" s="105"/>
      <c r="U98" s="105"/>
      <c r="V98" s="105"/>
      <c r="W98" s="105"/>
      <c r="X98" s="105"/>
      <c r="Y98" s="105"/>
      <c r="Z98" s="105"/>
      <c r="AA98" s="105"/>
      <c r="AB98" s="105"/>
      <c r="AC98" s="105"/>
      <c r="AD98" s="105"/>
      <c r="AE98" s="105"/>
      <c r="AF98" s="167"/>
    </row>
    <row r="99" spans="1:32">
      <c r="A99" s="766"/>
      <c r="B99" s="105"/>
      <c r="C99" s="105"/>
      <c r="D99" s="105" t="s">
        <v>1358</v>
      </c>
      <c r="E99" s="126"/>
      <c r="F99" s="105"/>
      <c r="G99" s="105"/>
      <c r="H99" s="105"/>
      <c r="I99" s="126"/>
      <c r="J99" s="126"/>
      <c r="K99" s="126"/>
      <c r="L99" s="126"/>
      <c r="M99" s="126"/>
      <c r="N99" s="105"/>
      <c r="O99" s="105"/>
      <c r="P99" s="105"/>
      <c r="Q99" s="105"/>
      <c r="R99" s="105"/>
      <c r="S99" s="105"/>
      <c r="T99" s="105"/>
      <c r="U99" s="105"/>
      <c r="V99" s="105"/>
      <c r="W99" s="105"/>
      <c r="X99" s="105"/>
      <c r="Y99" s="105"/>
      <c r="Z99" s="105"/>
      <c r="AA99" s="105"/>
      <c r="AB99" s="105"/>
      <c r="AC99" s="105"/>
      <c r="AD99" s="105"/>
      <c r="AE99" s="105"/>
      <c r="AF99" s="167"/>
    </row>
    <row r="100" spans="1:32">
      <c r="A100" s="766"/>
      <c r="B100" s="105"/>
      <c r="C100" s="105"/>
      <c r="D100" s="105" t="s">
        <v>1359</v>
      </c>
      <c r="E100" s="126"/>
      <c r="F100" s="105"/>
      <c r="G100" s="105"/>
      <c r="H100" s="105"/>
      <c r="I100" s="126"/>
      <c r="J100" s="126"/>
      <c r="K100" s="126"/>
      <c r="L100" s="126"/>
      <c r="M100" s="126"/>
      <c r="N100" s="105"/>
      <c r="O100" s="105"/>
      <c r="P100" s="105"/>
      <c r="Q100" s="105"/>
      <c r="R100" s="105"/>
      <c r="S100" s="105"/>
      <c r="T100" s="105"/>
      <c r="U100" s="105"/>
      <c r="V100" s="105"/>
      <c r="W100" s="105"/>
      <c r="X100" s="105"/>
      <c r="Y100" s="105"/>
      <c r="Z100" s="105"/>
      <c r="AA100" s="105"/>
      <c r="AB100" s="105"/>
      <c r="AC100" s="105"/>
      <c r="AD100" s="105"/>
      <c r="AE100" s="105"/>
      <c r="AF100" s="167"/>
    </row>
    <row r="101" spans="1:32" ht="17" thickBot="1">
      <c r="A101" s="767"/>
      <c r="B101" s="173"/>
      <c r="C101" s="173"/>
      <c r="D101" s="173"/>
      <c r="E101" s="174"/>
      <c r="F101" s="173"/>
      <c r="G101" s="173"/>
      <c r="H101" s="173"/>
      <c r="I101" s="174"/>
      <c r="J101" s="174"/>
      <c r="K101" s="174"/>
      <c r="L101" s="174"/>
      <c r="M101" s="174"/>
      <c r="N101" s="173"/>
      <c r="O101" s="173"/>
      <c r="P101" s="173"/>
      <c r="Q101" s="173"/>
      <c r="R101" s="173"/>
      <c r="S101" s="173"/>
      <c r="T101" s="173"/>
      <c r="U101" s="173"/>
      <c r="V101" s="173"/>
      <c r="W101" s="173"/>
      <c r="X101" s="173"/>
      <c r="Y101" s="173"/>
      <c r="Z101" s="173"/>
      <c r="AA101" s="173"/>
      <c r="AB101" s="173"/>
      <c r="AC101" s="173"/>
      <c r="AD101" s="173"/>
      <c r="AE101" s="173"/>
      <c r="AF101" s="175"/>
    </row>
  </sheetData>
  <mergeCells count="126">
    <mergeCell ref="A71:A101"/>
    <mergeCell ref="K46:M50"/>
    <mergeCell ref="V47:X50"/>
    <mergeCell ref="C33:C46"/>
    <mergeCell ref="B33:B46"/>
    <mergeCell ref="L78:T78"/>
    <mergeCell ref="I77:T77"/>
    <mergeCell ref="O40:O44"/>
    <mergeCell ref="N56:O56"/>
    <mergeCell ref="N57:O57"/>
    <mergeCell ref="N58:O58"/>
    <mergeCell ref="N55:O55"/>
    <mergeCell ref="N63:O63"/>
    <mergeCell ref="D81:G83"/>
    <mergeCell ref="S64:V64"/>
    <mergeCell ref="S65:T65"/>
    <mergeCell ref="E87:E88"/>
    <mergeCell ref="D85:G86"/>
    <mergeCell ref="P8:V10"/>
    <mergeCell ref="K21:M25"/>
    <mergeCell ref="A2:A26"/>
    <mergeCell ref="A28:A69"/>
    <mergeCell ref="Y52:AE54"/>
    <mergeCell ref="B8:B22"/>
    <mergeCell ref="N62:O62"/>
    <mergeCell ref="N64:O64"/>
    <mergeCell ref="N65:O65"/>
    <mergeCell ref="M55:M65"/>
    <mergeCell ref="M51:P53"/>
    <mergeCell ref="R32:AA34"/>
    <mergeCell ref="L55:L65"/>
    <mergeCell ref="R52:W54"/>
    <mergeCell ref="W38:W39"/>
    <mergeCell ref="P44:S44"/>
    <mergeCell ref="P43:S43"/>
    <mergeCell ref="P42:S42"/>
    <mergeCell ref="P41:S41"/>
    <mergeCell ref="P40:S40"/>
    <mergeCell ref="G37:G44"/>
    <mergeCell ref="H46:J46"/>
    <mergeCell ref="B29:E31"/>
    <mergeCell ref="G36:L36"/>
    <mergeCell ref="Y56:AE56"/>
    <mergeCell ref="I37:L37"/>
    <mergeCell ref="H48:H49"/>
    <mergeCell ref="R50:S50"/>
    <mergeCell ref="R48:S49"/>
    <mergeCell ref="R47:S47"/>
    <mergeCell ref="U38:U39"/>
    <mergeCell ref="V38:V39"/>
    <mergeCell ref="F53:J54"/>
    <mergeCell ref="AE38:AE39"/>
    <mergeCell ref="AD38:AD39"/>
    <mergeCell ref="T37:X37"/>
    <mergeCell ref="Y37:AD37"/>
    <mergeCell ref="X38:X39"/>
    <mergeCell ref="R46:U46"/>
    <mergeCell ref="AC38:AC39"/>
    <mergeCell ref="AB38:AB39"/>
    <mergeCell ref="AA38:AA39"/>
    <mergeCell ref="Z38:Z39"/>
    <mergeCell ref="Y38:Y39"/>
    <mergeCell ref="T38:T39"/>
    <mergeCell ref="G56:H56"/>
    <mergeCell ref="I56:J56"/>
    <mergeCell ref="Z78:AA78"/>
    <mergeCell ref="AB78:AC78"/>
    <mergeCell ref="X81:Y83"/>
    <mergeCell ref="Z79:AA83"/>
    <mergeCell ref="AB79:AC83"/>
    <mergeCell ref="AB57:AC57"/>
    <mergeCell ref="AD57:AE57"/>
    <mergeCell ref="AB58:AC62"/>
    <mergeCell ref="AD58:AE62"/>
    <mergeCell ref="X77:AC77"/>
    <mergeCell ref="X73:AC75"/>
    <mergeCell ref="Y58:Z58"/>
    <mergeCell ref="Y59:Z59"/>
    <mergeCell ref="Y60:Z60"/>
    <mergeCell ref="Y61:Z61"/>
    <mergeCell ref="Y62:Z62"/>
    <mergeCell ref="Y57:Z57"/>
    <mergeCell ref="P15:Q15"/>
    <mergeCell ref="D87:D88"/>
    <mergeCell ref="F87:G88"/>
    <mergeCell ref="I81:I96"/>
    <mergeCell ref="L73:S75"/>
    <mergeCell ref="S66:T67"/>
    <mergeCell ref="S68:T68"/>
    <mergeCell ref="E89:E90"/>
    <mergeCell ref="E91:E92"/>
    <mergeCell ref="F91:G92"/>
    <mergeCell ref="D89:D92"/>
    <mergeCell ref="D93:D94"/>
    <mergeCell ref="E93:E94"/>
    <mergeCell ref="F93:G94"/>
    <mergeCell ref="F89:G90"/>
    <mergeCell ref="P16:Q16"/>
    <mergeCell ref="P17:Q17"/>
    <mergeCell ref="P18:Q18"/>
    <mergeCell ref="G57:H57"/>
    <mergeCell ref="I57:J57"/>
    <mergeCell ref="A1:AF1"/>
    <mergeCell ref="B3:E5"/>
    <mergeCell ref="G8:M10"/>
    <mergeCell ref="R56:W56"/>
    <mergeCell ref="G12:M12"/>
    <mergeCell ref="D14:E16"/>
    <mergeCell ref="C8:C22"/>
    <mergeCell ref="C7:E7"/>
    <mergeCell ref="R58:R62"/>
    <mergeCell ref="S57:W57"/>
    <mergeCell ref="I13:M13"/>
    <mergeCell ref="G15:G19"/>
    <mergeCell ref="G13:H14"/>
    <mergeCell ref="G32:L34"/>
    <mergeCell ref="H23:H24"/>
    <mergeCell ref="H21:J21"/>
    <mergeCell ref="P12:V12"/>
    <mergeCell ref="O36:AE36"/>
    <mergeCell ref="S13:T13"/>
    <mergeCell ref="S14:T18"/>
    <mergeCell ref="U14:V18"/>
    <mergeCell ref="U13:V13"/>
    <mergeCell ref="P13:Q13"/>
    <mergeCell ref="P14:Q14"/>
  </mergeCells>
  <conditionalFormatting sqref="L81:T96">
    <cfRule type="cellIs" dxfId="398" priority="615" operator="greaterThanOrEqual">
      <formula>$F$93</formula>
    </cfRule>
    <cfRule type="cellIs" dxfId="397" priority="616" operator="between">
      <formula>$F$89</formula>
      <formula>$F$91</formula>
    </cfRule>
    <cfRule type="cellIs" dxfId="396" priority="617" operator="lessThanOrEqual">
      <formula>$F$87</formula>
    </cfRule>
  </conditionalFormatting>
  <conditionalFormatting sqref="J16:M19">
    <cfRule type="cellIs" dxfId="395" priority="12" operator="between">
      <formula>$J$23</formula>
      <formula>$J$24</formula>
    </cfRule>
    <cfRule type="cellIs" dxfId="394" priority="13" operator="lessThanOrEqual">
      <formula>$J$22</formula>
    </cfRule>
    <cfRule type="cellIs" dxfId="393" priority="14" operator="greaterThanOrEqual">
      <formula>$J$25</formula>
    </cfRule>
  </conditionalFormatting>
  <conditionalFormatting sqref="U60:W62">
    <cfRule type="cellIs" dxfId="392" priority="9" operator="between">
      <formula>$V$66</formula>
      <formula>$V$67</formula>
    </cfRule>
    <cfRule type="cellIs" dxfId="391" priority="10" operator="lessThanOrEqual">
      <formula>$V$65</formula>
    </cfRule>
    <cfRule type="cellIs" dxfId="390" priority="11" operator="greaterThanOrEqual">
      <formula>$V$68</formula>
    </cfRule>
  </conditionalFormatting>
  <conditionalFormatting sqref="J40:L44">
    <cfRule type="cellIs" dxfId="389" priority="3" operator="greaterThanOrEqual">
      <formula>$J$50</formula>
    </cfRule>
    <cfRule type="cellIs" dxfId="388" priority="4" operator="between">
      <formula>$J$48</formula>
      <formula>$J$49</formula>
    </cfRule>
    <cfRule type="cellIs" dxfId="387" priority="5" operator="lessThanOrEqual">
      <formula>$J$47</formula>
    </cfRule>
    <cfRule type="cellIs" dxfId="386" priority="6" operator="between">
      <formula>$E$15</formula>
      <formula>$E$16</formula>
    </cfRule>
    <cfRule type="cellIs" dxfId="385" priority="7" operator="greaterThanOrEqual">
      <formula>$E$17</formula>
    </cfRule>
    <cfRule type="cellIs" dxfId="384" priority="8" operator="lessThanOrEqual">
      <formula>$E$14</formula>
    </cfRule>
  </conditionalFormatting>
  <conditionalFormatting sqref="W40:X44 AE40:AE44">
    <cfRule type="containsErrors" dxfId="383" priority="2">
      <formula>ISERROR(W40)</formula>
    </cfRule>
  </conditionalFormatting>
  <conditionalFormatting sqref="Y58:AA62">
    <cfRule type="containsErrors" dxfId="382" priority="1">
      <formula>ISERROR(Y58)</formula>
    </cfRule>
  </conditionalFormatting>
  <pageMargins left="0.25" right="0.25" top="0.75" bottom="0.75" header="0.3" footer="0.3"/>
  <pageSetup scale="29" orientation="landscape" verticalDpi="0" r:id="rId1"/>
  <ignoredErrors>
    <ignoredError sqref="AD41" formula="1"/>
  </ignoredError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A45C-4E2E-3848-B9D2-83097422142D}">
  <sheetPr>
    <tabColor theme="4"/>
  </sheetPr>
  <dimension ref="A1:K130"/>
  <sheetViews>
    <sheetView showGridLines="0" zoomScale="70" zoomScaleNormal="70" workbookViewId="0"/>
  </sheetViews>
  <sheetFormatPr baseColWidth="10" defaultColWidth="11" defaultRowHeight="16"/>
  <sheetData>
    <row r="1" spans="1:11">
      <c r="A1" s="118" t="s">
        <v>1408</v>
      </c>
      <c r="B1" s="119" t="s">
        <v>1409</v>
      </c>
      <c r="C1" s="120" t="s">
        <v>1415</v>
      </c>
      <c r="D1" s="121" t="s">
        <v>1418</v>
      </c>
      <c r="E1" s="287" t="s">
        <v>1419</v>
      </c>
      <c r="H1" s="71" t="s">
        <v>1541</v>
      </c>
    </row>
    <row r="2" spans="1:11">
      <c r="A2">
        <f t="array" ref="A2:A130">COUNTIFS(I$2,'VENDOR QUESTIONNAIRE'!$T$58:$T$181,I$3,'VENDOR QUESTIONNAIRE'!$L$58:$L$181)</f>
        <v>0</v>
      </c>
      <c r="B2">
        <f t="array" ref="B2:B130">MATCH(ROW('VENDOR QUESTIONNAIRE'!C58:C181),ROW('VENDOR QUESTIONNAIRE'!C58:C181))</f>
        <v>1</v>
      </c>
      <c r="C2" s="117" t="str">
        <f t="array" ref="C2:C130">IF(COUNTIFS(I$2,'VENDOR QUESTIONNAIRE'!$T$58:$T$181,I$3,'VENDOR QUESTIONNAIRE'!$L$58:$L$181),MATCH(ROW('VENDOR QUESTIONNAIRE'!C58:C181),ROW('VENDOR QUESTIONNAIRE'!C58:C181)),"")</f>
        <v/>
      </c>
      <c r="D2" s="117" t="e">
        <f t="array" ref="D2">SMALL(IF(COUNTIFS(I$2,'VENDOR QUESTIONNAIRE'!$T$58:$T$181,I$3,'VENDOR QUESTIONNAIRE'!$L$58:$L$181),MATCH(ROW('VENDOR QUESTIONNAIRE'!C58:C181),ROW('VENDOR QUESTIONNAIRE'!C58:C181)),""),ROWS('VENDOR QUESTIONNAIRE'!$L$58:L58))</f>
        <v>#NUM!</v>
      </c>
      <c r="E2" s="288" t="e">
        <f t="array" ref="E2">INDEX('VENDOR QUESTIONNAIRE'!$C$58:$C$181,SMALL(IF(COUNTIFS(I$2,'VENDOR QUESTIONNAIRE'!$T$58:$T$181,I$3,'VENDOR QUESTIONNAIRE'!$L$58:$L$181),MATCH(ROW('VENDOR QUESTIONNAIRE'!C58:C181),ROW('VENDOR QUESTIONNAIRE'!C58:C181)),""),ROWS('VENDOR QUESTIONNAIRE'!$L$58:L58)))</f>
        <v>#NUM!</v>
      </c>
      <c r="H2" s="116" t="s">
        <v>1406</v>
      </c>
      <c r="I2" s="84" t="s">
        <v>433</v>
      </c>
      <c r="J2" t="s">
        <v>1543</v>
      </c>
    </row>
    <row r="3" spans="1:11">
      <c r="A3">
        <v>0</v>
      </c>
      <c r="B3">
        <v>2</v>
      </c>
      <c r="C3" s="117" t="str">
        <v/>
      </c>
      <c r="D3" s="117" t="e">
        <f t="array" ref="D3">SMALL(IF(COUNTIFS(I$2,'VENDOR QUESTIONNAIRE'!$T$58:$T$181,I$3,'VENDOR QUESTIONNAIRE'!$L$58:$L$181),MATCH(ROW('VENDOR QUESTIONNAIRE'!C59:C182),ROW('VENDOR QUESTIONNAIRE'!C59:C182)),""),ROWS('VENDOR QUESTIONNAIRE'!$L$58:L59))</f>
        <v>#NUM!</v>
      </c>
      <c r="E3" s="288" t="e">
        <f t="array" ref="E3">INDEX('VENDOR QUESTIONNAIRE'!$C$58:$C$181,SMALL(IF(COUNTIFS(I$2,'VENDOR QUESTIONNAIRE'!$T$58:$T$181,I$3,'VENDOR QUESTIONNAIRE'!$L$58:$L$181),MATCH(ROW('VENDOR QUESTIONNAIRE'!C59:C182),ROW('VENDOR QUESTIONNAIRE'!C59:C182)),""),ROWS('VENDOR QUESTIONNAIRE'!$L$58:L59)))</f>
        <v>#NUM!</v>
      </c>
      <c r="H3" s="116" t="s">
        <v>1407</v>
      </c>
      <c r="I3" s="84" t="s">
        <v>1536</v>
      </c>
      <c r="K3" t="s">
        <v>1544</v>
      </c>
    </row>
    <row r="4" spans="1:11">
      <c r="A4">
        <v>0</v>
      </c>
      <c r="B4">
        <v>3</v>
      </c>
      <c r="C4" s="117" t="str">
        <v/>
      </c>
      <c r="D4" s="117" t="e">
        <f t="array" ref="D4">SMALL(IF(COUNTIFS(I$2,'VENDOR QUESTIONNAIRE'!$T$58:$T$181,I$3,'VENDOR QUESTIONNAIRE'!$L$58:$L$181),MATCH(ROW('VENDOR QUESTIONNAIRE'!C60:C183),ROW('VENDOR QUESTIONNAIRE'!C60:C183)),""),ROWS('VENDOR QUESTIONNAIRE'!$L$58:L60))</f>
        <v>#NUM!</v>
      </c>
      <c r="E4" s="288"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17" t="str">
        <v/>
      </c>
      <c r="D5" s="117" t="e">
        <f t="array" ref="D5">SMALL(IF(COUNTIFS(I$2,'VENDOR QUESTIONNAIRE'!$T$58:$T$181,I$3,'VENDOR QUESTIONNAIRE'!$L$58:$L$181),MATCH(ROW('VENDOR QUESTIONNAIRE'!C61:C184),ROW('VENDOR QUESTIONNAIRE'!C61:C184)),""),ROWS('VENDOR QUESTIONNAIRE'!$L$58:L61))</f>
        <v>#NUM!</v>
      </c>
      <c r="E5" s="288"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17" t="str">
        <v/>
      </c>
      <c r="D6" s="117" t="e">
        <f t="array" ref="D6">SMALL(IF(COUNTIFS(I$2,'VENDOR QUESTIONNAIRE'!$T$58:$T$181,I$3,'VENDOR QUESTIONNAIRE'!$L$58:$L$181),MATCH(ROW('VENDOR QUESTIONNAIRE'!C62:C185),ROW('VENDOR QUESTIONNAIRE'!C62:C185)),""),ROWS('VENDOR QUESTIONNAIRE'!$L$58:L62))</f>
        <v>#NUM!</v>
      </c>
      <c r="E6" s="288" t="e">
        <f t="array" ref="E6">INDEX('VENDOR QUESTIONNAIRE'!$C$58:$C$181,SMALL(IF(COUNTIFS(I$2,'VENDOR QUESTIONNAIRE'!$T$58:$T$181,I$3,'VENDOR QUESTIONNAIRE'!$L$58:$L$181),MATCH(ROW('VENDOR QUESTIONNAIRE'!C62:C185),ROW('VENDOR QUESTIONNAIRE'!C62:C185)),""),ROWS('VENDOR QUESTIONNAIRE'!$L$58:L62)))</f>
        <v>#NUM!</v>
      </c>
      <c r="H6" s="71" t="s">
        <v>1410</v>
      </c>
    </row>
    <row r="7" spans="1:11">
      <c r="A7">
        <v>0</v>
      </c>
      <c r="B7">
        <v>6</v>
      </c>
      <c r="C7" s="117" t="str">
        <v/>
      </c>
      <c r="D7" s="117" t="e">
        <f t="array" ref="D7">SMALL(IF(COUNTIFS(I$2,'VENDOR QUESTIONNAIRE'!$T$58:$T$181,I$3,'VENDOR QUESTIONNAIRE'!$L$58:$L$181),MATCH(ROW('VENDOR QUESTIONNAIRE'!C63:C186),ROW('VENDOR QUESTIONNAIRE'!C63:C186)),""),ROWS('VENDOR QUESTIONNAIRE'!$L$58:L63))</f>
        <v>#NUM!</v>
      </c>
      <c r="E7" s="288" t="e">
        <f t="array" ref="E7">INDEX('VENDOR QUESTIONNAIRE'!$C$58:$C$181,SMALL(IF(COUNTIFS(I$2,'VENDOR QUESTIONNAIRE'!$T$58:$T$181,I$3,'VENDOR QUESTIONNAIRE'!$L$58:$L$181),MATCH(ROW('VENDOR QUESTIONNAIRE'!C63:C186),ROW('VENDOR QUESTIONNAIRE'!C63:C186)),""),ROWS('VENDOR QUESTIONNAIRE'!$L$58:L63)))</f>
        <v>#NUM!</v>
      </c>
      <c r="H7" t="s">
        <v>1411</v>
      </c>
      <c r="I7" t="s">
        <v>1542</v>
      </c>
    </row>
    <row r="8" spans="1:11">
      <c r="A8">
        <v>0</v>
      </c>
      <c r="B8">
        <v>7</v>
      </c>
      <c r="C8" s="117" t="str">
        <v/>
      </c>
      <c r="D8" s="117" t="e">
        <f t="array" ref="D8">SMALL(IF(COUNTIFS(I$2,'VENDOR QUESTIONNAIRE'!$T$58:$T$181,I$3,'VENDOR QUESTIONNAIRE'!$L$58:$L$181),MATCH(ROW('VENDOR QUESTIONNAIRE'!C64:C187),ROW('VENDOR QUESTIONNAIRE'!C64:C187)),""),ROWS('VENDOR QUESTIONNAIRE'!$L$58:L64))</f>
        <v>#NUM!</v>
      </c>
      <c r="E8" s="288" t="e">
        <f t="array" ref="E8">INDEX('VENDOR QUESTIONNAIRE'!$C$58:$C$181,SMALL(IF(COUNTIFS(I$2,'VENDOR QUESTIONNAIRE'!$T$58:$T$181,I$3,'VENDOR QUESTIONNAIRE'!$L$58:$L$181),MATCH(ROW('VENDOR QUESTIONNAIRE'!C64:C187),ROW('VENDOR QUESTIONNAIRE'!C64:C187)),""),ROWS('VENDOR QUESTIONNAIRE'!$L$58:L64)))</f>
        <v>#NUM!</v>
      </c>
      <c r="H8" t="s">
        <v>1412</v>
      </c>
      <c r="I8" t="s">
        <v>1420</v>
      </c>
    </row>
    <row r="9" spans="1:11">
      <c r="A9">
        <v>0</v>
      </c>
      <c r="B9">
        <v>8</v>
      </c>
      <c r="C9" s="117" t="str">
        <v/>
      </c>
      <c r="D9" s="117" t="e">
        <f t="array" ref="D9">SMALL(IF(COUNTIFS(I$2,'VENDOR QUESTIONNAIRE'!$T$58:$T$181,I$3,'VENDOR QUESTIONNAIRE'!$L$58:$L$181),MATCH(ROW('VENDOR QUESTIONNAIRE'!C65:C188),ROW('VENDOR QUESTIONNAIRE'!C65:C188)),""),ROWS('VENDOR QUESTIONNAIRE'!$L$58:L65))</f>
        <v>#NUM!</v>
      </c>
      <c r="E9" s="288" t="e">
        <f t="array" ref="E9">INDEX('VENDOR QUESTIONNAIRE'!$C$58:$C$181,SMALL(IF(COUNTIFS(I$2,'VENDOR QUESTIONNAIRE'!$T$58:$T$181,I$3,'VENDOR QUESTIONNAIRE'!$L$58:$L$181),MATCH(ROW('VENDOR QUESTIONNAIRE'!C65:C188),ROW('VENDOR QUESTIONNAIRE'!C65:C188)),""),ROWS('VENDOR QUESTIONNAIRE'!$L$58:L65)))</f>
        <v>#NUM!</v>
      </c>
      <c r="H9" t="s">
        <v>1413</v>
      </c>
      <c r="I9" t="s">
        <v>1416</v>
      </c>
    </row>
    <row r="10" spans="1:11">
      <c r="A10">
        <v>0</v>
      </c>
      <c r="B10">
        <v>9</v>
      </c>
      <c r="C10" s="117" t="str">
        <v/>
      </c>
      <c r="D10" s="117" t="e">
        <f t="array" ref="D10">SMALL(IF(COUNTIFS(I$2,'VENDOR QUESTIONNAIRE'!$T$58:$T$181,I$3,'VENDOR QUESTIONNAIRE'!$L$58:$L$181),MATCH(ROW('VENDOR QUESTIONNAIRE'!C66:C189),ROW('VENDOR QUESTIONNAIRE'!C66:C189)),""),ROWS('VENDOR QUESTIONNAIRE'!$L$58:L66))</f>
        <v>#NUM!</v>
      </c>
      <c r="E10" s="288" t="e">
        <f t="array" ref="E10">INDEX('VENDOR QUESTIONNAIRE'!$C$58:$C$181,SMALL(IF(COUNTIFS(I$2,'VENDOR QUESTIONNAIRE'!$T$58:$T$181,I$3,'VENDOR QUESTIONNAIRE'!$L$58:$L$181),MATCH(ROW('VENDOR QUESTIONNAIRE'!C66:C189),ROW('VENDOR QUESTIONNAIRE'!C66:C189)),""),ROWS('VENDOR QUESTIONNAIRE'!$L$58:L66)))</f>
        <v>#NUM!</v>
      </c>
      <c r="H10" t="s">
        <v>1414</v>
      </c>
      <c r="I10" t="s">
        <v>1417</v>
      </c>
    </row>
    <row r="11" spans="1:11">
      <c r="A11">
        <v>0</v>
      </c>
      <c r="B11">
        <v>10</v>
      </c>
      <c r="C11" s="117" t="str">
        <v/>
      </c>
      <c r="D11" s="117" t="e">
        <f t="array" ref="D11">SMALL(IF(COUNTIFS(I$2,'VENDOR QUESTIONNAIRE'!$T$58:$T$181,I$3,'VENDOR QUESTIONNAIRE'!$L$58:$L$181),MATCH(ROW('VENDOR QUESTIONNAIRE'!C67:C190),ROW('VENDOR QUESTIONNAIRE'!C67:C190)),""),ROWS('VENDOR QUESTIONNAIRE'!$L$58:L67))</f>
        <v>#NUM!</v>
      </c>
      <c r="E11" s="288" t="e">
        <f t="array" ref="E11">INDEX('VENDOR QUESTIONNAIRE'!$C$58:$C$181,SMALL(IF(COUNTIFS(I$2,'VENDOR QUESTIONNAIRE'!$T$58:$T$181,I$3,'VENDOR QUESTIONNAIRE'!$L$58:$L$181),MATCH(ROW('VENDOR QUESTIONNAIRE'!C67:C190),ROW('VENDOR QUESTIONNAIRE'!C67:C190)),""),ROWS('VENDOR QUESTIONNAIRE'!$L$58:L67)))</f>
        <v>#NUM!</v>
      </c>
      <c r="H11" t="s">
        <v>1421</v>
      </c>
      <c r="I11" t="s">
        <v>1422</v>
      </c>
    </row>
    <row r="12" spans="1:11">
      <c r="A12">
        <v>0</v>
      </c>
      <c r="B12">
        <v>11</v>
      </c>
      <c r="C12" s="117" t="str">
        <v/>
      </c>
      <c r="D12" s="117" t="e">
        <f t="array" ref="D12">SMALL(IF(COUNTIFS(I$2,'VENDOR QUESTIONNAIRE'!$T$58:$T$181,I$3,'VENDOR QUESTIONNAIRE'!$L$58:$L$181),MATCH(ROW('VENDOR QUESTIONNAIRE'!C68:C191),ROW('VENDOR QUESTIONNAIRE'!C68:C191)),""),ROWS('VENDOR QUESTIONNAIRE'!$L$58:L68))</f>
        <v>#NUM!</v>
      </c>
      <c r="E12" s="288"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17" t="str">
        <v/>
      </c>
      <c r="D13" s="117" t="e">
        <f t="array" ref="D13">SMALL(IF(COUNTIFS(I$2,'VENDOR QUESTIONNAIRE'!$T$58:$T$181,I$3,'VENDOR QUESTIONNAIRE'!$L$58:$L$181),MATCH(ROW('VENDOR QUESTIONNAIRE'!C69:C192),ROW('VENDOR QUESTIONNAIRE'!C69:C192)),""),ROWS('VENDOR QUESTIONNAIRE'!$L$58:L69))</f>
        <v>#NUM!</v>
      </c>
      <c r="E13" s="288"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17" t="str">
        <v/>
      </c>
      <c r="D14" s="117" t="e">
        <f t="array" ref="D14">SMALL(IF(COUNTIFS(I$2,'VENDOR QUESTIONNAIRE'!$T$58:$T$181,I$3,'VENDOR QUESTIONNAIRE'!$L$58:$L$181),MATCH(ROW('VENDOR QUESTIONNAIRE'!C70:C193),ROW('VENDOR QUESTIONNAIRE'!C70:C193)),""),ROWS('VENDOR QUESTIONNAIRE'!$L$58:L70))</f>
        <v>#NUM!</v>
      </c>
      <c r="E14" s="288"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17" t="str">
        <v/>
      </c>
      <c r="D15" s="117" t="e">
        <f t="array" ref="D15">SMALL(IF(COUNTIFS(I$2,'VENDOR QUESTIONNAIRE'!$T$58:$T$181,I$3,'VENDOR QUESTIONNAIRE'!$L$58:$L$181),MATCH(ROW('VENDOR QUESTIONNAIRE'!C71:C194),ROW('VENDOR QUESTIONNAIRE'!C71:C194)),""),ROWS('VENDOR QUESTIONNAIRE'!$L$58:L71))</f>
        <v>#NUM!</v>
      </c>
      <c r="E15" s="288"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17" t="str">
        <v/>
      </c>
      <c r="D16" s="117" t="e">
        <f t="array" ref="D16">SMALL(IF(COUNTIFS(I$2,'VENDOR QUESTIONNAIRE'!$T$58:$T$181,I$3,'VENDOR QUESTIONNAIRE'!$L$58:$L$181),MATCH(ROW('VENDOR QUESTIONNAIRE'!C72:C195),ROW('VENDOR QUESTIONNAIRE'!C72:C195)),""),ROWS('VENDOR QUESTIONNAIRE'!$L$58:L72))</f>
        <v>#NUM!</v>
      </c>
      <c r="E16" s="288"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17" t="str">
        <v/>
      </c>
      <c r="D17" s="117" t="e">
        <f t="array" ref="D17">SMALL(IF(COUNTIFS(I$2,'VENDOR QUESTIONNAIRE'!$T$58:$T$181,I$3,'VENDOR QUESTIONNAIRE'!$L$58:$L$181),MATCH(ROW('VENDOR QUESTIONNAIRE'!C73:C196),ROW('VENDOR QUESTIONNAIRE'!C73:C196)),""),ROWS('VENDOR QUESTIONNAIRE'!$L$58:L73))</f>
        <v>#NUM!</v>
      </c>
      <c r="E17" s="288"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17" t="str">
        <v/>
      </c>
      <c r="D18" s="117" t="e">
        <f t="array" ref="D18">SMALL(IF(COUNTIFS(I$2,'VENDOR QUESTIONNAIRE'!$T$58:$T$181,I$3,'VENDOR QUESTIONNAIRE'!$L$58:$L$181),MATCH(ROW('VENDOR QUESTIONNAIRE'!C74:C197),ROW('VENDOR QUESTIONNAIRE'!C74:C197)),""),ROWS('VENDOR QUESTIONNAIRE'!$L$58:L74))</f>
        <v>#NUM!</v>
      </c>
      <c r="E18" s="288"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17" t="str">
        <v/>
      </c>
      <c r="D19" s="117" t="e">
        <f t="array" ref="D19">SMALL(IF(COUNTIFS(I$2,'VENDOR QUESTIONNAIRE'!$T$58:$T$181,I$3,'VENDOR QUESTIONNAIRE'!$L$58:$L$181),MATCH(ROW('VENDOR QUESTIONNAIRE'!C75:C198),ROW('VENDOR QUESTIONNAIRE'!C75:C198)),""),ROWS('VENDOR QUESTIONNAIRE'!$L$58:L75))</f>
        <v>#NUM!</v>
      </c>
      <c r="E19" s="288"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17" t="str">
        <v/>
      </c>
      <c r="D20" s="117" t="e">
        <f t="array" ref="D20">SMALL(IF(COUNTIFS(I$2,'VENDOR QUESTIONNAIRE'!$T$58:$T$181,I$3,'VENDOR QUESTIONNAIRE'!$L$58:$L$181),MATCH(ROW('VENDOR QUESTIONNAIRE'!C76:C199),ROW('VENDOR QUESTIONNAIRE'!C76:C199)),""),ROWS('VENDOR QUESTIONNAIRE'!$L$58:L76))</f>
        <v>#NUM!</v>
      </c>
      <c r="E20" s="288"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17" t="str">
        <v/>
      </c>
      <c r="D21" s="117" t="e">
        <f t="array" ref="D21">SMALL(IF(COUNTIFS(I$2,'VENDOR QUESTIONNAIRE'!$T$58:$T$181,I$3,'VENDOR QUESTIONNAIRE'!$L$58:$L$181),MATCH(ROW('VENDOR QUESTIONNAIRE'!C77:C200),ROW('VENDOR QUESTIONNAIRE'!C77:C200)),""),ROWS('VENDOR QUESTIONNAIRE'!$L$58:L77))</f>
        <v>#NUM!</v>
      </c>
      <c r="E21" s="289"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17" t="str">
        <v/>
      </c>
    </row>
    <row r="23" spans="1:5">
      <c r="A23">
        <v>0</v>
      </c>
      <c r="B23">
        <v>22</v>
      </c>
      <c r="C23" s="117" t="str">
        <v/>
      </c>
    </row>
    <row r="24" spans="1:5">
      <c r="A24">
        <v>0</v>
      </c>
      <c r="B24">
        <v>23</v>
      </c>
      <c r="C24" s="117" t="str">
        <v/>
      </c>
    </row>
    <row r="25" spans="1:5">
      <c r="A25">
        <v>0</v>
      </c>
      <c r="B25">
        <v>24</v>
      </c>
      <c r="C25" s="117" t="str">
        <v/>
      </c>
    </row>
    <row r="26" spans="1:5">
      <c r="A26">
        <v>0</v>
      </c>
      <c r="B26">
        <v>25</v>
      </c>
      <c r="C26" s="117" t="str">
        <v/>
      </c>
    </row>
    <row r="27" spans="1:5">
      <c r="A27">
        <v>0</v>
      </c>
      <c r="B27">
        <v>26</v>
      </c>
      <c r="C27" s="117" t="str">
        <v/>
      </c>
    </row>
    <row r="28" spans="1:5">
      <c r="A28">
        <v>0</v>
      </c>
      <c r="B28">
        <v>27</v>
      </c>
      <c r="C28" s="117" t="str">
        <v/>
      </c>
    </row>
    <row r="29" spans="1:5">
      <c r="A29">
        <v>0</v>
      </c>
      <c r="B29">
        <v>28</v>
      </c>
      <c r="C29" s="117" t="str">
        <v/>
      </c>
    </row>
    <row r="30" spans="1:5">
      <c r="A30">
        <v>0</v>
      </c>
      <c r="B30">
        <v>29</v>
      </c>
      <c r="C30" s="117" t="str">
        <v/>
      </c>
    </row>
    <row r="31" spans="1:5">
      <c r="A31">
        <v>0</v>
      </c>
      <c r="B31">
        <v>30</v>
      </c>
      <c r="C31" s="117" t="str">
        <v/>
      </c>
    </row>
    <row r="32" spans="1:5">
      <c r="A32">
        <v>0</v>
      </c>
      <c r="B32">
        <v>31</v>
      </c>
      <c r="C32" s="117" t="str">
        <v/>
      </c>
    </row>
    <row r="33" spans="1:3">
      <c r="A33">
        <v>0</v>
      </c>
      <c r="B33">
        <v>32</v>
      </c>
      <c r="C33" s="117" t="str">
        <v/>
      </c>
    </row>
    <row r="34" spans="1:3">
      <c r="A34">
        <v>0</v>
      </c>
      <c r="B34">
        <v>33</v>
      </c>
      <c r="C34" s="117" t="str">
        <v/>
      </c>
    </row>
    <row r="35" spans="1:3">
      <c r="A35">
        <v>0</v>
      </c>
      <c r="B35">
        <v>34</v>
      </c>
      <c r="C35" s="117" t="str">
        <v/>
      </c>
    </row>
    <row r="36" spans="1:3">
      <c r="A36">
        <v>0</v>
      </c>
      <c r="B36">
        <v>35</v>
      </c>
      <c r="C36" s="117" t="str">
        <v/>
      </c>
    </row>
    <row r="37" spans="1:3">
      <c r="A37">
        <v>0</v>
      </c>
      <c r="B37">
        <v>36</v>
      </c>
      <c r="C37" s="117" t="str">
        <v/>
      </c>
    </row>
    <row r="38" spans="1:3">
      <c r="A38">
        <v>0</v>
      </c>
      <c r="B38">
        <v>37</v>
      </c>
      <c r="C38" s="117" t="str">
        <v/>
      </c>
    </row>
    <row r="39" spans="1:3">
      <c r="A39">
        <v>0</v>
      </c>
      <c r="B39">
        <v>38</v>
      </c>
      <c r="C39" s="117" t="str">
        <v/>
      </c>
    </row>
    <row r="40" spans="1:3">
      <c r="A40">
        <v>0</v>
      </c>
      <c r="B40">
        <v>39</v>
      </c>
      <c r="C40" s="117" t="str">
        <v/>
      </c>
    </row>
    <row r="41" spans="1:3">
      <c r="A41">
        <v>0</v>
      </c>
      <c r="B41">
        <v>40</v>
      </c>
      <c r="C41" s="117" t="str">
        <v/>
      </c>
    </row>
    <row r="42" spans="1:3">
      <c r="A42">
        <v>0</v>
      </c>
      <c r="B42">
        <v>41</v>
      </c>
      <c r="C42" s="117" t="str">
        <v/>
      </c>
    </row>
    <row r="43" spans="1:3">
      <c r="A43">
        <v>0</v>
      </c>
      <c r="B43">
        <v>42</v>
      </c>
      <c r="C43" s="117" t="str">
        <v/>
      </c>
    </row>
    <row r="44" spans="1:3">
      <c r="A44">
        <v>0</v>
      </c>
      <c r="B44">
        <v>43</v>
      </c>
      <c r="C44" s="117" t="str">
        <v/>
      </c>
    </row>
    <row r="45" spans="1:3">
      <c r="A45">
        <v>0</v>
      </c>
      <c r="B45">
        <v>44</v>
      </c>
      <c r="C45" s="117" t="str">
        <v/>
      </c>
    </row>
    <row r="46" spans="1:3">
      <c r="A46">
        <v>0</v>
      </c>
      <c r="B46">
        <v>45</v>
      </c>
      <c r="C46" s="117" t="str">
        <v/>
      </c>
    </row>
    <row r="47" spans="1:3">
      <c r="A47">
        <v>0</v>
      </c>
      <c r="B47">
        <v>46</v>
      </c>
      <c r="C47" s="117" t="str">
        <v/>
      </c>
    </row>
    <row r="48" spans="1:3">
      <c r="A48">
        <v>0</v>
      </c>
      <c r="B48">
        <v>47</v>
      </c>
      <c r="C48" s="117" t="str">
        <v/>
      </c>
    </row>
    <row r="49" spans="1:3">
      <c r="A49">
        <v>0</v>
      </c>
      <c r="B49">
        <v>48</v>
      </c>
      <c r="C49" s="117" t="str">
        <v/>
      </c>
    </row>
    <row r="50" spans="1:3">
      <c r="A50">
        <v>0</v>
      </c>
      <c r="B50">
        <v>49</v>
      </c>
      <c r="C50" s="117" t="str">
        <v/>
      </c>
    </row>
    <row r="51" spans="1:3">
      <c r="A51">
        <v>0</v>
      </c>
      <c r="B51">
        <v>50</v>
      </c>
      <c r="C51" s="117" t="str">
        <v/>
      </c>
    </row>
    <row r="52" spans="1:3">
      <c r="A52">
        <v>0</v>
      </c>
      <c r="B52">
        <v>51</v>
      </c>
      <c r="C52" s="117" t="str">
        <v/>
      </c>
    </row>
    <row r="53" spans="1:3">
      <c r="A53">
        <v>0</v>
      </c>
      <c r="B53">
        <v>52</v>
      </c>
      <c r="C53" s="117" t="str">
        <v/>
      </c>
    </row>
    <row r="54" spans="1:3">
      <c r="A54">
        <v>0</v>
      </c>
      <c r="B54">
        <v>53</v>
      </c>
      <c r="C54" s="117" t="str">
        <v/>
      </c>
    </row>
    <row r="55" spans="1:3">
      <c r="A55">
        <v>0</v>
      </c>
      <c r="B55">
        <v>54</v>
      </c>
      <c r="C55" s="117" t="str">
        <v/>
      </c>
    </row>
    <row r="56" spans="1:3">
      <c r="A56">
        <v>0</v>
      </c>
      <c r="B56">
        <v>55</v>
      </c>
      <c r="C56" s="117" t="str">
        <v/>
      </c>
    </row>
    <row r="57" spans="1:3">
      <c r="A57">
        <v>0</v>
      </c>
      <c r="B57">
        <v>56</v>
      </c>
      <c r="C57" s="117" t="str">
        <v/>
      </c>
    </row>
    <row r="58" spans="1:3">
      <c r="A58">
        <v>0</v>
      </c>
      <c r="B58">
        <v>57</v>
      </c>
      <c r="C58" s="117" t="str">
        <v/>
      </c>
    </row>
    <row r="59" spans="1:3">
      <c r="A59">
        <v>0</v>
      </c>
      <c r="B59">
        <v>58</v>
      </c>
      <c r="C59" s="117" t="str">
        <v/>
      </c>
    </row>
    <row r="60" spans="1:3">
      <c r="A60">
        <v>0</v>
      </c>
      <c r="B60">
        <v>59</v>
      </c>
      <c r="C60" s="117" t="str">
        <v/>
      </c>
    </row>
    <row r="61" spans="1:3">
      <c r="A61">
        <v>0</v>
      </c>
      <c r="B61">
        <v>60</v>
      </c>
      <c r="C61" s="117" t="str">
        <v/>
      </c>
    </row>
    <row r="62" spans="1:3">
      <c r="A62">
        <v>0</v>
      </c>
      <c r="B62">
        <v>61</v>
      </c>
      <c r="C62" s="117" t="str">
        <v/>
      </c>
    </row>
    <row r="63" spans="1:3">
      <c r="A63">
        <v>0</v>
      </c>
      <c r="B63">
        <v>62</v>
      </c>
      <c r="C63" s="117" t="str">
        <v/>
      </c>
    </row>
    <row r="64" spans="1:3">
      <c r="A64">
        <v>0</v>
      </c>
      <c r="B64">
        <v>63</v>
      </c>
      <c r="C64" s="117" t="str">
        <v/>
      </c>
    </row>
    <row r="65" spans="1:3">
      <c r="A65">
        <v>0</v>
      </c>
      <c r="B65">
        <v>64</v>
      </c>
      <c r="C65" s="117" t="str">
        <v/>
      </c>
    </row>
    <row r="66" spans="1:3">
      <c r="A66">
        <v>0</v>
      </c>
      <c r="B66">
        <v>65</v>
      </c>
      <c r="C66" s="117" t="str">
        <v/>
      </c>
    </row>
    <row r="67" spans="1:3">
      <c r="A67">
        <v>0</v>
      </c>
      <c r="B67">
        <v>66</v>
      </c>
      <c r="C67" s="117" t="str">
        <v/>
      </c>
    </row>
    <row r="68" spans="1:3">
      <c r="A68">
        <v>0</v>
      </c>
      <c r="B68">
        <v>67</v>
      </c>
      <c r="C68" s="117" t="str">
        <v/>
      </c>
    </row>
    <row r="69" spans="1:3">
      <c r="A69">
        <v>0</v>
      </c>
      <c r="B69">
        <v>68</v>
      </c>
      <c r="C69" s="117" t="str">
        <v/>
      </c>
    </row>
    <row r="70" spans="1:3">
      <c r="A70">
        <v>0</v>
      </c>
      <c r="B70">
        <v>69</v>
      </c>
      <c r="C70" s="117" t="str">
        <v/>
      </c>
    </row>
    <row r="71" spans="1:3">
      <c r="A71">
        <v>0</v>
      </c>
      <c r="B71">
        <v>70</v>
      </c>
      <c r="C71" s="117" t="str">
        <v/>
      </c>
    </row>
    <row r="72" spans="1:3">
      <c r="A72">
        <v>0</v>
      </c>
      <c r="B72">
        <v>71</v>
      </c>
      <c r="C72" s="117" t="str">
        <v/>
      </c>
    </row>
    <row r="73" spans="1:3">
      <c r="A73">
        <v>0</v>
      </c>
      <c r="B73">
        <v>72</v>
      </c>
      <c r="C73" s="117" t="str">
        <v/>
      </c>
    </row>
    <row r="74" spans="1:3">
      <c r="A74">
        <v>0</v>
      </c>
      <c r="B74">
        <v>73</v>
      </c>
      <c r="C74" s="117" t="str">
        <v/>
      </c>
    </row>
    <row r="75" spans="1:3">
      <c r="A75">
        <v>0</v>
      </c>
      <c r="B75">
        <v>74</v>
      </c>
      <c r="C75" s="117" t="str">
        <v/>
      </c>
    </row>
    <row r="76" spans="1:3">
      <c r="A76">
        <v>0</v>
      </c>
      <c r="B76">
        <v>75</v>
      </c>
      <c r="C76" s="117" t="str">
        <v/>
      </c>
    </row>
    <row r="77" spans="1:3">
      <c r="A77">
        <v>0</v>
      </c>
      <c r="B77">
        <v>76</v>
      </c>
      <c r="C77" s="117" t="str">
        <v/>
      </c>
    </row>
    <row r="78" spans="1:3">
      <c r="A78">
        <v>0</v>
      </c>
      <c r="B78">
        <v>77</v>
      </c>
      <c r="C78" s="117" t="str">
        <v/>
      </c>
    </row>
    <row r="79" spans="1:3">
      <c r="A79">
        <v>0</v>
      </c>
      <c r="B79">
        <v>78</v>
      </c>
      <c r="C79" s="117" t="str">
        <v/>
      </c>
    </row>
    <row r="80" spans="1:3">
      <c r="A80">
        <v>0</v>
      </c>
      <c r="B80">
        <v>79</v>
      </c>
      <c r="C80" s="117" t="str">
        <v/>
      </c>
    </row>
    <row r="81" spans="1:3">
      <c r="A81">
        <v>0</v>
      </c>
      <c r="B81">
        <v>80</v>
      </c>
      <c r="C81" s="117" t="str">
        <v/>
      </c>
    </row>
    <row r="82" spans="1:3">
      <c r="A82">
        <v>0</v>
      </c>
      <c r="B82">
        <v>81</v>
      </c>
      <c r="C82" s="117" t="str">
        <v/>
      </c>
    </row>
    <row r="83" spans="1:3">
      <c r="A83">
        <v>0</v>
      </c>
      <c r="B83">
        <v>82</v>
      </c>
      <c r="C83" s="117" t="str">
        <v/>
      </c>
    </row>
    <row r="84" spans="1:3">
      <c r="A84">
        <v>0</v>
      </c>
      <c r="B84">
        <v>83</v>
      </c>
      <c r="C84" s="117" t="str">
        <v/>
      </c>
    </row>
    <row r="85" spans="1:3">
      <c r="A85">
        <v>0</v>
      </c>
      <c r="B85">
        <v>84</v>
      </c>
      <c r="C85" s="117" t="str">
        <v/>
      </c>
    </row>
    <row r="86" spans="1:3">
      <c r="A86">
        <v>0</v>
      </c>
      <c r="B86">
        <v>85</v>
      </c>
      <c r="C86" s="117" t="str">
        <v/>
      </c>
    </row>
    <row r="87" spans="1:3">
      <c r="A87">
        <v>0</v>
      </c>
      <c r="B87">
        <v>86</v>
      </c>
      <c r="C87" s="117" t="str">
        <v/>
      </c>
    </row>
    <row r="88" spans="1:3">
      <c r="A88">
        <v>0</v>
      </c>
      <c r="B88">
        <v>87</v>
      </c>
      <c r="C88" s="117" t="str">
        <v/>
      </c>
    </row>
    <row r="89" spans="1:3">
      <c r="A89">
        <v>0</v>
      </c>
      <c r="B89">
        <v>88</v>
      </c>
      <c r="C89" s="117" t="str">
        <v/>
      </c>
    </row>
    <row r="90" spans="1:3">
      <c r="A90">
        <v>0</v>
      </c>
      <c r="B90">
        <v>89</v>
      </c>
      <c r="C90" s="117" t="str">
        <v/>
      </c>
    </row>
    <row r="91" spans="1:3">
      <c r="A91">
        <v>0</v>
      </c>
      <c r="B91">
        <v>90</v>
      </c>
      <c r="C91" s="117" t="str">
        <v/>
      </c>
    </row>
    <row r="92" spans="1:3">
      <c r="A92">
        <v>0</v>
      </c>
      <c r="B92">
        <v>91</v>
      </c>
      <c r="C92" s="117" t="str">
        <v/>
      </c>
    </row>
    <row r="93" spans="1:3">
      <c r="A93">
        <v>0</v>
      </c>
      <c r="B93">
        <v>92</v>
      </c>
      <c r="C93" s="117" t="str">
        <v/>
      </c>
    </row>
    <row r="94" spans="1:3">
      <c r="A94">
        <v>0</v>
      </c>
      <c r="B94">
        <v>93</v>
      </c>
      <c r="C94" s="117" t="str">
        <v/>
      </c>
    </row>
    <row r="95" spans="1:3">
      <c r="A95">
        <v>0</v>
      </c>
      <c r="B95">
        <v>94</v>
      </c>
      <c r="C95" s="117" t="str">
        <v/>
      </c>
    </row>
    <row r="96" spans="1:3">
      <c r="A96">
        <v>0</v>
      </c>
      <c r="B96">
        <v>95</v>
      </c>
      <c r="C96" s="117" t="str">
        <v/>
      </c>
    </row>
    <row r="97" spans="1:3">
      <c r="A97">
        <v>0</v>
      </c>
      <c r="B97">
        <v>96</v>
      </c>
      <c r="C97" s="117" t="str">
        <v/>
      </c>
    </row>
    <row r="98" spans="1:3">
      <c r="A98">
        <v>0</v>
      </c>
      <c r="B98">
        <v>97</v>
      </c>
      <c r="C98" s="117" t="str">
        <v/>
      </c>
    </row>
    <row r="99" spans="1:3">
      <c r="A99">
        <v>0</v>
      </c>
      <c r="B99">
        <v>98</v>
      </c>
      <c r="C99" s="117" t="str">
        <v/>
      </c>
    </row>
    <row r="100" spans="1:3">
      <c r="A100">
        <v>0</v>
      </c>
      <c r="B100">
        <v>99</v>
      </c>
      <c r="C100" s="117" t="str">
        <v/>
      </c>
    </row>
    <row r="101" spans="1:3">
      <c r="A101">
        <v>0</v>
      </c>
      <c r="B101">
        <v>100</v>
      </c>
      <c r="C101" s="117" t="str">
        <v/>
      </c>
    </row>
    <row r="102" spans="1:3">
      <c r="A102">
        <v>0</v>
      </c>
      <c r="B102">
        <v>101</v>
      </c>
      <c r="C102" s="117" t="str">
        <v/>
      </c>
    </row>
    <row r="103" spans="1:3">
      <c r="A103">
        <v>0</v>
      </c>
      <c r="B103">
        <v>102</v>
      </c>
      <c r="C103" s="117" t="str">
        <v/>
      </c>
    </row>
    <row r="104" spans="1:3">
      <c r="A104">
        <v>0</v>
      </c>
      <c r="B104">
        <v>103</v>
      </c>
      <c r="C104" s="117" t="str">
        <v/>
      </c>
    </row>
    <row r="105" spans="1:3">
      <c r="A105">
        <v>0</v>
      </c>
      <c r="B105">
        <v>104</v>
      </c>
      <c r="C105" s="117" t="str">
        <v/>
      </c>
    </row>
    <row r="106" spans="1:3">
      <c r="A106">
        <v>0</v>
      </c>
      <c r="B106">
        <v>105</v>
      </c>
      <c r="C106" s="117" t="str">
        <v/>
      </c>
    </row>
    <row r="107" spans="1:3">
      <c r="A107">
        <v>0</v>
      </c>
      <c r="B107">
        <v>106</v>
      </c>
      <c r="C107" s="117" t="str">
        <v/>
      </c>
    </row>
    <row r="108" spans="1:3">
      <c r="A108">
        <v>0</v>
      </c>
      <c r="B108">
        <v>107</v>
      </c>
      <c r="C108" s="117" t="str">
        <v/>
      </c>
    </row>
    <row r="109" spans="1:3">
      <c r="A109">
        <v>0</v>
      </c>
      <c r="B109">
        <v>108</v>
      </c>
      <c r="C109" s="117" t="str">
        <v/>
      </c>
    </row>
    <row r="110" spans="1:3">
      <c r="A110">
        <v>0</v>
      </c>
      <c r="B110">
        <v>109</v>
      </c>
      <c r="C110" s="117" t="str">
        <v/>
      </c>
    </row>
    <row r="111" spans="1:3">
      <c r="A111">
        <v>0</v>
      </c>
      <c r="B111">
        <v>110</v>
      </c>
      <c r="C111" s="117" t="str">
        <v/>
      </c>
    </row>
    <row r="112" spans="1:3">
      <c r="A112">
        <v>0</v>
      </c>
      <c r="B112">
        <v>111</v>
      </c>
      <c r="C112" s="117" t="str">
        <v/>
      </c>
    </row>
    <row r="113" spans="1:3">
      <c r="A113">
        <v>0</v>
      </c>
      <c r="B113">
        <v>112</v>
      </c>
      <c r="C113" s="117" t="str">
        <v/>
      </c>
    </row>
    <row r="114" spans="1:3">
      <c r="A114">
        <v>0</v>
      </c>
      <c r="B114">
        <v>113</v>
      </c>
      <c r="C114" s="117" t="str">
        <v/>
      </c>
    </row>
    <row r="115" spans="1:3">
      <c r="A115">
        <v>0</v>
      </c>
      <c r="B115">
        <v>114</v>
      </c>
      <c r="C115" s="117" t="str">
        <v/>
      </c>
    </row>
    <row r="116" spans="1:3">
      <c r="A116">
        <v>0</v>
      </c>
      <c r="B116">
        <v>115</v>
      </c>
      <c r="C116" s="117" t="str">
        <v/>
      </c>
    </row>
    <row r="117" spans="1:3">
      <c r="A117">
        <v>0</v>
      </c>
      <c r="B117">
        <v>116</v>
      </c>
      <c r="C117" s="117" t="str">
        <v/>
      </c>
    </row>
    <row r="118" spans="1:3">
      <c r="A118">
        <v>0</v>
      </c>
      <c r="B118">
        <v>117</v>
      </c>
      <c r="C118" s="117" t="str">
        <v/>
      </c>
    </row>
    <row r="119" spans="1:3">
      <c r="A119">
        <v>0</v>
      </c>
      <c r="B119">
        <v>118</v>
      </c>
      <c r="C119" s="117" t="str">
        <v/>
      </c>
    </row>
    <row r="120" spans="1:3">
      <c r="A120">
        <v>0</v>
      </c>
      <c r="B120">
        <v>119</v>
      </c>
      <c r="C120" s="117" t="str">
        <v/>
      </c>
    </row>
    <row r="121" spans="1:3">
      <c r="A121">
        <v>0</v>
      </c>
      <c r="B121">
        <v>120</v>
      </c>
      <c r="C121" s="117" t="str">
        <v/>
      </c>
    </row>
    <row r="122" spans="1:3">
      <c r="A122">
        <v>0</v>
      </c>
      <c r="B122">
        <v>121</v>
      </c>
      <c r="C122" s="117" t="str">
        <v/>
      </c>
    </row>
    <row r="123" spans="1:3">
      <c r="A123">
        <v>0</v>
      </c>
      <c r="B123">
        <v>122</v>
      </c>
      <c r="C123" s="117" t="str">
        <v/>
      </c>
    </row>
    <row r="124" spans="1:3">
      <c r="A124">
        <v>0</v>
      </c>
      <c r="B124">
        <v>123</v>
      </c>
      <c r="C124" s="117" t="str">
        <v/>
      </c>
    </row>
    <row r="125" spans="1:3">
      <c r="A125">
        <v>0</v>
      </c>
      <c r="B125">
        <v>124</v>
      </c>
      <c r="C125" s="117" t="str">
        <v/>
      </c>
    </row>
    <row r="126" spans="1:3">
      <c r="A126" t="e">
        <v>#N/A</v>
      </c>
      <c r="B126" t="e">
        <v>#N/A</v>
      </c>
      <c r="C126" s="117" t="e">
        <v>#N/A</v>
      </c>
    </row>
    <row r="127" spans="1:3">
      <c r="A127" t="e">
        <v>#N/A</v>
      </c>
      <c r="B127" t="e">
        <v>#N/A</v>
      </c>
      <c r="C127" s="117" t="e">
        <v>#N/A</v>
      </c>
    </row>
    <row r="128" spans="1:3">
      <c r="A128" t="e">
        <v>#N/A</v>
      </c>
      <c r="B128" t="e">
        <v>#N/A</v>
      </c>
      <c r="C128" s="117" t="e">
        <v>#N/A</v>
      </c>
    </row>
    <row r="129" spans="1:3">
      <c r="A129" t="e">
        <v>#N/A</v>
      </c>
      <c r="B129" t="e">
        <v>#N/A</v>
      </c>
      <c r="C129" s="117" t="e">
        <v>#N/A</v>
      </c>
    </row>
    <row r="130" spans="1:3">
      <c r="A130" t="e">
        <v>#N/A</v>
      </c>
      <c r="B130" t="e">
        <v>#N/A</v>
      </c>
      <c r="C130" s="117" t="e">
        <v>#N/A</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C7FB-C0EC-44A8-9E96-05A313B84F5E}">
  <sheetPr>
    <tabColor theme="4"/>
  </sheetPr>
  <dimension ref="A1:K130"/>
  <sheetViews>
    <sheetView showGridLines="0" zoomScale="70" zoomScaleNormal="70" workbookViewId="0">
      <selection sqref="A1:E1"/>
    </sheetView>
  </sheetViews>
  <sheetFormatPr baseColWidth="10" defaultColWidth="11" defaultRowHeight="16"/>
  <sheetData>
    <row r="1" spans="1:11">
      <c r="A1" s="317" t="s">
        <v>1408</v>
      </c>
      <c r="B1" s="318" t="s">
        <v>1409</v>
      </c>
      <c r="C1" s="319" t="s">
        <v>1415</v>
      </c>
      <c r="D1" s="320" t="s">
        <v>1418</v>
      </c>
      <c r="E1" s="321" t="s">
        <v>1419</v>
      </c>
      <c r="H1" s="71" t="s">
        <v>1541</v>
      </c>
    </row>
    <row r="2" spans="1:11">
      <c r="A2">
        <f t="array" ref="A2:A130">COUNTIFS(I$2,'VENDOR QUESTIONNAIRE'!$T$58:$T$181,I$3,'VENDOR QUESTIONNAIRE'!$L$58:$L$181)</f>
        <v>0</v>
      </c>
      <c r="B2">
        <f t="array" ref="B2:B130">MATCH(ROW('VENDOR QUESTIONNAIRE'!C58:C181),ROW('VENDOR QUESTIONNAIRE'!C58:C181))</f>
        <v>1</v>
      </c>
      <c r="C2" s="117" t="str">
        <f t="array" ref="C2:C130">IF(COUNTIFS(I$2,'VENDOR QUESTIONNAIRE'!$T$58:$T$181,I$3,'VENDOR QUESTIONNAIRE'!$L$58:$L$181),MATCH(ROW('VENDOR QUESTIONNAIRE'!C58:C181),ROW('VENDOR QUESTIONNAIRE'!C58:C181)),"")</f>
        <v/>
      </c>
      <c r="D2" s="117" t="e">
        <f t="array" ref="D2">SMALL(IF(COUNTIFS(I$2,'VENDOR QUESTIONNAIRE'!$T$58:$T$181,I$3,'VENDOR QUESTIONNAIRE'!$L$58:$L$181),MATCH(ROW('VENDOR QUESTIONNAIRE'!C58:C181),ROW('VENDOR QUESTIONNAIRE'!C58:C181)),""),ROWS('VENDOR QUESTIONNAIRE'!$L$58:L58))</f>
        <v>#NUM!</v>
      </c>
      <c r="E2" s="288" t="e">
        <f t="array" ref="E2">INDEX('VENDOR QUESTIONNAIRE'!$C$58:$C$181,SMALL(IF(COUNTIFS(I$2,'VENDOR QUESTIONNAIRE'!$T$58:$T$181,I$3,'VENDOR QUESTIONNAIRE'!$L$58:$L$181),MATCH(ROW('VENDOR QUESTIONNAIRE'!C58:C181),ROW('VENDOR QUESTIONNAIRE'!C58:C181)),""),ROWS('VENDOR QUESTIONNAIRE'!$L$58:L58)))</f>
        <v>#NUM!</v>
      </c>
      <c r="H2" s="116" t="s">
        <v>1406</v>
      </c>
      <c r="I2" s="84" t="s">
        <v>433</v>
      </c>
      <c r="J2" t="s">
        <v>1543</v>
      </c>
    </row>
    <row r="3" spans="1:11">
      <c r="A3">
        <v>0</v>
      </c>
      <c r="B3">
        <v>2</v>
      </c>
      <c r="C3" s="117" t="str">
        <v/>
      </c>
      <c r="D3" s="117" t="e">
        <f t="array" ref="D3">SMALL(IF(COUNTIFS(I$2,'VENDOR QUESTIONNAIRE'!$T$58:$T$181,I$3,'VENDOR QUESTIONNAIRE'!$L$58:$L$181),MATCH(ROW('VENDOR QUESTIONNAIRE'!C59:C182),ROW('VENDOR QUESTIONNAIRE'!C59:C182)),""),ROWS('VENDOR QUESTIONNAIRE'!$L$58:L59))</f>
        <v>#NUM!</v>
      </c>
      <c r="E3" s="288" t="e">
        <f t="array" ref="E3">INDEX('VENDOR QUESTIONNAIRE'!$C$58:$C$181,SMALL(IF(COUNTIFS(I$2,'VENDOR QUESTIONNAIRE'!$T$58:$T$181,I$3,'VENDOR QUESTIONNAIRE'!$L$58:$L$181),MATCH(ROW('VENDOR QUESTIONNAIRE'!C59:C182),ROW('VENDOR QUESTIONNAIRE'!C59:C182)),""),ROWS('VENDOR QUESTIONNAIRE'!$L$58:L59)))</f>
        <v>#NUM!</v>
      </c>
      <c r="H3" s="116" t="s">
        <v>1407</v>
      </c>
      <c r="I3" s="84" t="s">
        <v>1338</v>
      </c>
      <c r="J3" t="s">
        <v>1544</v>
      </c>
      <c r="K3" t="s">
        <v>1544</v>
      </c>
    </row>
    <row r="4" spans="1:11">
      <c r="A4">
        <v>0</v>
      </c>
      <c r="B4">
        <v>3</v>
      </c>
      <c r="C4" s="117" t="str">
        <v/>
      </c>
      <c r="D4" s="117" t="e">
        <f t="array" ref="D4">SMALL(IF(COUNTIFS(I$2,'VENDOR QUESTIONNAIRE'!$T$58:$T$181,I$3,'VENDOR QUESTIONNAIRE'!$L$58:$L$181),MATCH(ROW('VENDOR QUESTIONNAIRE'!C60:C183),ROW('VENDOR QUESTIONNAIRE'!C60:C183)),""),ROWS('VENDOR QUESTIONNAIRE'!$L$58:L60))</f>
        <v>#NUM!</v>
      </c>
      <c r="E4" s="288"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17" t="str">
        <v/>
      </c>
      <c r="D5" s="117" t="e">
        <f t="array" ref="D5">SMALL(IF(COUNTIFS(I$2,'VENDOR QUESTIONNAIRE'!$T$58:$T$181,I$3,'VENDOR QUESTIONNAIRE'!$L$58:$L$181),MATCH(ROW('VENDOR QUESTIONNAIRE'!C61:C184),ROW('VENDOR QUESTIONNAIRE'!C61:C184)),""),ROWS('VENDOR QUESTIONNAIRE'!$L$58:L61))</f>
        <v>#NUM!</v>
      </c>
      <c r="E5" s="288"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17" t="str">
        <v/>
      </c>
      <c r="D6" s="117" t="e">
        <f t="array" ref="D6">SMALL(IF(COUNTIFS(I$2,'VENDOR QUESTIONNAIRE'!$T$58:$T$181,I$3,'VENDOR QUESTIONNAIRE'!$L$58:$L$181),MATCH(ROW('VENDOR QUESTIONNAIRE'!C62:C185),ROW('VENDOR QUESTIONNAIRE'!C62:C185)),""),ROWS('VENDOR QUESTIONNAIRE'!$L$58:L62))</f>
        <v>#NUM!</v>
      </c>
      <c r="E6" s="288" t="e">
        <f t="array" ref="E6">INDEX('VENDOR QUESTIONNAIRE'!$C$58:$C$181,SMALL(IF(COUNTIFS(I$2,'VENDOR QUESTIONNAIRE'!$T$58:$T$181,I$3,'VENDOR QUESTIONNAIRE'!$L$58:$L$181),MATCH(ROW('VENDOR QUESTIONNAIRE'!C62:C185),ROW('VENDOR QUESTIONNAIRE'!C62:C185)),""),ROWS('VENDOR QUESTIONNAIRE'!$L$58:L62)))</f>
        <v>#NUM!</v>
      </c>
      <c r="H6" s="71" t="s">
        <v>1410</v>
      </c>
    </row>
    <row r="7" spans="1:11">
      <c r="A7">
        <v>0</v>
      </c>
      <c r="B7">
        <v>6</v>
      </c>
      <c r="C7" s="117" t="str">
        <v/>
      </c>
      <c r="D7" s="117" t="e">
        <f t="array" ref="D7">SMALL(IF(COUNTIFS(I$2,'VENDOR QUESTIONNAIRE'!$T$58:$T$181,I$3,'VENDOR QUESTIONNAIRE'!$L$58:$L$181),MATCH(ROW('VENDOR QUESTIONNAIRE'!C63:C186),ROW('VENDOR QUESTIONNAIRE'!C63:C186)),""),ROWS('VENDOR QUESTIONNAIRE'!$L$58:L63))</f>
        <v>#NUM!</v>
      </c>
      <c r="E7" s="288" t="e">
        <f t="array" ref="E7">INDEX('VENDOR QUESTIONNAIRE'!$C$58:$C$181,SMALL(IF(COUNTIFS(I$2,'VENDOR QUESTIONNAIRE'!$T$58:$T$181,I$3,'VENDOR QUESTIONNAIRE'!$L$58:$L$181),MATCH(ROW('VENDOR QUESTIONNAIRE'!C63:C186),ROW('VENDOR QUESTIONNAIRE'!C63:C186)),""),ROWS('VENDOR QUESTIONNAIRE'!$L$58:L63)))</f>
        <v>#NUM!</v>
      </c>
      <c r="H7" t="s">
        <v>1411</v>
      </c>
      <c r="I7" t="s">
        <v>1542</v>
      </c>
    </row>
    <row r="8" spans="1:11">
      <c r="A8">
        <v>0</v>
      </c>
      <c r="B8">
        <v>7</v>
      </c>
      <c r="C8" s="117" t="str">
        <v/>
      </c>
      <c r="D8" s="117" t="e">
        <f t="array" ref="D8">SMALL(IF(COUNTIFS(I$2,'VENDOR QUESTIONNAIRE'!$T$58:$T$181,I$3,'VENDOR QUESTIONNAIRE'!$L$58:$L$181),MATCH(ROW('VENDOR QUESTIONNAIRE'!C64:C187),ROW('VENDOR QUESTIONNAIRE'!C64:C187)),""),ROWS('VENDOR QUESTIONNAIRE'!$L$58:L64))</f>
        <v>#NUM!</v>
      </c>
      <c r="E8" s="288" t="e">
        <f t="array" ref="E8">INDEX('VENDOR QUESTIONNAIRE'!$C$58:$C$181,SMALL(IF(COUNTIFS(I$2,'VENDOR QUESTIONNAIRE'!$T$58:$T$181,I$3,'VENDOR QUESTIONNAIRE'!$L$58:$L$181),MATCH(ROW('VENDOR QUESTIONNAIRE'!C64:C187),ROW('VENDOR QUESTIONNAIRE'!C64:C187)),""),ROWS('VENDOR QUESTIONNAIRE'!$L$58:L64)))</f>
        <v>#NUM!</v>
      </c>
      <c r="H8" t="s">
        <v>1412</v>
      </c>
      <c r="I8" t="s">
        <v>1420</v>
      </c>
    </row>
    <row r="9" spans="1:11">
      <c r="A9">
        <v>0</v>
      </c>
      <c r="B9">
        <v>8</v>
      </c>
      <c r="C9" s="117" t="str">
        <v/>
      </c>
      <c r="D9" s="117" t="e">
        <f t="array" ref="D9">SMALL(IF(COUNTIFS(I$2,'VENDOR QUESTIONNAIRE'!$T$58:$T$181,I$3,'VENDOR QUESTIONNAIRE'!$L$58:$L$181),MATCH(ROW('VENDOR QUESTIONNAIRE'!C65:C188),ROW('VENDOR QUESTIONNAIRE'!C65:C188)),""),ROWS('VENDOR QUESTIONNAIRE'!$L$58:L65))</f>
        <v>#NUM!</v>
      </c>
      <c r="E9" s="288" t="e">
        <f t="array" ref="E9">INDEX('VENDOR QUESTIONNAIRE'!$C$58:$C$181,SMALL(IF(COUNTIFS(I$2,'VENDOR QUESTIONNAIRE'!$T$58:$T$181,I$3,'VENDOR QUESTIONNAIRE'!$L$58:$L$181),MATCH(ROW('VENDOR QUESTIONNAIRE'!C65:C188),ROW('VENDOR QUESTIONNAIRE'!C65:C188)),""),ROWS('VENDOR QUESTIONNAIRE'!$L$58:L65)))</f>
        <v>#NUM!</v>
      </c>
      <c r="H9" t="s">
        <v>1413</v>
      </c>
      <c r="I9" t="s">
        <v>1416</v>
      </c>
    </row>
    <row r="10" spans="1:11">
      <c r="A10">
        <v>0</v>
      </c>
      <c r="B10">
        <v>9</v>
      </c>
      <c r="C10" s="117" t="str">
        <v/>
      </c>
      <c r="D10" s="117" t="e">
        <f t="array" ref="D10">SMALL(IF(COUNTIFS(I$2,'VENDOR QUESTIONNAIRE'!$T$58:$T$181,I$3,'VENDOR QUESTIONNAIRE'!$L$58:$L$181),MATCH(ROW('VENDOR QUESTIONNAIRE'!C66:C189),ROW('VENDOR QUESTIONNAIRE'!C66:C189)),""),ROWS('VENDOR QUESTIONNAIRE'!$L$58:L66))</f>
        <v>#NUM!</v>
      </c>
      <c r="E10" s="288" t="e">
        <f t="array" ref="E10">INDEX('VENDOR QUESTIONNAIRE'!$C$58:$C$181,SMALL(IF(COUNTIFS(I$2,'VENDOR QUESTIONNAIRE'!$T$58:$T$181,I$3,'VENDOR QUESTIONNAIRE'!$L$58:$L$181),MATCH(ROW('VENDOR QUESTIONNAIRE'!C66:C189),ROW('VENDOR QUESTIONNAIRE'!C66:C189)),""),ROWS('VENDOR QUESTIONNAIRE'!$L$58:L66)))</f>
        <v>#NUM!</v>
      </c>
      <c r="H10" t="s">
        <v>1414</v>
      </c>
      <c r="I10" t="s">
        <v>1417</v>
      </c>
    </row>
    <row r="11" spans="1:11">
      <c r="A11">
        <v>0</v>
      </c>
      <c r="B11">
        <v>10</v>
      </c>
      <c r="C11" s="117" t="str">
        <v/>
      </c>
      <c r="D11" s="117" t="e">
        <f t="array" ref="D11">SMALL(IF(COUNTIFS(I$2,'VENDOR QUESTIONNAIRE'!$T$58:$T$181,I$3,'VENDOR QUESTIONNAIRE'!$L$58:$L$181),MATCH(ROW('VENDOR QUESTIONNAIRE'!C67:C190),ROW('VENDOR QUESTIONNAIRE'!C67:C190)),""),ROWS('VENDOR QUESTIONNAIRE'!$L$58:L67))</f>
        <v>#NUM!</v>
      </c>
      <c r="E11" s="288" t="e">
        <f t="array" ref="E11">INDEX('VENDOR QUESTIONNAIRE'!$C$58:$C$181,SMALL(IF(COUNTIFS(I$2,'VENDOR QUESTIONNAIRE'!$T$58:$T$181,I$3,'VENDOR QUESTIONNAIRE'!$L$58:$L$181),MATCH(ROW('VENDOR QUESTIONNAIRE'!C67:C190),ROW('VENDOR QUESTIONNAIRE'!C67:C190)),""),ROWS('VENDOR QUESTIONNAIRE'!$L$58:L67)))</f>
        <v>#NUM!</v>
      </c>
      <c r="H11" t="s">
        <v>1421</v>
      </c>
      <c r="I11" t="s">
        <v>1422</v>
      </c>
    </row>
    <row r="12" spans="1:11">
      <c r="A12">
        <v>0</v>
      </c>
      <c r="B12">
        <v>11</v>
      </c>
      <c r="C12" s="117" t="str">
        <v/>
      </c>
      <c r="D12" s="117" t="e">
        <f t="array" ref="D12">SMALL(IF(COUNTIFS(I$2,'VENDOR QUESTIONNAIRE'!$T$58:$T$181,I$3,'VENDOR QUESTIONNAIRE'!$L$58:$L$181),MATCH(ROW('VENDOR QUESTIONNAIRE'!C68:C191),ROW('VENDOR QUESTIONNAIRE'!C68:C191)),""),ROWS('VENDOR QUESTIONNAIRE'!$L$58:L68))</f>
        <v>#NUM!</v>
      </c>
      <c r="E12" s="288"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17" t="str">
        <v/>
      </c>
      <c r="D13" s="117" t="e">
        <f t="array" ref="D13">SMALL(IF(COUNTIFS(I$2,'VENDOR QUESTIONNAIRE'!$T$58:$T$181,I$3,'VENDOR QUESTIONNAIRE'!$L$58:$L$181),MATCH(ROW('VENDOR QUESTIONNAIRE'!C69:C192),ROW('VENDOR QUESTIONNAIRE'!C69:C192)),""),ROWS('VENDOR QUESTIONNAIRE'!$L$58:L69))</f>
        <v>#NUM!</v>
      </c>
      <c r="E13" s="288"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17" t="str">
        <v/>
      </c>
      <c r="D14" s="117" t="e">
        <f t="array" ref="D14">SMALL(IF(COUNTIFS(I$2,'VENDOR QUESTIONNAIRE'!$T$58:$T$181,I$3,'VENDOR QUESTIONNAIRE'!$L$58:$L$181),MATCH(ROW('VENDOR QUESTIONNAIRE'!C70:C193),ROW('VENDOR QUESTIONNAIRE'!C70:C193)),""),ROWS('VENDOR QUESTIONNAIRE'!$L$58:L70))</f>
        <v>#NUM!</v>
      </c>
      <c r="E14" s="288"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17" t="str">
        <v/>
      </c>
      <c r="D15" s="117" t="e">
        <f t="array" ref="D15">SMALL(IF(COUNTIFS(I$2,'VENDOR QUESTIONNAIRE'!$T$58:$T$181,I$3,'VENDOR QUESTIONNAIRE'!$L$58:$L$181),MATCH(ROW('VENDOR QUESTIONNAIRE'!C71:C194),ROW('VENDOR QUESTIONNAIRE'!C71:C194)),""),ROWS('VENDOR QUESTIONNAIRE'!$L$58:L71))</f>
        <v>#NUM!</v>
      </c>
      <c r="E15" s="288"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17" t="str">
        <v/>
      </c>
      <c r="D16" s="117" t="e">
        <f t="array" ref="D16">SMALL(IF(COUNTIFS(I$2,'VENDOR QUESTIONNAIRE'!$T$58:$T$181,I$3,'VENDOR QUESTIONNAIRE'!$L$58:$L$181),MATCH(ROW('VENDOR QUESTIONNAIRE'!C72:C195),ROW('VENDOR QUESTIONNAIRE'!C72:C195)),""),ROWS('VENDOR QUESTIONNAIRE'!$L$58:L72))</f>
        <v>#NUM!</v>
      </c>
      <c r="E16" s="288"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17" t="str">
        <v/>
      </c>
      <c r="D17" s="117" t="e">
        <f t="array" ref="D17">SMALL(IF(COUNTIFS(I$2,'VENDOR QUESTIONNAIRE'!$T$58:$T$181,I$3,'VENDOR QUESTIONNAIRE'!$L$58:$L$181),MATCH(ROW('VENDOR QUESTIONNAIRE'!C73:C196),ROW('VENDOR QUESTIONNAIRE'!C73:C196)),""),ROWS('VENDOR QUESTIONNAIRE'!$L$58:L73))</f>
        <v>#NUM!</v>
      </c>
      <c r="E17" s="288"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17" t="str">
        <v/>
      </c>
      <c r="D18" s="117" t="e">
        <f t="array" ref="D18">SMALL(IF(COUNTIFS(I$2,'VENDOR QUESTIONNAIRE'!$T$58:$T$181,I$3,'VENDOR QUESTIONNAIRE'!$L$58:$L$181),MATCH(ROW('VENDOR QUESTIONNAIRE'!C74:C197),ROW('VENDOR QUESTIONNAIRE'!C74:C197)),""),ROWS('VENDOR QUESTIONNAIRE'!$L$58:L74))</f>
        <v>#NUM!</v>
      </c>
      <c r="E18" s="288"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17" t="str">
        <v/>
      </c>
      <c r="D19" s="117" t="e">
        <f t="array" ref="D19">SMALL(IF(COUNTIFS(I$2,'VENDOR QUESTIONNAIRE'!$T$58:$T$181,I$3,'VENDOR QUESTIONNAIRE'!$L$58:$L$181),MATCH(ROW('VENDOR QUESTIONNAIRE'!C75:C198),ROW('VENDOR QUESTIONNAIRE'!C75:C198)),""),ROWS('VENDOR QUESTIONNAIRE'!$L$58:L75))</f>
        <v>#NUM!</v>
      </c>
      <c r="E19" s="288"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17" t="str">
        <v/>
      </c>
      <c r="D20" s="117" t="e">
        <f t="array" ref="D20">SMALL(IF(COUNTIFS(I$2,'VENDOR QUESTIONNAIRE'!$T$58:$T$181,I$3,'VENDOR QUESTIONNAIRE'!$L$58:$L$181),MATCH(ROW('VENDOR QUESTIONNAIRE'!C76:C199),ROW('VENDOR QUESTIONNAIRE'!C76:C199)),""),ROWS('VENDOR QUESTIONNAIRE'!$L$58:L76))</f>
        <v>#NUM!</v>
      </c>
      <c r="E20" s="288"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17" t="str">
        <v/>
      </c>
      <c r="D21" s="117" t="e">
        <f t="array" ref="D21">SMALL(IF(COUNTIFS(I$2,'VENDOR QUESTIONNAIRE'!$T$58:$T$181,I$3,'VENDOR QUESTIONNAIRE'!$L$58:$L$181),MATCH(ROW('VENDOR QUESTIONNAIRE'!C77:C200),ROW('VENDOR QUESTIONNAIRE'!C77:C200)),""),ROWS('VENDOR QUESTIONNAIRE'!$L$58:L77))</f>
        <v>#NUM!</v>
      </c>
      <c r="E21" s="289"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17" t="str">
        <v/>
      </c>
    </row>
    <row r="23" spans="1:5">
      <c r="A23">
        <v>0</v>
      </c>
      <c r="B23">
        <v>22</v>
      </c>
      <c r="C23" s="117" t="str">
        <v/>
      </c>
    </row>
    <row r="24" spans="1:5">
      <c r="A24">
        <v>0</v>
      </c>
      <c r="B24">
        <v>23</v>
      </c>
      <c r="C24" s="117" t="str">
        <v/>
      </c>
    </row>
    <row r="25" spans="1:5">
      <c r="A25">
        <v>0</v>
      </c>
      <c r="B25">
        <v>24</v>
      </c>
      <c r="C25" s="117" t="str">
        <v/>
      </c>
    </row>
    <row r="26" spans="1:5">
      <c r="A26">
        <v>0</v>
      </c>
      <c r="B26">
        <v>25</v>
      </c>
      <c r="C26" s="117" t="str">
        <v/>
      </c>
    </row>
    <row r="27" spans="1:5">
      <c r="A27">
        <v>0</v>
      </c>
      <c r="B27">
        <v>26</v>
      </c>
      <c r="C27" s="117" t="str">
        <v/>
      </c>
    </row>
    <row r="28" spans="1:5">
      <c r="A28">
        <v>0</v>
      </c>
      <c r="B28">
        <v>27</v>
      </c>
      <c r="C28" s="117" t="str">
        <v/>
      </c>
    </row>
    <row r="29" spans="1:5">
      <c r="A29">
        <v>0</v>
      </c>
      <c r="B29">
        <v>28</v>
      </c>
      <c r="C29" s="117" t="str">
        <v/>
      </c>
    </row>
    <row r="30" spans="1:5">
      <c r="A30">
        <v>0</v>
      </c>
      <c r="B30">
        <v>29</v>
      </c>
      <c r="C30" s="117" t="str">
        <v/>
      </c>
    </row>
    <row r="31" spans="1:5">
      <c r="A31">
        <v>0</v>
      </c>
      <c r="B31">
        <v>30</v>
      </c>
      <c r="C31" s="117" t="str">
        <v/>
      </c>
    </row>
    <row r="32" spans="1:5">
      <c r="A32">
        <v>0</v>
      </c>
      <c r="B32">
        <v>31</v>
      </c>
      <c r="C32" s="117" t="str">
        <v/>
      </c>
    </row>
    <row r="33" spans="1:3">
      <c r="A33">
        <v>0</v>
      </c>
      <c r="B33">
        <v>32</v>
      </c>
      <c r="C33" s="117" t="str">
        <v/>
      </c>
    </row>
    <row r="34" spans="1:3">
      <c r="A34">
        <v>0</v>
      </c>
      <c r="B34">
        <v>33</v>
      </c>
      <c r="C34" s="117" t="str">
        <v/>
      </c>
    </row>
    <row r="35" spans="1:3">
      <c r="A35">
        <v>0</v>
      </c>
      <c r="B35">
        <v>34</v>
      </c>
      <c r="C35" s="117" t="str">
        <v/>
      </c>
    </row>
    <row r="36" spans="1:3">
      <c r="A36">
        <v>0</v>
      </c>
      <c r="B36">
        <v>35</v>
      </c>
      <c r="C36" s="117" t="str">
        <v/>
      </c>
    </row>
    <row r="37" spans="1:3">
      <c r="A37">
        <v>0</v>
      </c>
      <c r="B37">
        <v>36</v>
      </c>
      <c r="C37" s="117" t="str">
        <v/>
      </c>
    </row>
    <row r="38" spans="1:3">
      <c r="A38">
        <v>0</v>
      </c>
      <c r="B38">
        <v>37</v>
      </c>
      <c r="C38" s="117" t="str">
        <v/>
      </c>
    </row>
    <row r="39" spans="1:3">
      <c r="A39">
        <v>0</v>
      </c>
      <c r="B39">
        <v>38</v>
      </c>
      <c r="C39" s="117" t="str">
        <v/>
      </c>
    </row>
    <row r="40" spans="1:3">
      <c r="A40">
        <v>0</v>
      </c>
      <c r="B40">
        <v>39</v>
      </c>
      <c r="C40" s="117" t="str">
        <v/>
      </c>
    </row>
    <row r="41" spans="1:3">
      <c r="A41">
        <v>0</v>
      </c>
      <c r="B41">
        <v>40</v>
      </c>
      <c r="C41" s="117" t="str">
        <v/>
      </c>
    </row>
    <row r="42" spans="1:3">
      <c r="A42">
        <v>0</v>
      </c>
      <c r="B42">
        <v>41</v>
      </c>
      <c r="C42" s="117" t="str">
        <v/>
      </c>
    </row>
    <row r="43" spans="1:3">
      <c r="A43">
        <v>0</v>
      </c>
      <c r="B43">
        <v>42</v>
      </c>
      <c r="C43" s="117" t="str">
        <v/>
      </c>
    </row>
    <row r="44" spans="1:3">
      <c r="A44">
        <v>0</v>
      </c>
      <c r="B44">
        <v>43</v>
      </c>
      <c r="C44" s="117" t="str">
        <v/>
      </c>
    </row>
    <row r="45" spans="1:3">
      <c r="A45">
        <v>0</v>
      </c>
      <c r="B45">
        <v>44</v>
      </c>
      <c r="C45" s="117" t="str">
        <v/>
      </c>
    </row>
    <row r="46" spans="1:3">
      <c r="A46">
        <v>0</v>
      </c>
      <c r="B46">
        <v>45</v>
      </c>
      <c r="C46" s="117" t="str">
        <v/>
      </c>
    </row>
    <row r="47" spans="1:3">
      <c r="A47">
        <v>0</v>
      </c>
      <c r="B47">
        <v>46</v>
      </c>
      <c r="C47" s="117" t="str">
        <v/>
      </c>
    </row>
    <row r="48" spans="1:3">
      <c r="A48">
        <v>0</v>
      </c>
      <c r="B48">
        <v>47</v>
      </c>
      <c r="C48" s="117" t="str">
        <v/>
      </c>
    </row>
    <row r="49" spans="1:3">
      <c r="A49">
        <v>0</v>
      </c>
      <c r="B49">
        <v>48</v>
      </c>
      <c r="C49" s="117" t="str">
        <v/>
      </c>
    </row>
    <row r="50" spans="1:3">
      <c r="A50">
        <v>0</v>
      </c>
      <c r="B50">
        <v>49</v>
      </c>
      <c r="C50" s="117" t="str">
        <v/>
      </c>
    </row>
    <row r="51" spans="1:3">
      <c r="A51">
        <v>0</v>
      </c>
      <c r="B51">
        <v>50</v>
      </c>
      <c r="C51" s="117" t="str">
        <v/>
      </c>
    </row>
    <row r="52" spans="1:3">
      <c r="A52">
        <v>0</v>
      </c>
      <c r="B52">
        <v>51</v>
      </c>
      <c r="C52" s="117" t="str">
        <v/>
      </c>
    </row>
    <row r="53" spans="1:3">
      <c r="A53">
        <v>0</v>
      </c>
      <c r="B53">
        <v>52</v>
      </c>
      <c r="C53" s="117" t="str">
        <v/>
      </c>
    </row>
    <row r="54" spans="1:3">
      <c r="A54">
        <v>0</v>
      </c>
      <c r="B54">
        <v>53</v>
      </c>
      <c r="C54" s="117" t="str">
        <v/>
      </c>
    </row>
    <row r="55" spans="1:3">
      <c r="A55">
        <v>0</v>
      </c>
      <c r="B55">
        <v>54</v>
      </c>
      <c r="C55" s="117" t="str">
        <v/>
      </c>
    </row>
    <row r="56" spans="1:3">
      <c r="A56">
        <v>0</v>
      </c>
      <c r="B56">
        <v>55</v>
      </c>
      <c r="C56" s="117" t="str">
        <v/>
      </c>
    </row>
    <row r="57" spans="1:3">
      <c r="A57">
        <v>0</v>
      </c>
      <c r="B57">
        <v>56</v>
      </c>
      <c r="C57" s="117" t="str">
        <v/>
      </c>
    </row>
    <row r="58" spans="1:3">
      <c r="A58">
        <v>0</v>
      </c>
      <c r="B58">
        <v>57</v>
      </c>
      <c r="C58" s="117" t="str">
        <v/>
      </c>
    </row>
    <row r="59" spans="1:3">
      <c r="A59">
        <v>0</v>
      </c>
      <c r="B59">
        <v>58</v>
      </c>
      <c r="C59" s="117" t="str">
        <v/>
      </c>
    </row>
    <row r="60" spans="1:3">
      <c r="A60">
        <v>0</v>
      </c>
      <c r="B60">
        <v>59</v>
      </c>
      <c r="C60" s="117" t="str">
        <v/>
      </c>
    </row>
    <row r="61" spans="1:3">
      <c r="A61">
        <v>0</v>
      </c>
      <c r="B61">
        <v>60</v>
      </c>
      <c r="C61" s="117" t="str">
        <v/>
      </c>
    </row>
    <row r="62" spans="1:3">
      <c r="A62">
        <v>0</v>
      </c>
      <c r="B62">
        <v>61</v>
      </c>
      <c r="C62" s="117" t="str">
        <v/>
      </c>
    </row>
    <row r="63" spans="1:3">
      <c r="A63">
        <v>0</v>
      </c>
      <c r="B63">
        <v>62</v>
      </c>
      <c r="C63" s="117" t="str">
        <v/>
      </c>
    </row>
    <row r="64" spans="1:3">
      <c r="A64">
        <v>0</v>
      </c>
      <c r="B64">
        <v>63</v>
      </c>
      <c r="C64" s="117" t="str">
        <v/>
      </c>
    </row>
    <row r="65" spans="1:3">
      <c r="A65">
        <v>0</v>
      </c>
      <c r="B65">
        <v>64</v>
      </c>
      <c r="C65" s="117" t="str">
        <v/>
      </c>
    </row>
    <row r="66" spans="1:3">
      <c r="A66">
        <v>0</v>
      </c>
      <c r="B66">
        <v>65</v>
      </c>
      <c r="C66" s="117" t="str">
        <v/>
      </c>
    </row>
    <row r="67" spans="1:3">
      <c r="A67">
        <v>0</v>
      </c>
      <c r="B67">
        <v>66</v>
      </c>
      <c r="C67" s="117" t="str">
        <v/>
      </c>
    </row>
    <row r="68" spans="1:3">
      <c r="A68">
        <v>0</v>
      </c>
      <c r="B68">
        <v>67</v>
      </c>
      <c r="C68" s="117" t="str">
        <v/>
      </c>
    </row>
    <row r="69" spans="1:3">
      <c r="A69">
        <v>0</v>
      </c>
      <c r="B69">
        <v>68</v>
      </c>
      <c r="C69" s="117" t="str">
        <v/>
      </c>
    </row>
    <row r="70" spans="1:3">
      <c r="A70">
        <v>0</v>
      </c>
      <c r="B70">
        <v>69</v>
      </c>
      <c r="C70" s="117" t="str">
        <v/>
      </c>
    </row>
    <row r="71" spans="1:3">
      <c r="A71">
        <v>0</v>
      </c>
      <c r="B71">
        <v>70</v>
      </c>
      <c r="C71" s="117" t="str">
        <v/>
      </c>
    </row>
    <row r="72" spans="1:3">
      <c r="A72">
        <v>0</v>
      </c>
      <c r="B72">
        <v>71</v>
      </c>
      <c r="C72" s="117" t="str">
        <v/>
      </c>
    </row>
    <row r="73" spans="1:3">
      <c r="A73">
        <v>0</v>
      </c>
      <c r="B73">
        <v>72</v>
      </c>
      <c r="C73" s="117" t="str">
        <v/>
      </c>
    </row>
    <row r="74" spans="1:3">
      <c r="A74">
        <v>0</v>
      </c>
      <c r="B74">
        <v>73</v>
      </c>
      <c r="C74" s="117" t="str">
        <v/>
      </c>
    </row>
    <row r="75" spans="1:3">
      <c r="A75">
        <v>0</v>
      </c>
      <c r="B75">
        <v>74</v>
      </c>
      <c r="C75" s="117" t="str">
        <v/>
      </c>
    </row>
    <row r="76" spans="1:3">
      <c r="A76">
        <v>0</v>
      </c>
      <c r="B76">
        <v>75</v>
      </c>
      <c r="C76" s="117" t="str">
        <v/>
      </c>
    </row>
    <row r="77" spans="1:3">
      <c r="A77">
        <v>0</v>
      </c>
      <c r="B77">
        <v>76</v>
      </c>
      <c r="C77" s="117" t="str">
        <v/>
      </c>
    </row>
    <row r="78" spans="1:3">
      <c r="A78">
        <v>0</v>
      </c>
      <c r="B78">
        <v>77</v>
      </c>
      <c r="C78" s="117" t="str">
        <v/>
      </c>
    </row>
    <row r="79" spans="1:3">
      <c r="A79">
        <v>0</v>
      </c>
      <c r="B79">
        <v>78</v>
      </c>
      <c r="C79" s="117" t="str">
        <v/>
      </c>
    </row>
    <row r="80" spans="1:3">
      <c r="A80">
        <v>0</v>
      </c>
      <c r="B80">
        <v>79</v>
      </c>
      <c r="C80" s="117" t="str">
        <v/>
      </c>
    </row>
    <row r="81" spans="1:3">
      <c r="A81">
        <v>0</v>
      </c>
      <c r="B81">
        <v>80</v>
      </c>
      <c r="C81" s="117" t="str">
        <v/>
      </c>
    </row>
    <row r="82" spans="1:3">
      <c r="A82">
        <v>0</v>
      </c>
      <c r="B82">
        <v>81</v>
      </c>
      <c r="C82" s="117" t="str">
        <v/>
      </c>
    </row>
    <row r="83" spans="1:3">
      <c r="A83">
        <v>0</v>
      </c>
      <c r="B83">
        <v>82</v>
      </c>
      <c r="C83" s="117" t="str">
        <v/>
      </c>
    </row>
    <row r="84" spans="1:3">
      <c r="A84">
        <v>0</v>
      </c>
      <c r="B84">
        <v>83</v>
      </c>
      <c r="C84" s="117" t="str">
        <v/>
      </c>
    </row>
    <row r="85" spans="1:3">
      <c r="A85">
        <v>0</v>
      </c>
      <c r="B85">
        <v>84</v>
      </c>
      <c r="C85" s="117" t="str">
        <v/>
      </c>
    </row>
    <row r="86" spans="1:3">
      <c r="A86">
        <v>0</v>
      </c>
      <c r="B86">
        <v>85</v>
      </c>
      <c r="C86" s="117" t="str">
        <v/>
      </c>
    </row>
    <row r="87" spans="1:3">
      <c r="A87">
        <v>0</v>
      </c>
      <c r="B87">
        <v>86</v>
      </c>
      <c r="C87" s="117" t="str">
        <v/>
      </c>
    </row>
    <row r="88" spans="1:3">
      <c r="A88">
        <v>0</v>
      </c>
      <c r="B88">
        <v>87</v>
      </c>
      <c r="C88" s="117" t="str">
        <v/>
      </c>
    </row>
    <row r="89" spans="1:3">
      <c r="A89">
        <v>0</v>
      </c>
      <c r="B89">
        <v>88</v>
      </c>
      <c r="C89" s="117" t="str">
        <v/>
      </c>
    </row>
    <row r="90" spans="1:3">
      <c r="A90">
        <v>0</v>
      </c>
      <c r="B90">
        <v>89</v>
      </c>
      <c r="C90" s="117" t="str">
        <v/>
      </c>
    </row>
    <row r="91" spans="1:3">
      <c r="A91">
        <v>0</v>
      </c>
      <c r="B91">
        <v>90</v>
      </c>
      <c r="C91" s="117" t="str">
        <v/>
      </c>
    </row>
    <row r="92" spans="1:3">
      <c r="A92">
        <v>0</v>
      </c>
      <c r="B92">
        <v>91</v>
      </c>
      <c r="C92" s="117" t="str">
        <v/>
      </c>
    </row>
    <row r="93" spans="1:3">
      <c r="A93">
        <v>0</v>
      </c>
      <c r="B93">
        <v>92</v>
      </c>
      <c r="C93" s="117" t="str">
        <v/>
      </c>
    </row>
    <row r="94" spans="1:3">
      <c r="A94">
        <v>0</v>
      </c>
      <c r="B94">
        <v>93</v>
      </c>
      <c r="C94" s="117" t="str">
        <v/>
      </c>
    </row>
    <row r="95" spans="1:3">
      <c r="A95">
        <v>0</v>
      </c>
      <c r="B95">
        <v>94</v>
      </c>
      <c r="C95" s="117" t="str">
        <v/>
      </c>
    </row>
    <row r="96" spans="1:3">
      <c r="A96">
        <v>0</v>
      </c>
      <c r="B96">
        <v>95</v>
      </c>
      <c r="C96" s="117" t="str">
        <v/>
      </c>
    </row>
    <row r="97" spans="1:3">
      <c r="A97">
        <v>0</v>
      </c>
      <c r="B97">
        <v>96</v>
      </c>
      <c r="C97" s="117" t="str">
        <v/>
      </c>
    </row>
    <row r="98" spans="1:3">
      <c r="A98">
        <v>0</v>
      </c>
      <c r="B98">
        <v>97</v>
      </c>
      <c r="C98" s="117" t="str">
        <v/>
      </c>
    </row>
    <row r="99" spans="1:3">
      <c r="A99">
        <v>0</v>
      </c>
      <c r="B99">
        <v>98</v>
      </c>
      <c r="C99" s="117" t="str">
        <v/>
      </c>
    </row>
    <row r="100" spans="1:3">
      <c r="A100">
        <v>0</v>
      </c>
      <c r="B100">
        <v>99</v>
      </c>
      <c r="C100" s="117" t="str">
        <v/>
      </c>
    </row>
    <row r="101" spans="1:3">
      <c r="A101">
        <v>0</v>
      </c>
      <c r="B101">
        <v>100</v>
      </c>
      <c r="C101" s="117" t="str">
        <v/>
      </c>
    </row>
    <row r="102" spans="1:3">
      <c r="A102">
        <v>0</v>
      </c>
      <c r="B102">
        <v>101</v>
      </c>
      <c r="C102" s="117" t="str">
        <v/>
      </c>
    </row>
    <row r="103" spans="1:3">
      <c r="A103">
        <v>0</v>
      </c>
      <c r="B103">
        <v>102</v>
      </c>
      <c r="C103" s="117" t="str">
        <v/>
      </c>
    </row>
    <row r="104" spans="1:3">
      <c r="A104">
        <v>0</v>
      </c>
      <c r="B104">
        <v>103</v>
      </c>
      <c r="C104" s="117" t="str">
        <v/>
      </c>
    </row>
    <row r="105" spans="1:3">
      <c r="A105">
        <v>0</v>
      </c>
      <c r="B105">
        <v>104</v>
      </c>
      <c r="C105" s="117" t="str">
        <v/>
      </c>
    </row>
    <row r="106" spans="1:3">
      <c r="A106">
        <v>0</v>
      </c>
      <c r="B106">
        <v>105</v>
      </c>
      <c r="C106" s="117" t="str">
        <v/>
      </c>
    </row>
    <row r="107" spans="1:3">
      <c r="A107">
        <v>0</v>
      </c>
      <c r="B107">
        <v>106</v>
      </c>
      <c r="C107" s="117" t="str">
        <v/>
      </c>
    </row>
    <row r="108" spans="1:3">
      <c r="A108">
        <v>0</v>
      </c>
      <c r="B108">
        <v>107</v>
      </c>
      <c r="C108" s="117" t="str">
        <v/>
      </c>
    </row>
    <row r="109" spans="1:3">
      <c r="A109">
        <v>0</v>
      </c>
      <c r="B109">
        <v>108</v>
      </c>
      <c r="C109" s="117" t="str">
        <v/>
      </c>
    </row>
    <row r="110" spans="1:3">
      <c r="A110">
        <v>0</v>
      </c>
      <c r="B110">
        <v>109</v>
      </c>
      <c r="C110" s="117" t="str">
        <v/>
      </c>
    </row>
    <row r="111" spans="1:3">
      <c r="A111">
        <v>0</v>
      </c>
      <c r="B111">
        <v>110</v>
      </c>
      <c r="C111" s="117" t="str">
        <v/>
      </c>
    </row>
    <row r="112" spans="1:3">
      <c r="A112">
        <v>0</v>
      </c>
      <c r="B112">
        <v>111</v>
      </c>
      <c r="C112" s="117" t="str">
        <v/>
      </c>
    </row>
    <row r="113" spans="1:3">
      <c r="A113">
        <v>0</v>
      </c>
      <c r="B113">
        <v>112</v>
      </c>
      <c r="C113" s="117" t="str">
        <v/>
      </c>
    </row>
    <row r="114" spans="1:3">
      <c r="A114">
        <v>0</v>
      </c>
      <c r="B114">
        <v>113</v>
      </c>
      <c r="C114" s="117" t="str">
        <v/>
      </c>
    </row>
    <row r="115" spans="1:3">
      <c r="A115">
        <v>0</v>
      </c>
      <c r="B115">
        <v>114</v>
      </c>
      <c r="C115" s="117" t="str">
        <v/>
      </c>
    </row>
    <row r="116" spans="1:3">
      <c r="A116">
        <v>0</v>
      </c>
      <c r="B116">
        <v>115</v>
      </c>
      <c r="C116" s="117" t="str">
        <v/>
      </c>
    </row>
    <row r="117" spans="1:3">
      <c r="A117">
        <v>0</v>
      </c>
      <c r="B117">
        <v>116</v>
      </c>
      <c r="C117" s="117" t="str">
        <v/>
      </c>
    </row>
    <row r="118" spans="1:3">
      <c r="A118">
        <v>0</v>
      </c>
      <c r="B118">
        <v>117</v>
      </c>
      <c r="C118" s="117" t="str">
        <v/>
      </c>
    </row>
    <row r="119" spans="1:3">
      <c r="A119">
        <v>0</v>
      </c>
      <c r="B119">
        <v>118</v>
      </c>
      <c r="C119" s="117" t="str">
        <v/>
      </c>
    </row>
    <row r="120" spans="1:3">
      <c r="A120">
        <v>0</v>
      </c>
      <c r="B120">
        <v>119</v>
      </c>
      <c r="C120" s="117" t="str">
        <v/>
      </c>
    </row>
    <row r="121" spans="1:3">
      <c r="A121">
        <v>0</v>
      </c>
      <c r="B121">
        <v>120</v>
      </c>
      <c r="C121" s="117" t="str">
        <v/>
      </c>
    </row>
    <row r="122" spans="1:3">
      <c r="A122">
        <v>0</v>
      </c>
      <c r="B122">
        <v>121</v>
      </c>
      <c r="C122" s="117" t="str">
        <v/>
      </c>
    </row>
    <row r="123" spans="1:3">
      <c r="A123">
        <v>0</v>
      </c>
      <c r="B123">
        <v>122</v>
      </c>
      <c r="C123" s="117" t="str">
        <v/>
      </c>
    </row>
    <row r="124" spans="1:3">
      <c r="A124">
        <v>0</v>
      </c>
      <c r="B124">
        <v>123</v>
      </c>
      <c r="C124" s="117" t="str">
        <v/>
      </c>
    </row>
    <row r="125" spans="1:3">
      <c r="A125">
        <v>0</v>
      </c>
      <c r="B125">
        <v>124</v>
      </c>
      <c r="C125" s="117" t="str">
        <v/>
      </c>
    </row>
    <row r="126" spans="1:3">
      <c r="A126" t="e">
        <v>#N/A</v>
      </c>
      <c r="B126" t="e">
        <v>#N/A</v>
      </c>
      <c r="C126" s="117" t="e">
        <v>#N/A</v>
      </c>
    </row>
    <row r="127" spans="1:3">
      <c r="A127" t="e">
        <v>#N/A</v>
      </c>
      <c r="B127" t="e">
        <v>#N/A</v>
      </c>
      <c r="C127" s="117" t="e">
        <v>#N/A</v>
      </c>
    </row>
    <row r="128" spans="1:3">
      <c r="A128" t="e">
        <v>#N/A</v>
      </c>
      <c r="B128" t="e">
        <v>#N/A</v>
      </c>
      <c r="C128" s="117" t="e">
        <v>#N/A</v>
      </c>
    </row>
    <row r="129" spans="1:3">
      <c r="A129" t="e">
        <v>#N/A</v>
      </c>
      <c r="B129" t="e">
        <v>#N/A</v>
      </c>
      <c r="C129" s="117" t="e">
        <v>#N/A</v>
      </c>
    </row>
    <row r="130" spans="1:3">
      <c r="A130" t="e">
        <v>#N/A</v>
      </c>
      <c r="B130" t="e">
        <v>#N/A</v>
      </c>
      <c r="C130" s="117" t="e">
        <v>#N/A</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42718-DC07-4B8B-9C1F-D6849FE1C307}">
  <sheetPr>
    <tabColor theme="4"/>
  </sheetPr>
  <dimension ref="A1:Y107"/>
  <sheetViews>
    <sheetView showGridLines="0" zoomScale="70" zoomScaleNormal="70" workbookViewId="0">
      <selection activeCell="X21" sqref="X21"/>
    </sheetView>
  </sheetViews>
  <sheetFormatPr baseColWidth="10" defaultColWidth="8.83203125" defaultRowHeight="16"/>
  <cols>
    <col min="22" max="22" width="9" style="113"/>
  </cols>
  <sheetData>
    <row r="1" spans="1:25">
      <c r="A1" s="794" t="s">
        <v>1394</v>
      </c>
      <c r="B1" s="794"/>
      <c r="C1" s="794"/>
      <c r="D1" s="794"/>
      <c r="E1" s="794"/>
      <c r="G1" s="514" t="s">
        <v>1534</v>
      </c>
      <c r="H1" s="514"/>
      <c r="I1" s="514"/>
      <c r="J1" s="514"/>
      <c r="K1" s="514"/>
      <c r="M1" s="795" t="s">
        <v>1395</v>
      </c>
      <c r="N1" s="795"/>
      <c r="O1" s="795"/>
      <c r="P1" s="795"/>
      <c r="Q1" s="795"/>
      <c r="S1" s="361" t="s">
        <v>1394</v>
      </c>
      <c r="T1" s="361" t="s">
        <v>1534</v>
      </c>
      <c r="U1" s="361" t="s">
        <v>1395</v>
      </c>
      <c r="V1" s="362" t="s">
        <v>1665</v>
      </c>
    </row>
    <row r="2" spans="1:25">
      <c r="A2" s="347" t="s">
        <v>1408</v>
      </c>
      <c r="B2" s="348" t="s">
        <v>1409</v>
      </c>
      <c r="C2" s="349" t="s">
        <v>1415</v>
      </c>
      <c r="D2" s="350" t="s">
        <v>1418</v>
      </c>
      <c r="E2" s="194" t="s">
        <v>1419</v>
      </c>
      <c r="G2" s="351" t="s">
        <v>1408</v>
      </c>
      <c r="H2" s="352" t="s">
        <v>1409</v>
      </c>
      <c r="I2" s="353" t="s">
        <v>1415</v>
      </c>
      <c r="J2" s="354" t="s">
        <v>1418</v>
      </c>
      <c r="K2" s="355" t="s">
        <v>1419</v>
      </c>
      <c r="M2" s="356" t="s">
        <v>1408</v>
      </c>
      <c r="N2" s="357" t="s">
        <v>1409</v>
      </c>
      <c r="O2" s="358" t="s">
        <v>1415</v>
      </c>
      <c r="P2" s="359" t="s">
        <v>1418</v>
      </c>
      <c r="Q2" s="360" t="s">
        <v>1419</v>
      </c>
      <c r="S2" s="68" t="e">
        <f t="shared" ref="S2:S26" si="0">E3</f>
        <v>#NUM!</v>
      </c>
      <c r="T2" s="68" t="e">
        <f t="shared" ref="T2:T26" si="1">K3</f>
        <v>#NUM!</v>
      </c>
      <c r="U2" s="68" t="e">
        <f t="shared" ref="U2:U26" si="2">Q3</f>
        <v>#NUM!</v>
      </c>
      <c r="V2" s="364" t="str">
        <f t="array" ref="V2">_xlfn.TEXTJOIN("",TRUE,IF(ISNUMBER(S2:U2),S2:U2,""))</f>
        <v/>
      </c>
    </row>
    <row r="3" spans="1:25">
      <c r="A3" s="68">
        <f>COUNTIFS(Y$4,'Technology MASTER'!$G$3:$G$107)</f>
        <v>0</v>
      </c>
      <c r="B3" s="68">
        <f t="array" ref="B3:B107">MATCH(ROW('Technology MASTER'!B3:B107),ROW('Technology MASTER'!B3:B107))</f>
        <v>1</v>
      </c>
      <c r="C3" s="68" t="str">
        <f t="array" ref="C3:C107">IF(COUNTIFS(Y$4,'Technology MASTER'!$G$3:$G$107),MATCH(ROW('Technology MASTER'!B3:B107),ROW('Technology MASTER'!B3:B107)),"")</f>
        <v/>
      </c>
      <c r="D3" s="68" t="e">
        <f t="array" ref="D3">SMALL(IF(COUNTIFS(Y$4,'Technology MASTER'!$G$3:$G$107),MATCH(ROW('Technology MASTER'!B3:B107),ROW('Technology MASTER'!B3:B107)),""),ROWS($A$1:A1))</f>
        <v>#NUM!</v>
      </c>
      <c r="E3" s="68" t="e">
        <f t="array" ref="E3">INDEX('Technology MASTER'!$B$3:$B$107,SMALL(IF(COUNTIFS(Y$4,'Technology MASTER'!$G$3:$G$107),MATCH(ROW('Technology MASTER'!B3:B107),ROW('Technology MASTER'!B3:B107)),""),ROWS($A$1:A1)))</f>
        <v>#NUM!</v>
      </c>
      <c r="G3" s="68">
        <f>COUNTIFS(Y$4,'Technology MASTER'!$H$3:$H$107)</f>
        <v>0</v>
      </c>
      <c r="H3" s="68">
        <f t="array" ref="H3:H107">MATCH(ROW('Technology MASTER'!B3:B107),ROW('Technology MASTER'!B3:B107))</f>
        <v>1</v>
      </c>
      <c r="I3" s="68" t="str">
        <f t="array" ref="I3:I107">IF(COUNTIFS(Y$4,'Technology MASTER'!$H$3:$H$107),MATCH(ROW('Technology MASTER'!B3:B107),ROW('Technology MASTER'!B3:B107)),"")</f>
        <v/>
      </c>
      <c r="J3" s="68" t="e">
        <f t="array" ref="J3">SMALL(IF(COUNTIFS(Y$4,'Technology MASTER'!$H$3:$H$107),MATCH(ROW('Technology MASTER'!B3:B107),ROW('Technology MASTER'!B3:B107)),""),ROWS($A$1:A1))</f>
        <v>#NUM!</v>
      </c>
      <c r="K3" s="68" t="e">
        <f t="array" ref="K3">INDEX('Technology MASTER'!$B$3:$B$107,SMALL(IF(COUNTIFS(Y$4,'Technology MASTER'!$H$3:$H$107),MATCH(ROW('Technology MASTER'!B3:B107),ROW('Technology MASTER'!B3:B107)),""),ROWS($A$1:A1)))</f>
        <v>#NUM!</v>
      </c>
      <c r="M3" s="68">
        <f>COUNTIFS(Y$4,'Technology MASTER'!$I$3:$I$107)</f>
        <v>0</v>
      </c>
      <c r="N3" s="68">
        <f t="array" ref="N3:N107">MATCH(ROW('Technology MASTER'!B3:B107),ROW('Technology MASTER'!B3:B107))</f>
        <v>1</v>
      </c>
      <c r="O3" s="68" t="str">
        <f t="array" ref="O3:O107">IF(COUNTIFS(Y$4,'Technology MASTER'!$I$3:$I$107),MATCH(ROW('Technology MASTER'!B3:B107),ROW('Technology MASTER'!B3:B107)),"")</f>
        <v/>
      </c>
      <c r="P3" s="68" t="e">
        <f t="array" ref="P3">SMALL(IF(COUNTIFS(Y$4,'Technology MASTER'!$I$3:$I$107),MATCH(ROW('Technology MASTER'!B3:B107),ROW('Technology MASTER'!B3:B107)),""),ROWS($A$1:A1))</f>
        <v>#NUM!</v>
      </c>
      <c r="Q3" s="68" t="e">
        <f t="array" ref="Q3">INDEX('Technology MASTER'!$B$3:$B$107,SMALL(IF(COUNTIFS(Y$4,'Technology MASTER'!$I$3:$I$107),MATCH(ROW('Technology MASTER'!B3:B107),ROW('Technology MASTER'!B3:B107)),""),ROWS($A$1:A1)))</f>
        <v>#NUM!</v>
      </c>
      <c r="S3" s="68" t="e">
        <f t="shared" si="0"/>
        <v>#NUM!</v>
      </c>
      <c r="T3" s="68" t="e">
        <f t="shared" si="1"/>
        <v>#NUM!</v>
      </c>
      <c r="U3" s="68" t="e">
        <f t="shared" si="2"/>
        <v>#NUM!</v>
      </c>
      <c r="V3" s="364" t="str">
        <f t="array" ref="V3">_xlfn.TEXTJOIN("",TRUE,IF(ISNUMBER(S3:U3),S3:U3,""))</f>
        <v/>
      </c>
      <c r="X3" s="346" t="s">
        <v>1662</v>
      </c>
    </row>
    <row r="4" spans="1:25">
      <c r="A4" s="68">
        <f>COUNTIFS(Y$4,'Technology MASTER'!$G$3:$G$107)</f>
        <v>0</v>
      </c>
      <c r="B4" s="68">
        <v>2</v>
      </c>
      <c r="C4" s="68" t="str">
        <v/>
      </c>
      <c r="D4" s="68" t="e">
        <f t="array" ref="D4">SMALL(IF(COUNTIFS(Y$4,'Technology MASTER'!$G$3:$G$107),MATCH(ROW('Technology MASTER'!B4:B108),ROW('Technology MASTER'!B4:B108)),""),ROWS($A$1:A2))</f>
        <v>#NUM!</v>
      </c>
      <c r="E4" s="68" t="e">
        <f t="array" ref="E4">INDEX('Technology MASTER'!$B$3:$B$107,SMALL(IF(COUNTIFS(Y$4,'Technology MASTER'!$G$3:$G$107),MATCH(ROW('Technology MASTER'!B4:B108),ROW('Technology MASTER'!B4:B108)),""),ROWS($A$1:A2)))</f>
        <v>#NUM!</v>
      </c>
      <c r="G4" s="68">
        <f>COUNTIFS(Y$4,'Technology MASTER'!$H$3:$H$107)</f>
        <v>0</v>
      </c>
      <c r="H4" s="68">
        <v>2</v>
      </c>
      <c r="I4" s="68" t="str">
        <v/>
      </c>
      <c r="J4" s="68" t="e">
        <f t="array" ref="J4">SMALL(IF(COUNTIFS(Y$4,'Technology MASTER'!$H$3:$H$107),MATCH(ROW('Technology MASTER'!B4:B108),ROW('Technology MASTER'!B4:B108)),""),ROWS($A$1:A2))</f>
        <v>#NUM!</v>
      </c>
      <c r="K4" s="68" t="e">
        <f t="array" ref="K4">INDEX('Technology MASTER'!$B$3:$B$107,SMALL(IF(COUNTIFS(Y$4,'Technology MASTER'!$H$3:$H$107),MATCH(ROW('Technology MASTER'!B4:B108),ROW('Technology MASTER'!B4:B108)),""),ROWS($A$1:A2)))</f>
        <v>#NUM!</v>
      </c>
      <c r="M4" s="68">
        <f>COUNTIFS(Y$4,'Technology MASTER'!$I$3:$I$107)</f>
        <v>0</v>
      </c>
      <c r="N4" s="68">
        <v>2</v>
      </c>
      <c r="O4" s="68" t="str">
        <v/>
      </c>
      <c r="P4" s="68" t="e">
        <f t="array" ref="P4">SMALL(IF(COUNTIFS(Y$4,'Technology MASTER'!$I$3:$I$107),MATCH(ROW('Technology MASTER'!B4:B108),ROW('Technology MASTER'!B4:B108)),""),ROWS($A$1:A2))</f>
        <v>#NUM!</v>
      </c>
      <c r="Q4" s="68" t="e">
        <f t="array" ref="Q4">INDEX('Technology MASTER'!$B$3:$B$107,SMALL(IF(COUNTIFS(Y$4,'Technology MASTER'!$I$3:$I$107),MATCH(ROW('Technology MASTER'!B4:B108),ROW('Technology MASTER'!B4:B108)),""),ROWS($A$1:A2)))</f>
        <v>#NUM!</v>
      </c>
      <c r="S4" s="68" t="e">
        <f t="shared" si="0"/>
        <v>#NUM!</v>
      </c>
      <c r="T4" s="68" t="e">
        <f t="shared" si="1"/>
        <v>#NUM!</v>
      </c>
      <c r="U4" s="68" t="e">
        <f t="shared" si="2"/>
        <v>#NUM!</v>
      </c>
      <c r="V4" s="364" t="str">
        <f t="array" ref="V4">_xlfn.TEXTJOIN("",TRUE,IF(ISNUMBER(S4:U4),S4:U4,""))</f>
        <v/>
      </c>
      <c r="X4" t="s">
        <v>1661</v>
      </c>
      <c r="Y4" s="84" t="s">
        <v>1660</v>
      </c>
    </row>
    <row r="5" spans="1:25">
      <c r="A5" s="68">
        <f>COUNTIFS(Y$4,'Technology MASTER'!$G$3:$G$107)</f>
        <v>0</v>
      </c>
      <c r="B5" s="68">
        <v>3</v>
      </c>
      <c r="C5" s="68" t="str">
        <v/>
      </c>
      <c r="D5" s="68" t="e">
        <f t="array" ref="D5">SMALL(IF(COUNTIFS(Y$4,'Technology MASTER'!$G$3:$G$107),MATCH(ROW('Technology MASTER'!B5:B109),ROW('Technology MASTER'!B5:B109)),""),ROWS($A$1:A3))</f>
        <v>#NUM!</v>
      </c>
      <c r="E5" s="68" t="e">
        <f t="array" ref="E5">INDEX('Technology MASTER'!$B$3:$B$107,SMALL(IF(COUNTIFS(Y$4,'Technology MASTER'!$G$3:$G$107),MATCH(ROW('Technology MASTER'!B5:B109),ROW('Technology MASTER'!B5:B109)),""),ROWS($A$1:A3)))</f>
        <v>#NUM!</v>
      </c>
      <c r="G5" s="68">
        <f>COUNTIFS(Y$4,'Technology MASTER'!$H$3:$H$107)</f>
        <v>0</v>
      </c>
      <c r="H5" s="68">
        <v>3</v>
      </c>
      <c r="I5" s="68" t="str">
        <v/>
      </c>
      <c r="J5" s="68" t="e">
        <f t="array" ref="J5">SMALL(IF(COUNTIFS(Y$4,'Technology MASTER'!$H$3:$H$107),MATCH(ROW('Technology MASTER'!B5:B109),ROW('Technology MASTER'!B5:B109)),""),ROWS($A$1:A3))</f>
        <v>#NUM!</v>
      </c>
      <c r="K5" s="68" t="e">
        <f t="array" ref="K5">INDEX('Technology MASTER'!$B$3:$B$107,SMALL(IF(COUNTIFS(Y$4,'Technology MASTER'!$H$3:$H$107),MATCH(ROW('Technology MASTER'!B5:B109),ROW('Technology MASTER'!B5:B109)),""),ROWS($A$1:A3)))</f>
        <v>#NUM!</v>
      </c>
      <c r="M5" s="68">
        <f>COUNTIFS(Y$4,'Technology MASTER'!$I$3:$I$107)</f>
        <v>0</v>
      </c>
      <c r="N5" s="68">
        <v>3</v>
      </c>
      <c r="O5" s="68" t="str">
        <v/>
      </c>
      <c r="P5" s="68" t="e">
        <f t="array" ref="P5">SMALL(IF(COUNTIFS(Y$4,'Technology MASTER'!$I$3:$I$107),MATCH(ROW('Technology MASTER'!B5:B109),ROW('Technology MASTER'!B5:B109)),""),ROWS($A$1:A3))</f>
        <v>#NUM!</v>
      </c>
      <c r="Q5" s="68" t="e">
        <f t="array" ref="Q5">INDEX('Technology MASTER'!$B$3:$B$107,SMALL(IF(COUNTIFS(Y$4,'Technology MASTER'!$I$3:$I$107),MATCH(ROW('Technology MASTER'!B5:B109),ROW('Technology MASTER'!B5:B109)),""),ROWS($A$1:A3)))</f>
        <v>#NUM!</v>
      </c>
      <c r="S5" s="68" t="e">
        <f t="shared" si="0"/>
        <v>#NUM!</v>
      </c>
      <c r="T5" s="68" t="e">
        <f t="shared" si="1"/>
        <v>#NUM!</v>
      </c>
      <c r="U5" s="68" t="e">
        <f t="shared" si="2"/>
        <v>#NUM!</v>
      </c>
      <c r="V5" s="364" t="str">
        <f t="array" ref="V5">_xlfn.TEXTJOIN("",TRUE,IF(ISNUMBER(S5:U5),S5:U5,""))</f>
        <v/>
      </c>
    </row>
    <row r="6" spans="1:25">
      <c r="A6" s="68">
        <f>COUNTIFS(Y$4,'Technology MASTER'!$G$3:$G$107)</f>
        <v>0</v>
      </c>
      <c r="B6" s="68">
        <v>4</v>
      </c>
      <c r="C6" s="68" t="str">
        <v/>
      </c>
      <c r="D6" s="68" t="e">
        <f t="array" ref="D6">SMALL(IF(COUNTIFS(Y$4,'Technology MASTER'!$G$3:$G$107),MATCH(ROW('Technology MASTER'!B6:B110),ROW('Technology MASTER'!B6:B110)),""),ROWS($A$1:A4))</f>
        <v>#NUM!</v>
      </c>
      <c r="E6" s="68" t="e">
        <f t="array" ref="E6">INDEX('Technology MASTER'!$B$3:$B$107,SMALL(IF(COUNTIFS(Y$4,'Technology MASTER'!$G$3:$G$107),MATCH(ROW('Technology MASTER'!B6:B110),ROW('Technology MASTER'!B6:B110)),""),ROWS($A$1:A4)))</f>
        <v>#NUM!</v>
      </c>
      <c r="G6" s="68">
        <f>COUNTIFS(Y$4,'Technology MASTER'!$H$3:$H$107)</f>
        <v>0</v>
      </c>
      <c r="H6" s="68">
        <v>4</v>
      </c>
      <c r="I6" s="68" t="str">
        <v/>
      </c>
      <c r="J6" s="68" t="e">
        <f t="array" ref="J6">SMALL(IF(COUNTIFS(Y$4,'Technology MASTER'!$H$3:$H$107),MATCH(ROW('Technology MASTER'!B6:B110),ROW('Technology MASTER'!B6:B110)),""),ROWS($A$1:A4))</f>
        <v>#NUM!</v>
      </c>
      <c r="K6" s="68" t="e">
        <f t="array" ref="K6">INDEX('Technology MASTER'!$B$3:$B$107,SMALL(IF(COUNTIFS(Y$4,'Technology MASTER'!$H$3:$H$107),MATCH(ROW('Technology MASTER'!B6:B110),ROW('Technology MASTER'!B6:B110)),""),ROWS($A$1:A4)))</f>
        <v>#NUM!</v>
      </c>
      <c r="M6" s="68">
        <f>COUNTIFS(Y$4,'Technology MASTER'!$I$3:$I$107)</f>
        <v>0</v>
      </c>
      <c r="N6" s="68">
        <v>4</v>
      </c>
      <c r="O6" s="68" t="str">
        <v/>
      </c>
      <c r="P6" s="68" t="e">
        <f t="array" ref="P6">SMALL(IF(COUNTIFS(Y$4,'Technology MASTER'!$I$3:$I$107),MATCH(ROW('Technology MASTER'!B6:B110),ROW('Technology MASTER'!B6:B110)),""),ROWS($A$1:A4))</f>
        <v>#NUM!</v>
      </c>
      <c r="Q6" s="68" t="e">
        <f t="array" ref="Q6">INDEX('Technology MASTER'!$B$3:$B$107,SMALL(IF(COUNTIFS(Y$4,'Technology MASTER'!$I$3:$I$107),MATCH(ROW('Technology MASTER'!B6:B110),ROW('Technology MASTER'!B6:B110)),""),ROWS($A$1:A4)))</f>
        <v>#NUM!</v>
      </c>
      <c r="S6" s="68" t="e">
        <f t="shared" si="0"/>
        <v>#NUM!</v>
      </c>
      <c r="T6" s="68" t="e">
        <f t="shared" si="1"/>
        <v>#NUM!</v>
      </c>
      <c r="U6" s="68" t="e">
        <f t="shared" si="2"/>
        <v>#NUM!</v>
      </c>
      <c r="V6" s="364" t="str">
        <f t="array" ref="V6">_xlfn.TEXTJOIN("",TRUE,IF(ISNUMBER(S6:U6),S6:U6,""))</f>
        <v/>
      </c>
    </row>
    <row r="7" spans="1:25">
      <c r="A7" s="68">
        <f>COUNTIFS(Y$4,'Technology MASTER'!$G$3:$G$107)</f>
        <v>0</v>
      </c>
      <c r="B7" s="68">
        <v>5</v>
      </c>
      <c r="C7" s="68" t="str">
        <v/>
      </c>
      <c r="D7" s="68" t="e">
        <f t="array" ref="D7">SMALL(IF(COUNTIFS(Y$4,'Technology MASTER'!$G$3:$G$107),MATCH(ROW('Technology MASTER'!B7:B111),ROW('Technology MASTER'!B7:B111)),""),ROWS($A$1:A5))</f>
        <v>#NUM!</v>
      </c>
      <c r="E7" s="68" t="e">
        <f t="array" ref="E7">INDEX('Technology MASTER'!$B$3:$B$107,SMALL(IF(COUNTIFS(Y$4,'Technology MASTER'!$G$3:$G$107),MATCH(ROW('Technology MASTER'!B7:B111),ROW('Technology MASTER'!B7:B111)),""),ROWS($A$1:A5)))</f>
        <v>#NUM!</v>
      </c>
      <c r="G7" s="68">
        <f>COUNTIFS(Y$4,'Technology MASTER'!$H$3:$H$107)</f>
        <v>0</v>
      </c>
      <c r="H7" s="68">
        <v>5</v>
      </c>
      <c r="I7" s="68" t="str">
        <v/>
      </c>
      <c r="J7" s="68" t="e">
        <f t="array" ref="J7">SMALL(IF(COUNTIFS(Y$4,'Technology MASTER'!$H$3:$H$107),MATCH(ROW('Technology MASTER'!B7:B111),ROW('Technology MASTER'!B7:B111)),""),ROWS($A$1:A5))</f>
        <v>#NUM!</v>
      </c>
      <c r="K7" s="68" t="e">
        <f t="array" ref="K7">INDEX('Technology MASTER'!$B$3:$B$107,SMALL(IF(COUNTIFS(Y$4,'Technology MASTER'!$H$3:$H$107),MATCH(ROW('Technology MASTER'!B7:B111),ROW('Technology MASTER'!B7:B111)),""),ROWS($A$1:A5)))</f>
        <v>#NUM!</v>
      </c>
      <c r="M7" s="68">
        <f>COUNTIFS(Y$4,'Technology MASTER'!$I$3:$I$107)</f>
        <v>0</v>
      </c>
      <c r="N7" s="68">
        <v>5</v>
      </c>
      <c r="O7" s="68" t="str">
        <v/>
      </c>
      <c r="P7" s="68" t="e">
        <f t="array" ref="P7">SMALL(IF(COUNTIFS(Y$4,'Technology MASTER'!$I$3:$I$107),MATCH(ROW('Technology MASTER'!B7:B111),ROW('Technology MASTER'!B7:B111)),""),ROWS($A$1:A5))</f>
        <v>#NUM!</v>
      </c>
      <c r="Q7" s="68" t="e">
        <f t="array" ref="Q7">INDEX('Technology MASTER'!$B$3:$B$107,SMALL(IF(COUNTIFS(Y$4,'Technology MASTER'!$I$3:$I$107),MATCH(ROW('Technology MASTER'!B7:B111),ROW('Technology MASTER'!B7:B111)),""),ROWS($A$1:A5)))</f>
        <v>#NUM!</v>
      </c>
      <c r="S7" s="68" t="e">
        <f t="shared" si="0"/>
        <v>#NUM!</v>
      </c>
      <c r="T7" s="68" t="e">
        <f t="shared" si="1"/>
        <v>#NUM!</v>
      </c>
      <c r="U7" s="68" t="e">
        <f t="shared" si="2"/>
        <v>#NUM!</v>
      </c>
      <c r="V7" s="364" t="str">
        <f t="array" ref="V7">_xlfn.TEXTJOIN("",TRUE,IF(ISNUMBER(S7:U7),S7:U7,""))</f>
        <v/>
      </c>
      <c r="X7" s="363" t="s">
        <v>1669</v>
      </c>
    </row>
    <row r="8" spans="1:25">
      <c r="A8" s="68">
        <f>COUNTIFS(Y$4,'Technology MASTER'!$G$3:$G$107)</f>
        <v>0</v>
      </c>
      <c r="B8" s="68">
        <v>6</v>
      </c>
      <c r="C8" s="68" t="str">
        <v/>
      </c>
      <c r="D8" s="68" t="e">
        <f t="array" ref="D8">SMALL(IF(COUNTIFS(Y$4,'Technology MASTER'!$G$3:$G$107),MATCH(ROW('Technology MASTER'!B8:B112),ROW('Technology MASTER'!B8:B112)),""),ROWS($A$1:A6))</f>
        <v>#NUM!</v>
      </c>
      <c r="E8" s="68" t="e">
        <f t="array" ref="E8">INDEX('Technology MASTER'!$B$3:$B$107,SMALL(IF(COUNTIFS(Y$4,'Technology MASTER'!$G$3:$G$107),MATCH(ROW('Technology MASTER'!B8:B112),ROW('Technology MASTER'!B8:B112)),""),ROWS($A$1:A6)))</f>
        <v>#NUM!</v>
      </c>
      <c r="G8" s="68">
        <f>COUNTIFS(Y$4,'Technology MASTER'!$H$3:$H$107)</f>
        <v>0</v>
      </c>
      <c r="H8" s="68">
        <v>6</v>
      </c>
      <c r="I8" s="68" t="str">
        <v/>
      </c>
      <c r="J8" s="68" t="e">
        <f t="array" ref="J8">SMALL(IF(COUNTIFS(Y$4,'Technology MASTER'!$H$3:$H$107),MATCH(ROW('Technology MASTER'!B8:B112),ROW('Technology MASTER'!B8:B112)),""),ROWS($A$1:A6))</f>
        <v>#NUM!</v>
      </c>
      <c r="K8" s="68" t="e">
        <f t="array" ref="K8">INDEX('Technology MASTER'!$B$3:$B$107,SMALL(IF(COUNTIFS(Y$4,'Technology MASTER'!$H$3:$H$107),MATCH(ROW('Technology MASTER'!B8:B112),ROW('Technology MASTER'!B8:B112)),""),ROWS($A$1:A6)))</f>
        <v>#NUM!</v>
      </c>
      <c r="M8" s="68">
        <f>COUNTIFS(Y$4,'Technology MASTER'!$I$3:$I$107)</f>
        <v>0</v>
      </c>
      <c r="N8" s="68">
        <v>6</v>
      </c>
      <c r="O8" s="68" t="str">
        <v/>
      </c>
      <c r="P8" s="68" t="e">
        <f t="array" ref="P8">SMALL(IF(COUNTIFS(Y$4,'Technology MASTER'!$I$3:$I$107),MATCH(ROW('Technology MASTER'!B8:B112),ROW('Technology MASTER'!B8:B112)),""),ROWS($A$1:A6))</f>
        <v>#NUM!</v>
      </c>
      <c r="Q8" s="68" t="e">
        <f t="array" ref="Q8">INDEX('Technology MASTER'!$B$3:$B$107,SMALL(IF(COUNTIFS(Y$4,'Technology MASTER'!$I$3:$I$107),MATCH(ROW('Technology MASTER'!B8:B112),ROW('Technology MASTER'!B8:B112)),""),ROWS($A$1:A6)))</f>
        <v>#NUM!</v>
      </c>
      <c r="S8" s="68" t="e">
        <f t="shared" si="0"/>
        <v>#NUM!</v>
      </c>
      <c r="T8" s="68" t="e">
        <f t="shared" si="1"/>
        <v>#NUM!</v>
      </c>
      <c r="U8" s="68" t="e">
        <f t="shared" si="2"/>
        <v>#NUM!</v>
      </c>
      <c r="V8" s="364" t="str">
        <f t="array" ref="V8">_xlfn.TEXTJOIN("",TRUE,IF(ISNUMBER(S8:U8),S8:U8,""))</f>
        <v/>
      </c>
      <c r="X8" s="365" t="str">
        <f>_xlfn.CONCAT(V2," ",V3," ",V4," ",V5," ",V6," ",V7," ",V8," ",V9," ",V10," ",V11," ",V12," ",V13," ",V14," ",V15," ",V16," ",V17," ",V18," ",V19," ",V20," ",V21," ",V22," ",V23," ",V24," ",V25," ",V26)</f>
        <v xml:space="preserve">                        </v>
      </c>
    </row>
    <row r="9" spans="1:25">
      <c r="A9" s="68">
        <f>COUNTIFS(Y$4,'Technology MASTER'!$G$3:$G$107)</f>
        <v>0</v>
      </c>
      <c r="B9" s="68">
        <v>7</v>
      </c>
      <c r="C9" s="68" t="str">
        <v/>
      </c>
      <c r="D9" s="68" t="e">
        <f t="array" ref="D9">SMALL(IF(COUNTIFS(Y$4,'Technology MASTER'!$G$3:$G$107),MATCH(ROW('Technology MASTER'!B9:B113),ROW('Technology MASTER'!B9:B113)),""),ROWS($A$1:A7))</f>
        <v>#NUM!</v>
      </c>
      <c r="E9" s="68" t="e">
        <f t="array" ref="E9">INDEX('Technology MASTER'!$B$3:$B$107,SMALL(IF(COUNTIFS(Y$4,'Technology MASTER'!$G$3:$G$107),MATCH(ROW('Technology MASTER'!B9:B113),ROW('Technology MASTER'!B9:B113)),""),ROWS($A$1:A7)))</f>
        <v>#NUM!</v>
      </c>
      <c r="G9" s="68">
        <f>COUNTIFS(Y$4,'Technology MASTER'!$H$3:$H$107)</f>
        <v>0</v>
      </c>
      <c r="H9" s="68">
        <v>7</v>
      </c>
      <c r="I9" s="68" t="str">
        <v/>
      </c>
      <c r="J9" s="68" t="e">
        <f t="array" ref="J9">SMALL(IF(COUNTIFS(Y$4,'Technology MASTER'!$H$3:$H$107),MATCH(ROW('Technology MASTER'!B9:B113),ROW('Technology MASTER'!B9:B113)),""),ROWS($A$1:A7))</f>
        <v>#NUM!</v>
      </c>
      <c r="K9" s="68" t="e">
        <f t="array" ref="K9">INDEX('Technology MASTER'!$B$3:$B$107,SMALL(IF(COUNTIFS(Y$4,'Technology MASTER'!$H$3:$H$107),MATCH(ROW('Technology MASTER'!B9:B113),ROW('Technology MASTER'!B9:B113)),""),ROWS($A$1:A7)))</f>
        <v>#NUM!</v>
      </c>
      <c r="M9" s="68">
        <f>COUNTIFS(Y$4,'Technology MASTER'!$I$3:$I$107)</f>
        <v>0</v>
      </c>
      <c r="N9" s="68">
        <v>7</v>
      </c>
      <c r="O9" s="68" t="str">
        <v/>
      </c>
      <c r="P9" s="68" t="e">
        <f t="array" ref="P9">SMALL(IF(COUNTIFS(Y$4,'Technology MASTER'!$I$3:$I$107),MATCH(ROW('Technology MASTER'!B9:B113),ROW('Technology MASTER'!B9:B113)),""),ROWS($A$1:A7))</f>
        <v>#NUM!</v>
      </c>
      <c r="Q9" s="68" t="e">
        <f t="array" ref="Q9">INDEX('Technology MASTER'!$B$3:$B$107,SMALL(IF(COUNTIFS(Y$4,'Technology MASTER'!$I$3:$I$107),MATCH(ROW('Technology MASTER'!B9:B113),ROW('Technology MASTER'!B9:B113)),""),ROWS($A$1:A7)))</f>
        <v>#NUM!</v>
      </c>
      <c r="S9" s="68" t="e">
        <f t="shared" si="0"/>
        <v>#NUM!</v>
      </c>
      <c r="T9" s="68" t="e">
        <f t="shared" si="1"/>
        <v>#NUM!</v>
      </c>
      <c r="U9" s="68" t="e">
        <f t="shared" si="2"/>
        <v>#NUM!</v>
      </c>
      <c r="V9" s="364" t="str">
        <f t="array" ref="V9">_xlfn.TEXTJOIN("",TRUE,IF(ISNUMBER(S9:U9),S9:U9,""))</f>
        <v/>
      </c>
    </row>
    <row r="10" spans="1:25">
      <c r="A10" s="68">
        <f>COUNTIFS(Y$4,'Technology MASTER'!$G$3:$G$107)</f>
        <v>0</v>
      </c>
      <c r="B10" s="68">
        <v>8</v>
      </c>
      <c r="C10" s="68" t="str">
        <v/>
      </c>
      <c r="D10" s="68" t="e">
        <f t="array" ref="D10">SMALL(IF(COUNTIFS(Y$4,'Technology MASTER'!$G$3:$G$107),MATCH(ROW('Technology MASTER'!B10:B114),ROW('Technology MASTER'!B10:B114)),""),ROWS($A$1:A8))</f>
        <v>#NUM!</v>
      </c>
      <c r="E10" s="68" t="e">
        <f t="array" ref="E10">INDEX('Technology MASTER'!$B$3:$B$107,SMALL(IF(COUNTIFS(Y$4,'Technology MASTER'!$G$3:$G$107),MATCH(ROW('Technology MASTER'!B10:B114),ROW('Technology MASTER'!B10:B114)),""),ROWS($A$1:A8)))</f>
        <v>#NUM!</v>
      </c>
      <c r="G10" s="68">
        <f>COUNTIFS(Y$4,'Technology MASTER'!$H$3:$H$107)</f>
        <v>0</v>
      </c>
      <c r="H10" s="68">
        <v>8</v>
      </c>
      <c r="I10" s="68" t="str">
        <v/>
      </c>
      <c r="J10" s="68" t="e">
        <f t="array" ref="J10">SMALL(IF(COUNTIFS(Y$4,'Technology MASTER'!$H$3:$H$107),MATCH(ROW('Technology MASTER'!B10:B114),ROW('Technology MASTER'!B10:B114)),""),ROWS($A$1:A8))</f>
        <v>#NUM!</v>
      </c>
      <c r="K10" s="68" t="e">
        <f t="array" ref="K10">INDEX('Technology MASTER'!$B$3:$B$107,SMALL(IF(COUNTIFS(Y$4,'Technology MASTER'!$H$3:$H$107),MATCH(ROW('Technology MASTER'!B10:B114),ROW('Technology MASTER'!B10:B114)),""),ROWS($A$1:A8)))</f>
        <v>#NUM!</v>
      </c>
      <c r="M10" s="68">
        <f>COUNTIFS(Y$4,'Technology MASTER'!$I$3:$I$107)</f>
        <v>0</v>
      </c>
      <c r="N10" s="68">
        <v>8</v>
      </c>
      <c r="O10" s="68" t="str">
        <v/>
      </c>
      <c r="P10" s="68" t="e">
        <f t="array" ref="P10">SMALL(IF(COUNTIFS(Y$4,'Technology MASTER'!$I$3:$I$107),MATCH(ROW('Technology MASTER'!B10:B114),ROW('Technology MASTER'!B10:B114)),""),ROWS($A$1:A8))</f>
        <v>#NUM!</v>
      </c>
      <c r="Q10" s="68" t="e">
        <f t="array" ref="Q10">INDEX('Technology MASTER'!$B$3:$B$107,SMALL(IF(COUNTIFS(Y$4,'Technology MASTER'!$I$3:$I$107),MATCH(ROW('Technology MASTER'!B10:B114),ROW('Technology MASTER'!B10:B114)),""),ROWS($A$1:A8)))</f>
        <v>#NUM!</v>
      </c>
      <c r="S10" s="68" t="e">
        <f t="shared" si="0"/>
        <v>#NUM!</v>
      </c>
      <c r="T10" s="68" t="e">
        <f t="shared" si="1"/>
        <v>#NUM!</v>
      </c>
      <c r="U10" s="68" t="e">
        <f t="shared" si="2"/>
        <v>#NUM!</v>
      </c>
      <c r="V10" s="364" t="str">
        <f t="array" ref="V10">_xlfn.TEXTJOIN("",TRUE,IF(ISNUMBER(S10:U10),S10:U10,""))</f>
        <v/>
      </c>
    </row>
    <row r="11" spans="1:25">
      <c r="A11" s="68">
        <f>COUNTIFS(Y$4,'Technology MASTER'!$G$3:$G$107)</f>
        <v>0</v>
      </c>
      <c r="B11" s="68">
        <v>9</v>
      </c>
      <c r="C11" s="68" t="str">
        <v/>
      </c>
      <c r="D11" s="68" t="e">
        <f t="array" ref="D11">SMALL(IF(COUNTIFS(Y$4,'Technology MASTER'!$G$3:$G$107),MATCH(ROW('Technology MASTER'!B11:B115),ROW('Technology MASTER'!B11:B115)),""),ROWS($A$1:A9))</f>
        <v>#NUM!</v>
      </c>
      <c r="E11" s="68" t="e">
        <f t="array" ref="E11">INDEX('Technology MASTER'!$B$3:$B$107,SMALL(IF(COUNTIFS(Y$4,'Technology MASTER'!$G$3:$G$107),MATCH(ROW('Technology MASTER'!B11:B115),ROW('Technology MASTER'!B11:B115)),""),ROWS($A$1:A9)))</f>
        <v>#NUM!</v>
      </c>
      <c r="G11" s="68">
        <f>COUNTIFS(Y$4,'Technology MASTER'!$H$3:$H$107)</f>
        <v>0</v>
      </c>
      <c r="H11" s="68">
        <v>9</v>
      </c>
      <c r="I11" s="68" t="str">
        <v/>
      </c>
      <c r="J11" s="68" t="e">
        <f t="array" ref="J11">SMALL(IF(COUNTIFS(Y$4,'Technology MASTER'!$H$3:$H$107),MATCH(ROW('Technology MASTER'!B11:B115),ROW('Technology MASTER'!B11:B115)),""),ROWS($A$1:A9))</f>
        <v>#NUM!</v>
      </c>
      <c r="K11" s="68" t="e">
        <f t="array" ref="K11">INDEX('Technology MASTER'!$B$3:$B$107,SMALL(IF(COUNTIFS(Y$4,'Technology MASTER'!$H$3:$H$107),MATCH(ROW('Technology MASTER'!B11:B115),ROW('Technology MASTER'!B11:B115)),""),ROWS($A$1:A9)))</f>
        <v>#NUM!</v>
      </c>
      <c r="M11" s="68">
        <f>COUNTIFS(Y$4,'Technology MASTER'!$I$3:$I$107)</f>
        <v>0</v>
      </c>
      <c r="N11" s="68">
        <v>9</v>
      </c>
      <c r="O11" s="68" t="str">
        <v/>
      </c>
      <c r="P11" s="68" t="e">
        <f t="array" ref="P11">SMALL(IF(COUNTIFS(Y$4,'Technology MASTER'!$I$3:$I$107),MATCH(ROW('Technology MASTER'!B11:B115),ROW('Technology MASTER'!B11:B115)),""),ROWS($A$1:A9))</f>
        <v>#NUM!</v>
      </c>
      <c r="Q11" s="68" t="e">
        <f t="array" ref="Q11">INDEX('Technology MASTER'!$B$3:$B$107,SMALL(IF(COUNTIFS(Y$4,'Technology MASTER'!$I$3:$I$107),MATCH(ROW('Technology MASTER'!B11:B115),ROW('Technology MASTER'!B11:B115)),""),ROWS($A$1:A9)))</f>
        <v>#NUM!</v>
      </c>
      <c r="S11" s="68" t="e">
        <f t="shared" si="0"/>
        <v>#NUM!</v>
      </c>
      <c r="T11" s="68" t="e">
        <f t="shared" si="1"/>
        <v>#NUM!</v>
      </c>
      <c r="U11" s="68" t="e">
        <f t="shared" si="2"/>
        <v>#NUM!</v>
      </c>
      <c r="V11" s="364" t="str">
        <f t="array" ref="V11">_xlfn.TEXTJOIN("",TRUE,IF(ISNUMBER(S11:U11),S11:U11,""))</f>
        <v/>
      </c>
    </row>
    <row r="12" spans="1:25">
      <c r="A12" s="68">
        <f>COUNTIFS(Y$4,'Technology MASTER'!$G$3:$G$107)</f>
        <v>0</v>
      </c>
      <c r="B12" s="68">
        <v>10</v>
      </c>
      <c r="C12" s="68" t="str">
        <v/>
      </c>
      <c r="D12" s="68" t="e">
        <f t="array" ref="D12">SMALL(IF(COUNTIFS(Y$4,'Technology MASTER'!$G$3:$G$107),MATCH(ROW('Technology MASTER'!B12:B116),ROW('Technology MASTER'!B12:B116)),""),ROWS($A$1:A10))</f>
        <v>#NUM!</v>
      </c>
      <c r="E12" s="68" t="e">
        <f t="array" ref="E12">INDEX('Technology MASTER'!$B$3:$B$107,SMALL(IF(COUNTIFS(Y$4,'Technology MASTER'!$G$3:$G$107),MATCH(ROW('Technology MASTER'!B12:B116),ROW('Technology MASTER'!B12:B116)),""),ROWS($A$1:A10)))</f>
        <v>#NUM!</v>
      </c>
      <c r="G12" s="68">
        <f>COUNTIFS(Y$4,'Technology MASTER'!$H$3:$H$107)</f>
        <v>0</v>
      </c>
      <c r="H12" s="68">
        <v>10</v>
      </c>
      <c r="I12" s="68" t="str">
        <v/>
      </c>
      <c r="J12" s="68" t="e">
        <f t="array" ref="J12">SMALL(IF(COUNTIFS(Y$4,'Technology MASTER'!$H$3:$H$107),MATCH(ROW('Technology MASTER'!B12:B116),ROW('Technology MASTER'!B12:B116)),""),ROWS($A$1:A10))</f>
        <v>#NUM!</v>
      </c>
      <c r="K12" s="68" t="e">
        <f t="array" ref="K12">INDEX('Technology MASTER'!$B$3:$B$107,SMALL(IF(COUNTIFS(Y$4,'Technology MASTER'!$H$3:$H$107),MATCH(ROW('Technology MASTER'!B12:B116),ROW('Technology MASTER'!B12:B116)),""),ROWS($A$1:A10)))</f>
        <v>#NUM!</v>
      </c>
      <c r="M12" s="68">
        <f>COUNTIFS(Y$4,'Technology MASTER'!$I$3:$I$107)</f>
        <v>0</v>
      </c>
      <c r="N12" s="68">
        <v>10</v>
      </c>
      <c r="O12" s="68" t="str">
        <v/>
      </c>
      <c r="P12" s="68" t="e">
        <f t="array" ref="P12">SMALL(IF(COUNTIFS(Y$4,'Technology MASTER'!$I$3:$I$107),MATCH(ROW('Technology MASTER'!B12:B116),ROW('Technology MASTER'!B12:B116)),""),ROWS($A$1:A10))</f>
        <v>#NUM!</v>
      </c>
      <c r="Q12" s="68" t="e">
        <f t="array" ref="Q12">INDEX('Technology MASTER'!$B$3:$B$107,SMALL(IF(COUNTIFS(Y$4,'Technology MASTER'!$I$3:$I$107),MATCH(ROW('Technology MASTER'!B12:B116),ROW('Technology MASTER'!B12:B116)),""),ROWS($A$1:A10)))</f>
        <v>#NUM!</v>
      </c>
      <c r="S12" s="68" t="e">
        <f t="shared" si="0"/>
        <v>#NUM!</v>
      </c>
      <c r="T12" s="68" t="e">
        <f t="shared" si="1"/>
        <v>#NUM!</v>
      </c>
      <c r="U12" s="68" t="e">
        <f t="shared" si="2"/>
        <v>#NUM!</v>
      </c>
      <c r="V12" s="364" t="str">
        <f t="array" ref="V12">_xlfn.TEXTJOIN("",TRUE,IF(ISNUMBER(S12:U12),S12:U12,""))</f>
        <v/>
      </c>
    </row>
    <row r="13" spans="1:25">
      <c r="A13" s="68">
        <f>COUNTIFS(Y$4,'Technology MASTER'!$G$3:$G$107)</f>
        <v>0</v>
      </c>
      <c r="B13" s="68">
        <v>11</v>
      </c>
      <c r="C13" s="68" t="str">
        <v/>
      </c>
      <c r="D13" s="68" t="e">
        <f t="array" ref="D13">SMALL(IF(COUNTIFS(Y$4,'Technology MASTER'!$G$3:$G$107),MATCH(ROW('Technology MASTER'!B13:B117),ROW('Technology MASTER'!B13:B117)),""),ROWS($A$1:A11))</f>
        <v>#NUM!</v>
      </c>
      <c r="E13" s="68" t="e">
        <f t="array" ref="E13">INDEX('Technology MASTER'!$B$3:$B$107,SMALL(IF(COUNTIFS(Y$4,'Technology MASTER'!$G$3:$G$107),MATCH(ROW('Technology MASTER'!B13:B117),ROW('Technology MASTER'!B13:B117)),""),ROWS($A$1:A11)))</f>
        <v>#NUM!</v>
      </c>
      <c r="G13" s="68">
        <f>COUNTIFS(Y$4,'Technology MASTER'!$H$3:$H$107)</f>
        <v>0</v>
      </c>
      <c r="H13" s="68">
        <v>11</v>
      </c>
      <c r="I13" s="68" t="str">
        <v/>
      </c>
      <c r="J13" s="68" t="e">
        <f t="array" ref="J13">SMALL(IF(COUNTIFS(Y$4,'Technology MASTER'!$H$3:$H$107),MATCH(ROW('Technology MASTER'!B13:B117),ROW('Technology MASTER'!B13:B117)),""),ROWS($A$1:A11))</f>
        <v>#NUM!</v>
      </c>
      <c r="K13" s="68" t="e">
        <f t="array" ref="K13">INDEX('Technology MASTER'!$B$3:$B$107,SMALL(IF(COUNTIFS(Y$4,'Technology MASTER'!$H$3:$H$107),MATCH(ROW('Technology MASTER'!B13:B117),ROW('Technology MASTER'!B13:B117)),""),ROWS($A$1:A11)))</f>
        <v>#NUM!</v>
      </c>
      <c r="M13" s="68">
        <f>COUNTIFS(Y$4,'Technology MASTER'!$I$3:$I$107)</f>
        <v>0</v>
      </c>
      <c r="N13" s="68">
        <v>11</v>
      </c>
      <c r="O13" s="68" t="str">
        <v/>
      </c>
      <c r="P13" s="68" t="e">
        <f t="array" ref="P13">SMALL(IF(COUNTIFS(Y$4,'Technology MASTER'!$I$3:$I$107),MATCH(ROW('Technology MASTER'!B13:B117),ROW('Technology MASTER'!B13:B117)),""),ROWS($A$1:A11))</f>
        <v>#NUM!</v>
      </c>
      <c r="Q13" s="68" t="e">
        <f t="array" ref="Q13">INDEX('Technology MASTER'!$B$3:$B$107,SMALL(IF(COUNTIFS(Y$4,'Technology MASTER'!$I$3:$I$107),MATCH(ROW('Technology MASTER'!B13:B117),ROW('Technology MASTER'!B13:B117)),""),ROWS($A$1:A11)))</f>
        <v>#NUM!</v>
      </c>
      <c r="S13" s="68" t="e">
        <f t="shared" si="0"/>
        <v>#NUM!</v>
      </c>
      <c r="T13" s="68" t="e">
        <f t="shared" si="1"/>
        <v>#NUM!</v>
      </c>
      <c r="U13" s="68" t="e">
        <f t="shared" si="2"/>
        <v>#NUM!</v>
      </c>
      <c r="V13" s="364" t="str">
        <f t="array" ref="V13">_xlfn.TEXTJOIN("",TRUE,IF(ISNUMBER(S13:U13),S13:U13,""))</f>
        <v/>
      </c>
    </row>
    <row r="14" spans="1:25">
      <c r="A14" s="68">
        <f>COUNTIFS(Y$4,'Technology MASTER'!$G$3:$G$107)</f>
        <v>0</v>
      </c>
      <c r="B14" s="68">
        <v>12</v>
      </c>
      <c r="C14" s="68" t="str">
        <v/>
      </c>
      <c r="D14" s="68" t="e">
        <f t="array" ref="D14">SMALL(IF(COUNTIFS(Y$4,'Technology MASTER'!$G$3:$G$107),MATCH(ROW('Technology MASTER'!B14:B118),ROW('Technology MASTER'!B14:B118)),""),ROWS($A$1:A12))</f>
        <v>#NUM!</v>
      </c>
      <c r="E14" s="68" t="e">
        <f t="array" ref="E14">INDEX('Technology MASTER'!$B$3:$B$107,SMALL(IF(COUNTIFS(Y$4,'Technology MASTER'!$G$3:$G$107),MATCH(ROW('Technology MASTER'!B14:B118),ROW('Technology MASTER'!B14:B118)),""),ROWS($A$1:A12)))</f>
        <v>#NUM!</v>
      </c>
      <c r="G14" s="68">
        <f>COUNTIFS(Y$4,'Technology MASTER'!$H$3:$H$107)</f>
        <v>0</v>
      </c>
      <c r="H14" s="68">
        <v>12</v>
      </c>
      <c r="I14" s="68" t="str">
        <v/>
      </c>
      <c r="J14" s="68" t="e">
        <f t="array" ref="J14">SMALL(IF(COUNTIFS(Y$4,'Technology MASTER'!$H$3:$H$107),MATCH(ROW('Technology MASTER'!B14:B118),ROW('Technology MASTER'!B14:B118)),""),ROWS($A$1:A12))</f>
        <v>#NUM!</v>
      </c>
      <c r="K14" s="68" t="e">
        <f t="array" ref="K14">INDEX('Technology MASTER'!$B$3:$B$107,SMALL(IF(COUNTIFS(Y$4,'Technology MASTER'!$H$3:$H$107),MATCH(ROW('Technology MASTER'!B14:B118),ROW('Technology MASTER'!B14:B118)),""),ROWS($A$1:A12)))</f>
        <v>#NUM!</v>
      </c>
      <c r="M14" s="68">
        <f>COUNTIFS(Y$4,'Technology MASTER'!$I$3:$I$107)</f>
        <v>0</v>
      </c>
      <c r="N14" s="68">
        <v>12</v>
      </c>
      <c r="O14" s="68" t="str">
        <v/>
      </c>
      <c r="P14" s="68" t="e">
        <f t="array" ref="P14">SMALL(IF(COUNTIFS(Y$4,'Technology MASTER'!$I$3:$I$107),MATCH(ROW('Technology MASTER'!B14:B118),ROW('Technology MASTER'!B14:B118)),""),ROWS($A$1:A12))</f>
        <v>#NUM!</v>
      </c>
      <c r="Q14" s="68" t="e">
        <f t="array" ref="Q14">INDEX('Technology MASTER'!$B$3:$B$107,SMALL(IF(COUNTIFS(Y$4,'Technology MASTER'!$I$3:$I$107),MATCH(ROW('Technology MASTER'!B14:B118),ROW('Technology MASTER'!B14:B118)),""),ROWS($A$1:A12)))</f>
        <v>#NUM!</v>
      </c>
      <c r="S14" s="68" t="e">
        <f t="shared" si="0"/>
        <v>#NUM!</v>
      </c>
      <c r="T14" s="68" t="e">
        <f t="shared" si="1"/>
        <v>#NUM!</v>
      </c>
      <c r="U14" s="68" t="e">
        <f t="shared" si="2"/>
        <v>#NUM!</v>
      </c>
      <c r="V14" s="364" t="str">
        <f t="array" ref="V14">_xlfn.TEXTJOIN("",TRUE,IF(ISNUMBER(S14:U14),S14:U14,""))</f>
        <v/>
      </c>
    </row>
    <row r="15" spans="1:25">
      <c r="A15" s="68">
        <f>COUNTIFS(Y$4,'Technology MASTER'!$G$3:$G$107)</f>
        <v>0</v>
      </c>
      <c r="B15" s="68">
        <v>13</v>
      </c>
      <c r="C15" s="68" t="str">
        <v/>
      </c>
      <c r="D15" s="68" t="e">
        <f t="array" ref="D15">SMALL(IF(COUNTIFS(Y$4,'Technology MASTER'!$G$3:$G$107),MATCH(ROW('Technology MASTER'!B15:B119),ROW('Technology MASTER'!B15:B119)),""),ROWS($A$1:A13))</f>
        <v>#NUM!</v>
      </c>
      <c r="E15" s="68" t="e">
        <f t="array" ref="E15">INDEX('Technology MASTER'!$B$3:$B$107,SMALL(IF(COUNTIFS(Y$4,'Technology MASTER'!$G$3:$G$107),MATCH(ROW('Technology MASTER'!B15:B119),ROW('Technology MASTER'!B15:B119)),""),ROWS($A$1:A13)))</f>
        <v>#NUM!</v>
      </c>
      <c r="G15" s="68">
        <f>COUNTIFS(Y$4,'Technology MASTER'!$H$3:$H$107)</f>
        <v>0</v>
      </c>
      <c r="H15" s="68">
        <v>13</v>
      </c>
      <c r="I15" s="68" t="str">
        <v/>
      </c>
      <c r="J15" s="68" t="e">
        <f t="array" ref="J15">SMALL(IF(COUNTIFS(Y$4,'Technology MASTER'!$H$3:$H$107),MATCH(ROW('Technology MASTER'!B15:B119),ROW('Technology MASTER'!B15:B119)),""),ROWS($A$1:A13))</f>
        <v>#NUM!</v>
      </c>
      <c r="K15" s="68" t="e">
        <f t="array" ref="K15">INDEX('Technology MASTER'!$B$3:$B$107,SMALL(IF(COUNTIFS(Y$4,'Technology MASTER'!$H$3:$H$107),MATCH(ROW('Technology MASTER'!B15:B119),ROW('Technology MASTER'!B15:B119)),""),ROWS($A$1:A13)))</f>
        <v>#NUM!</v>
      </c>
      <c r="M15" s="68">
        <f>COUNTIFS(Y$4,'Technology MASTER'!$I$3:$I$107)</f>
        <v>0</v>
      </c>
      <c r="N15" s="68">
        <v>13</v>
      </c>
      <c r="O15" s="68" t="str">
        <v/>
      </c>
      <c r="P15" s="68" t="e">
        <f t="array" ref="P15">SMALL(IF(COUNTIFS(Y$4,'Technology MASTER'!$I$3:$I$107),MATCH(ROW('Technology MASTER'!B15:B119),ROW('Technology MASTER'!B15:B119)),""),ROWS($A$1:A13))</f>
        <v>#NUM!</v>
      </c>
      <c r="Q15" s="68" t="e">
        <f t="array" ref="Q15">INDEX('Technology MASTER'!$B$3:$B$107,SMALL(IF(COUNTIFS(Y$4,'Technology MASTER'!$I$3:$I$107),MATCH(ROW('Technology MASTER'!B15:B119),ROW('Technology MASTER'!B15:B119)),""),ROWS($A$1:A13)))</f>
        <v>#NUM!</v>
      </c>
      <c r="S15" s="68" t="e">
        <f t="shared" si="0"/>
        <v>#NUM!</v>
      </c>
      <c r="T15" s="68" t="e">
        <f t="shared" si="1"/>
        <v>#NUM!</v>
      </c>
      <c r="U15" s="68" t="e">
        <f t="shared" si="2"/>
        <v>#NUM!</v>
      </c>
      <c r="V15" s="364" t="str">
        <f t="array" ref="V15">_xlfn.TEXTJOIN("",TRUE,IF(ISNUMBER(S15:U15),S15:U15,""))</f>
        <v/>
      </c>
    </row>
    <row r="16" spans="1:25">
      <c r="A16" s="68">
        <f>COUNTIFS(Y$4,'Technology MASTER'!$G$3:$G$107)</f>
        <v>0</v>
      </c>
      <c r="B16" s="68">
        <v>14</v>
      </c>
      <c r="C16" s="68" t="str">
        <v/>
      </c>
      <c r="D16" s="68" t="e">
        <f t="array" ref="D16">SMALL(IF(COUNTIFS(Y$4,'Technology MASTER'!$G$3:$G$107),MATCH(ROW('Technology MASTER'!B16:B120),ROW('Technology MASTER'!B16:B120)),""),ROWS($A$1:A14))</f>
        <v>#NUM!</v>
      </c>
      <c r="E16" s="68" t="e">
        <f t="array" ref="E16">INDEX('Technology MASTER'!$B$3:$B$107,SMALL(IF(COUNTIFS(Y$4,'Technology MASTER'!$G$3:$G$107),MATCH(ROW('Technology MASTER'!B16:B120),ROW('Technology MASTER'!B16:B120)),""),ROWS($A$1:A14)))</f>
        <v>#NUM!</v>
      </c>
      <c r="G16" s="68">
        <f>COUNTIFS(Y$4,'Technology MASTER'!$H$3:$H$107)</f>
        <v>0</v>
      </c>
      <c r="H16" s="68">
        <v>14</v>
      </c>
      <c r="I16" s="68" t="str">
        <v/>
      </c>
      <c r="J16" s="68" t="e">
        <f t="array" ref="J16">SMALL(IF(COUNTIFS(Y$4,'Technology MASTER'!$H$3:$H$107),MATCH(ROW('Technology MASTER'!B16:B120),ROW('Technology MASTER'!B16:B120)),""),ROWS($A$1:A14))</f>
        <v>#NUM!</v>
      </c>
      <c r="K16" s="68" t="e">
        <f t="array" ref="K16">INDEX('Technology MASTER'!$B$3:$B$107,SMALL(IF(COUNTIFS(Y$4,'Technology MASTER'!$H$3:$H$107),MATCH(ROW('Technology MASTER'!B16:B120),ROW('Technology MASTER'!B16:B120)),""),ROWS($A$1:A14)))</f>
        <v>#NUM!</v>
      </c>
      <c r="M16" s="68">
        <f>COUNTIFS(Y$4,'Technology MASTER'!$I$3:$I$107)</f>
        <v>0</v>
      </c>
      <c r="N16" s="68">
        <v>14</v>
      </c>
      <c r="O16" s="68" t="str">
        <v/>
      </c>
      <c r="P16" s="68" t="e">
        <f t="array" ref="P16">SMALL(IF(COUNTIFS(Y$4,'Technology MASTER'!$I$3:$I$107),MATCH(ROW('Technology MASTER'!B16:B120),ROW('Technology MASTER'!B16:B120)),""),ROWS($A$1:A14))</f>
        <v>#NUM!</v>
      </c>
      <c r="Q16" s="68" t="e">
        <f t="array" ref="Q16">INDEX('Technology MASTER'!$B$3:$B$107,SMALL(IF(COUNTIFS(Y$4,'Technology MASTER'!$I$3:$I$107),MATCH(ROW('Technology MASTER'!B16:B120),ROW('Technology MASTER'!B16:B120)),""),ROWS($A$1:A14)))</f>
        <v>#NUM!</v>
      </c>
      <c r="S16" s="68" t="e">
        <f t="shared" si="0"/>
        <v>#NUM!</v>
      </c>
      <c r="T16" s="68" t="e">
        <f t="shared" si="1"/>
        <v>#NUM!</v>
      </c>
      <c r="U16" s="68" t="e">
        <f t="shared" si="2"/>
        <v>#NUM!</v>
      </c>
      <c r="V16" s="364" t="str">
        <f t="array" ref="V16">_xlfn.TEXTJOIN("",TRUE,IF(ISNUMBER(S16:U16),S16:U16,""))</f>
        <v/>
      </c>
    </row>
    <row r="17" spans="1:22">
      <c r="A17" s="68">
        <f>COUNTIFS(Y$4,'Technology MASTER'!$G$3:$G$107)</f>
        <v>0</v>
      </c>
      <c r="B17" s="68">
        <v>15</v>
      </c>
      <c r="C17" s="68" t="str">
        <v/>
      </c>
      <c r="D17" s="68" t="e">
        <f t="array" ref="D17">SMALL(IF(COUNTIFS(Y$4,'Technology MASTER'!$G$3:$G$107),MATCH(ROW('Technology MASTER'!B17:B121),ROW('Technology MASTER'!B17:B121)),""),ROWS($A$1:A15))</f>
        <v>#NUM!</v>
      </c>
      <c r="E17" s="68" t="e">
        <f t="array" ref="E17">INDEX('Technology MASTER'!$B$3:$B$107,SMALL(IF(COUNTIFS(Y$4,'Technology MASTER'!$G$3:$G$107),MATCH(ROW('Technology MASTER'!B17:B121),ROW('Technology MASTER'!B17:B121)),""),ROWS($A$1:A15)))</f>
        <v>#NUM!</v>
      </c>
      <c r="G17" s="68">
        <f>COUNTIFS(Y$4,'Technology MASTER'!$H$3:$H$107)</f>
        <v>0</v>
      </c>
      <c r="H17" s="68">
        <v>15</v>
      </c>
      <c r="I17" s="68" t="str">
        <v/>
      </c>
      <c r="J17" s="68" t="e">
        <f t="array" ref="J17">SMALL(IF(COUNTIFS(Y$4,'Technology MASTER'!$H$3:$H$107),MATCH(ROW('Technology MASTER'!B17:B121),ROW('Technology MASTER'!B17:B121)),""),ROWS($A$1:A15))</f>
        <v>#NUM!</v>
      </c>
      <c r="K17" s="68" t="e">
        <f t="array" ref="K17">INDEX('Technology MASTER'!$B$3:$B$107,SMALL(IF(COUNTIFS(Y$4,'Technology MASTER'!$H$3:$H$107),MATCH(ROW('Technology MASTER'!B17:B121),ROW('Technology MASTER'!B17:B121)),""),ROWS($A$1:A15)))</f>
        <v>#NUM!</v>
      </c>
      <c r="M17" s="68">
        <f>COUNTIFS(Y$4,'Technology MASTER'!$I$3:$I$107)</f>
        <v>0</v>
      </c>
      <c r="N17" s="68">
        <v>15</v>
      </c>
      <c r="O17" s="68" t="str">
        <v/>
      </c>
      <c r="P17" s="68" t="e">
        <f t="array" ref="P17">SMALL(IF(COUNTIFS(Y$4,'Technology MASTER'!$I$3:$I$107),MATCH(ROW('Technology MASTER'!B17:B121),ROW('Technology MASTER'!B17:B121)),""),ROWS($A$1:A15))</f>
        <v>#NUM!</v>
      </c>
      <c r="Q17" s="68" t="e">
        <f t="array" ref="Q17">INDEX('Technology MASTER'!$B$3:$B$107,SMALL(IF(COUNTIFS(Y$4,'Technology MASTER'!$I$3:$I$107),MATCH(ROW('Technology MASTER'!B17:B121),ROW('Technology MASTER'!B17:B121)),""),ROWS($A$1:A15)))</f>
        <v>#NUM!</v>
      </c>
      <c r="S17" s="68" t="e">
        <f t="shared" si="0"/>
        <v>#NUM!</v>
      </c>
      <c r="T17" s="68" t="e">
        <f t="shared" si="1"/>
        <v>#NUM!</v>
      </c>
      <c r="U17" s="68" t="e">
        <f t="shared" si="2"/>
        <v>#NUM!</v>
      </c>
      <c r="V17" s="364" t="str">
        <f t="array" ref="V17">_xlfn.TEXTJOIN("",TRUE,IF(ISNUMBER(S17:U17),S17:U17,""))</f>
        <v/>
      </c>
    </row>
    <row r="18" spans="1:22">
      <c r="A18" s="68">
        <f>COUNTIFS(Y$4,'Technology MASTER'!$G$3:$G$107)</f>
        <v>0</v>
      </c>
      <c r="B18" s="68">
        <v>16</v>
      </c>
      <c r="C18" s="68" t="str">
        <v/>
      </c>
      <c r="D18" s="68" t="e">
        <f t="array" ref="D18">SMALL(IF(COUNTIFS(Y$4,'Technology MASTER'!$G$3:$G$107),MATCH(ROW('Technology MASTER'!B18:B122),ROW('Technology MASTER'!B18:B122)),""),ROWS($A$1:A16))</f>
        <v>#NUM!</v>
      </c>
      <c r="E18" s="68" t="e">
        <f t="array" ref="E18">INDEX('Technology MASTER'!$B$3:$B$107,SMALL(IF(COUNTIFS(Y$4,'Technology MASTER'!$G$3:$G$107),MATCH(ROW('Technology MASTER'!B18:B122),ROW('Technology MASTER'!B18:B122)),""),ROWS($A$1:A16)))</f>
        <v>#NUM!</v>
      </c>
      <c r="G18" s="68">
        <f>COUNTIFS(Y$4,'Technology MASTER'!$H$3:$H$107)</f>
        <v>0</v>
      </c>
      <c r="H18" s="68">
        <v>16</v>
      </c>
      <c r="I18" s="68" t="str">
        <v/>
      </c>
      <c r="J18" s="68" t="e">
        <f t="array" ref="J18">SMALL(IF(COUNTIFS(Y$4,'Technology MASTER'!$H$3:$H$107),MATCH(ROW('Technology MASTER'!B18:B122),ROW('Technology MASTER'!B18:B122)),""),ROWS($A$1:A16))</f>
        <v>#NUM!</v>
      </c>
      <c r="K18" s="68" t="e">
        <f t="array" ref="K18">INDEX('Technology MASTER'!$B$3:$B$107,SMALL(IF(COUNTIFS(Y$4,'Technology MASTER'!$H$3:$H$107),MATCH(ROW('Technology MASTER'!B18:B122),ROW('Technology MASTER'!B18:B122)),""),ROWS($A$1:A16)))</f>
        <v>#NUM!</v>
      </c>
      <c r="M18" s="68">
        <f>COUNTIFS(Y$4,'Technology MASTER'!$I$3:$I$107)</f>
        <v>0</v>
      </c>
      <c r="N18" s="68">
        <v>16</v>
      </c>
      <c r="O18" s="68" t="str">
        <v/>
      </c>
      <c r="P18" s="68" t="e">
        <f t="array" ref="P18">SMALL(IF(COUNTIFS(Y$4,'Technology MASTER'!$I$3:$I$107),MATCH(ROW('Technology MASTER'!B18:B122),ROW('Technology MASTER'!B18:B122)),""),ROWS($A$1:A16))</f>
        <v>#NUM!</v>
      </c>
      <c r="Q18" s="68" t="e">
        <f t="array" ref="Q18">INDEX('Technology MASTER'!$B$3:$B$107,SMALL(IF(COUNTIFS(Y$4,'Technology MASTER'!$I$3:$I$107),MATCH(ROW('Technology MASTER'!B18:B122),ROW('Technology MASTER'!B18:B122)),""),ROWS($A$1:A16)))</f>
        <v>#NUM!</v>
      </c>
      <c r="S18" s="68" t="e">
        <f t="shared" si="0"/>
        <v>#NUM!</v>
      </c>
      <c r="T18" s="68" t="e">
        <f t="shared" si="1"/>
        <v>#NUM!</v>
      </c>
      <c r="U18" s="68" t="e">
        <f t="shared" si="2"/>
        <v>#NUM!</v>
      </c>
      <c r="V18" s="364" t="str">
        <f t="array" ref="V18">_xlfn.TEXTJOIN("",TRUE,IF(ISNUMBER(S18:U18),S18:U18,""))</f>
        <v/>
      </c>
    </row>
    <row r="19" spans="1:22">
      <c r="A19" s="68">
        <f>COUNTIFS(Y$4,'Technology MASTER'!$G$3:$G$107)</f>
        <v>0</v>
      </c>
      <c r="B19" s="68">
        <v>17</v>
      </c>
      <c r="C19" s="68" t="str">
        <v/>
      </c>
      <c r="D19" s="68" t="e">
        <f t="array" ref="D19">SMALL(IF(COUNTIFS(Y$4,'Technology MASTER'!$G$3:$G$107),MATCH(ROW('Technology MASTER'!B19:B123),ROW('Technology MASTER'!B19:B123)),""),ROWS($A$1:A17))</f>
        <v>#NUM!</v>
      </c>
      <c r="E19" s="68" t="e">
        <f t="array" ref="E19">INDEX('Technology MASTER'!$B$3:$B$107,SMALL(IF(COUNTIFS(Y$4,'Technology MASTER'!$G$3:$G$107),MATCH(ROW('Technology MASTER'!B19:B123),ROW('Technology MASTER'!B19:B123)),""),ROWS($A$1:A17)))</f>
        <v>#NUM!</v>
      </c>
      <c r="G19" s="68">
        <f>COUNTIFS(Y$4,'Technology MASTER'!$H$3:$H$107)</f>
        <v>0</v>
      </c>
      <c r="H19" s="68">
        <v>17</v>
      </c>
      <c r="I19" s="68" t="str">
        <v/>
      </c>
      <c r="J19" s="68" t="e">
        <f t="array" ref="J19">SMALL(IF(COUNTIFS(Y$4,'Technology MASTER'!$H$3:$H$107),MATCH(ROW('Technology MASTER'!B19:B123),ROW('Technology MASTER'!B19:B123)),""),ROWS($A$1:A17))</f>
        <v>#NUM!</v>
      </c>
      <c r="K19" s="68" t="e">
        <f t="array" ref="K19">INDEX('Technology MASTER'!$B$3:$B$107,SMALL(IF(COUNTIFS(Y$4,'Technology MASTER'!$H$3:$H$107),MATCH(ROW('Technology MASTER'!B19:B123),ROW('Technology MASTER'!B19:B123)),""),ROWS($A$1:A17)))</f>
        <v>#NUM!</v>
      </c>
      <c r="M19" s="68">
        <f>COUNTIFS(Y$4,'Technology MASTER'!$I$3:$I$107)</f>
        <v>0</v>
      </c>
      <c r="N19" s="68">
        <v>17</v>
      </c>
      <c r="O19" s="68" t="str">
        <v/>
      </c>
      <c r="P19" s="68" t="e">
        <f t="array" ref="P19">SMALL(IF(COUNTIFS(Y$4,'Technology MASTER'!$I$3:$I$107),MATCH(ROW('Technology MASTER'!B19:B123),ROW('Technology MASTER'!B19:B123)),""),ROWS($A$1:A17))</f>
        <v>#NUM!</v>
      </c>
      <c r="Q19" s="68" t="e">
        <f t="array" ref="Q19">INDEX('Technology MASTER'!$B$3:$B$107,SMALL(IF(COUNTIFS(Y$4,'Technology MASTER'!$I$3:$I$107),MATCH(ROW('Technology MASTER'!B19:B123),ROW('Technology MASTER'!B19:B123)),""),ROWS($A$1:A17)))</f>
        <v>#NUM!</v>
      </c>
      <c r="S19" s="68" t="e">
        <f t="shared" si="0"/>
        <v>#NUM!</v>
      </c>
      <c r="T19" s="68" t="e">
        <f t="shared" si="1"/>
        <v>#NUM!</v>
      </c>
      <c r="U19" s="68" t="e">
        <f t="shared" si="2"/>
        <v>#NUM!</v>
      </c>
      <c r="V19" s="364" t="str">
        <f t="array" ref="V19">_xlfn.TEXTJOIN("",TRUE,IF(ISNUMBER(S19:U19),S19:U19,""))</f>
        <v/>
      </c>
    </row>
    <row r="20" spans="1:22">
      <c r="A20" s="68">
        <f>COUNTIFS(Y$4,'Technology MASTER'!$G$3:$G$107)</f>
        <v>0</v>
      </c>
      <c r="B20" s="68">
        <v>18</v>
      </c>
      <c r="C20" s="68" t="str">
        <v/>
      </c>
      <c r="D20" s="68" t="e">
        <f t="array" ref="D20">SMALL(IF(COUNTIFS(Y$4,'Technology MASTER'!$G$3:$G$107),MATCH(ROW('Technology MASTER'!B20:B124),ROW('Technology MASTER'!B20:B124)),""),ROWS($A$1:A18))</f>
        <v>#NUM!</v>
      </c>
      <c r="E20" s="68" t="e">
        <f t="array" ref="E20">INDEX('Technology MASTER'!$B$3:$B$107,SMALL(IF(COUNTIFS(Y$4,'Technology MASTER'!$G$3:$G$107),MATCH(ROW('Technology MASTER'!B20:B124),ROW('Technology MASTER'!B20:B124)),""),ROWS($A$1:A18)))</f>
        <v>#NUM!</v>
      </c>
      <c r="G20" s="68">
        <f>COUNTIFS(Y$4,'Technology MASTER'!$H$3:$H$107)</f>
        <v>0</v>
      </c>
      <c r="H20" s="68">
        <v>18</v>
      </c>
      <c r="I20" s="68" t="str">
        <v/>
      </c>
      <c r="J20" s="68" t="e">
        <f t="array" ref="J20">SMALL(IF(COUNTIFS(Y$4,'Technology MASTER'!$H$3:$H$107),MATCH(ROW('Technology MASTER'!B20:B124),ROW('Technology MASTER'!B20:B124)),""),ROWS($A$1:A18))</f>
        <v>#NUM!</v>
      </c>
      <c r="K20" s="68" t="e">
        <f t="array" ref="K20">INDEX('Technology MASTER'!$B$3:$B$107,SMALL(IF(COUNTIFS(Y$4,'Technology MASTER'!$H$3:$H$107),MATCH(ROW('Technology MASTER'!B20:B124),ROW('Technology MASTER'!B20:B124)),""),ROWS($A$1:A18)))</f>
        <v>#NUM!</v>
      </c>
      <c r="M20" s="68">
        <f>COUNTIFS(Y$4,'Technology MASTER'!$I$3:$I$107)</f>
        <v>0</v>
      </c>
      <c r="N20" s="68">
        <v>18</v>
      </c>
      <c r="O20" s="68" t="str">
        <v/>
      </c>
      <c r="P20" s="68" t="e">
        <f t="array" ref="P20">SMALL(IF(COUNTIFS(Y$4,'Technology MASTER'!$I$3:$I$107),MATCH(ROW('Technology MASTER'!B20:B124),ROW('Technology MASTER'!B20:B124)),""),ROWS($A$1:A18))</f>
        <v>#NUM!</v>
      </c>
      <c r="Q20" s="68" t="e">
        <f t="array" ref="Q20">INDEX('Technology MASTER'!$B$3:$B$107,SMALL(IF(COUNTIFS(Y$4,'Technology MASTER'!$I$3:$I$107),MATCH(ROW('Technology MASTER'!B20:B124),ROW('Technology MASTER'!B20:B124)),""),ROWS($A$1:A18)))</f>
        <v>#NUM!</v>
      </c>
      <c r="S20" s="68" t="e">
        <f t="shared" si="0"/>
        <v>#NUM!</v>
      </c>
      <c r="T20" s="68" t="e">
        <f t="shared" si="1"/>
        <v>#NUM!</v>
      </c>
      <c r="U20" s="68" t="e">
        <f t="shared" si="2"/>
        <v>#NUM!</v>
      </c>
      <c r="V20" s="364" t="str">
        <f t="array" ref="V20">_xlfn.TEXTJOIN("",TRUE,IF(ISNUMBER(S20:U20),S20:U20,""))</f>
        <v/>
      </c>
    </row>
    <row r="21" spans="1:22">
      <c r="A21" s="68">
        <f>COUNTIFS(Y$4,'Technology MASTER'!$G$3:$G$107)</f>
        <v>0</v>
      </c>
      <c r="B21" s="68">
        <v>19</v>
      </c>
      <c r="C21" s="68" t="str">
        <v/>
      </c>
      <c r="D21" s="68" t="e">
        <f t="array" ref="D21">SMALL(IF(COUNTIFS(Y$4,'Technology MASTER'!$G$3:$G$107),MATCH(ROW('Technology MASTER'!B21:B125),ROW('Technology MASTER'!B21:B125)),""),ROWS($A$1:A19))</f>
        <v>#NUM!</v>
      </c>
      <c r="E21" s="68" t="e">
        <f t="array" ref="E21">INDEX('Technology MASTER'!$B$3:$B$107,SMALL(IF(COUNTIFS(Y$4,'Technology MASTER'!$G$3:$G$107),MATCH(ROW('Technology MASTER'!B21:B125),ROW('Technology MASTER'!B21:B125)),""),ROWS($A$1:A19)))</f>
        <v>#NUM!</v>
      </c>
      <c r="G21" s="68">
        <f>COUNTIFS(Y$4,'Technology MASTER'!$H$3:$H$107)</f>
        <v>0</v>
      </c>
      <c r="H21" s="68">
        <v>19</v>
      </c>
      <c r="I21" s="68" t="str">
        <v/>
      </c>
      <c r="J21" s="68" t="e">
        <f t="array" ref="J21">SMALL(IF(COUNTIFS(Y$4,'Technology MASTER'!$H$3:$H$107),MATCH(ROW('Technology MASTER'!B21:B125),ROW('Technology MASTER'!B21:B125)),""),ROWS($A$1:A19))</f>
        <v>#NUM!</v>
      </c>
      <c r="K21" s="68" t="e">
        <f t="array" ref="K21">INDEX('Technology MASTER'!$B$3:$B$107,SMALL(IF(COUNTIFS(Y$4,'Technology MASTER'!$H$3:$H$107),MATCH(ROW('Technology MASTER'!B21:B125),ROW('Technology MASTER'!B21:B125)),""),ROWS($A$1:A19)))</f>
        <v>#NUM!</v>
      </c>
      <c r="M21" s="68">
        <f>COUNTIFS(Y$4,'Technology MASTER'!$I$3:$I$107)</f>
        <v>0</v>
      </c>
      <c r="N21" s="68">
        <v>19</v>
      </c>
      <c r="O21" s="68" t="str">
        <v/>
      </c>
      <c r="P21" s="68" t="e">
        <f t="array" ref="P21">SMALL(IF(COUNTIFS(Y$4,'Technology MASTER'!$I$3:$I$107),MATCH(ROW('Technology MASTER'!B21:B125),ROW('Technology MASTER'!B21:B125)),""),ROWS($A$1:A19))</f>
        <v>#NUM!</v>
      </c>
      <c r="Q21" s="68" t="e">
        <f t="array" ref="Q21">INDEX('Technology MASTER'!$B$3:$B$107,SMALL(IF(COUNTIFS(Y$4,'Technology MASTER'!$I$3:$I$107),MATCH(ROW('Technology MASTER'!B21:B125),ROW('Technology MASTER'!B21:B125)),""),ROWS($A$1:A19)))</f>
        <v>#NUM!</v>
      </c>
      <c r="S21" s="68" t="e">
        <f t="shared" si="0"/>
        <v>#NUM!</v>
      </c>
      <c r="T21" s="68" t="e">
        <f t="shared" si="1"/>
        <v>#NUM!</v>
      </c>
      <c r="U21" s="68" t="e">
        <f t="shared" si="2"/>
        <v>#NUM!</v>
      </c>
      <c r="V21" s="364" t="str">
        <f t="array" ref="V21">_xlfn.TEXTJOIN("",TRUE,IF(ISNUMBER(S21:U21),S21:U21,""))</f>
        <v/>
      </c>
    </row>
    <row r="22" spans="1:22">
      <c r="A22" s="68">
        <f>COUNTIFS(Y$4,'Technology MASTER'!$G$3:$G$107)</f>
        <v>0</v>
      </c>
      <c r="B22" s="68">
        <v>20</v>
      </c>
      <c r="C22" s="68" t="str">
        <v/>
      </c>
      <c r="D22" s="68" t="e">
        <f t="array" ref="D22">SMALL(IF(COUNTIFS(Y$4,'Technology MASTER'!$G$3:$G$107),MATCH(ROW('Technology MASTER'!B22:B126),ROW('Technology MASTER'!B22:B126)),""),ROWS($A$1:A20))</f>
        <v>#NUM!</v>
      </c>
      <c r="E22" s="68" t="e">
        <f t="array" ref="E22">INDEX('Technology MASTER'!$B$3:$B$107,SMALL(IF(COUNTIFS(Y$4,'Technology MASTER'!$G$3:$G$107),MATCH(ROW('Technology MASTER'!B22:B126),ROW('Technology MASTER'!B22:B126)),""),ROWS($A$1:A20)))</f>
        <v>#NUM!</v>
      </c>
      <c r="G22" s="68">
        <f>COUNTIFS(Y$4,'Technology MASTER'!$H$3:$H$107)</f>
        <v>0</v>
      </c>
      <c r="H22" s="68">
        <v>20</v>
      </c>
      <c r="I22" s="68" t="str">
        <v/>
      </c>
      <c r="J22" s="68" t="e">
        <f t="array" ref="J22">SMALL(IF(COUNTIFS(Y$4,'Technology MASTER'!$H$3:$H$107),MATCH(ROW('Technology MASTER'!B22:B126),ROW('Technology MASTER'!B22:B126)),""),ROWS($A$1:A20))</f>
        <v>#NUM!</v>
      </c>
      <c r="K22" s="68" t="e">
        <f t="array" ref="K22">INDEX('Technology MASTER'!$B$3:$B$107,SMALL(IF(COUNTIFS(Y$4,'Technology MASTER'!$H$3:$H$107),MATCH(ROW('Technology MASTER'!B22:B126),ROW('Technology MASTER'!B22:B126)),""),ROWS($A$1:A20)))</f>
        <v>#NUM!</v>
      </c>
      <c r="M22" s="68">
        <f>COUNTIFS(Y$4,'Technology MASTER'!$I$3:$I$107)</f>
        <v>0</v>
      </c>
      <c r="N22" s="68">
        <v>20</v>
      </c>
      <c r="O22" s="68" t="str">
        <v/>
      </c>
      <c r="P22" s="68" t="e">
        <f t="array" ref="P22">SMALL(IF(COUNTIFS(Y$4,'Technology MASTER'!$I$3:$I$107),MATCH(ROW('Technology MASTER'!B22:B126),ROW('Technology MASTER'!B22:B126)),""),ROWS($A$1:A20))</f>
        <v>#NUM!</v>
      </c>
      <c r="Q22" s="68" t="e">
        <f t="array" ref="Q22">INDEX('Technology MASTER'!$B$3:$B$107,SMALL(IF(COUNTIFS(Y$4,'Technology MASTER'!$I$3:$I$107),MATCH(ROW('Technology MASTER'!B22:B126),ROW('Technology MASTER'!B22:B126)),""),ROWS($A$1:A20)))</f>
        <v>#NUM!</v>
      </c>
      <c r="S22" s="68" t="e">
        <f t="shared" si="0"/>
        <v>#NUM!</v>
      </c>
      <c r="T22" s="68" t="e">
        <f t="shared" si="1"/>
        <v>#NUM!</v>
      </c>
      <c r="U22" s="68" t="e">
        <f t="shared" si="2"/>
        <v>#NUM!</v>
      </c>
      <c r="V22" s="364" t="str">
        <f t="array" ref="V22">_xlfn.TEXTJOIN("",TRUE,IF(ISNUMBER(S22:U22),S22:U22,""))</f>
        <v/>
      </c>
    </row>
    <row r="23" spans="1:22">
      <c r="A23" s="68">
        <f>COUNTIFS(Y$4,'Technology MASTER'!$G$3:$G$107)</f>
        <v>0</v>
      </c>
      <c r="B23" s="68">
        <v>21</v>
      </c>
      <c r="C23" s="68" t="str">
        <v/>
      </c>
      <c r="D23" s="68" t="e">
        <f t="array" ref="D23">SMALL(IF(COUNTIFS(Y$4,'Technology MASTER'!$G$3:$G$107),MATCH(ROW('Technology MASTER'!B23:B127),ROW('Technology MASTER'!B23:B127)),""),ROWS($A$1:A21))</f>
        <v>#NUM!</v>
      </c>
      <c r="E23" s="68" t="e">
        <f t="array" ref="E23">INDEX('Technology MASTER'!$B$3:$B$107,SMALL(IF(COUNTIFS(Y$4,'Technology MASTER'!$G$3:$G$107),MATCH(ROW('Technology MASTER'!B23:B127),ROW('Technology MASTER'!B23:B127)),""),ROWS($A$1:A21)))</f>
        <v>#NUM!</v>
      </c>
      <c r="G23" s="68">
        <f>COUNTIFS(Y$4,'Technology MASTER'!$H$3:$H$107)</f>
        <v>0</v>
      </c>
      <c r="H23" s="68">
        <v>21</v>
      </c>
      <c r="I23" s="68" t="str">
        <v/>
      </c>
      <c r="J23" s="68" t="e">
        <f t="array" ref="J23">SMALL(IF(COUNTIFS(Y$4,'Technology MASTER'!$H$3:$H$107),MATCH(ROW('Technology MASTER'!B23:B127),ROW('Technology MASTER'!B23:B127)),""),ROWS($A$1:A21))</f>
        <v>#NUM!</v>
      </c>
      <c r="K23" s="68" t="e">
        <f t="array" ref="K23">INDEX('Technology MASTER'!$B$3:$B$107,SMALL(IF(COUNTIFS(Y$4,'Technology MASTER'!$H$3:$H$107),MATCH(ROW('Technology MASTER'!B23:B127),ROW('Technology MASTER'!B23:B127)),""),ROWS($A$1:A21)))</f>
        <v>#NUM!</v>
      </c>
      <c r="M23" s="68">
        <f>COUNTIFS(Y$4,'Technology MASTER'!$I$3:$I$107)</f>
        <v>0</v>
      </c>
      <c r="N23" s="68">
        <v>21</v>
      </c>
      <c r="O23" s="68" t="str">
        <v/>
      </c>
      <c r="P23" s="68" t="e">
        <f t="array" ref="P23">SMALL(IF(COUNTIFS(Y$4,'Technology MASTER'!$I$3:$I$107),MATCH(ROW('Technology MASTER'!B23:B127),ROW('Technology MASTER'!B23:B127)),""),ROWS($A$1:A21))</f>
        <v>#NUM!</v>
      </c>
      <c r="Q23" s="68" t="e">
        <f t="array" ref="Q23">INDEX('Technology MASTER'!$B$3:$B$107,SMALL(IF(COUNTIFS(Y$4,'Technology MASTER'!$I$3:$I$107),MATCH(ROW('Technology MASTER'!B23:B127),ROW('Technology MASTER'!B23:B127)),""),ROWS($A$1:A21)))</f>
        <v>#NUM!</v>
      </c>
      <c r="S23" s="68" t="e">
        <f t="shared" si="0"/>
        <v>#NUM!</v>
      </c>
      <c r="T23" s="68" t="e">
        <f t="shared" si="1"/>
        <v>#NUM!</v>
      </c>
      <c r="U23" s="68" t="e">
        <f t="shared" si="2"/>
        <v>#NUM!</v>
      </c>
      <c r="V23" s="364" t="str">
        <f t="array" ref="V23">_xlfn.TEXTJOIN("",TRUE,IF(ISNUMBER(S23:U23),S23:U23,""))</f>
        <v/>
      </c>
    </row>
    <row r="24" spans="1:22">
      <c r="A24" s="68">
        <f>COUNTIFS(Y$4,'Technology MASTER'!$G$3:$G$107)</f>
        <v>0</v>
      </c>
      <c r="B24" s="68">
        <v>22</v>
      </c>
      <c r="C24" s="68" t="str">
        <v/>
      </c>
      <c r="D24" s="68" t="e">
        <f t="array" ref="D24">SMALL(IF(COUNTIFS(Y$4,'Technology MASTER'!$G$3:$G$107),MATCH(ROW('Technology MASTER'!B24:B128),ROW('Technology MASTER'!B24:B128)),""),ROWS($A$1:A22))</f>
        <v>#NUM!</v>
      </c>
      <c r="E24" s="68" t="e">
        <f t="array" ref="E24">INDEX('Technology MASTER'!$B$3:$B$107,SMALL(IF(COUNTIFS(Y$4,'Technology MASTER'!$G$3:$G$107),MATCH(ROW('Technology MASTER'!B24:B128),ROW('Technology MASTER'!B24:B128)),""),ROWS($A$1:A22)))</f>
        <v>#NUM!</v>
      </c>
      <c r="G24" s="68">
        <f>COUNTIFS(Y$4,'Technology MASTER'!$H$3:$H$107)</f>
        <v>0</v>
      </c>
      <c r="H24" s="68">
        <v>22</v>
      </c>
      <c r="I24" s="68" t="str">
        <v/>
      </c>
      <c r="J24" s="68" t="e">
        <f t="array" ref="J24">SMALL(IF(COUNTIFS(Y$4,'Technology MASTER'!$H$3:$H$107),MATCH(ROW('Technology MASTER'!B24:B128),ROW('Technology MASTER'!B24:B128)),""),ROWS($A$1:A22))</f>
        <v>#NUM!</v>
      </c>
      <c r="K24" s="68" t="e">
        <f t="array" ref="K24">INDEX('Technology MASTER'!$B$3:$B$107,SMALL(IF(COUNTIFS(Y$4,'Technology MASTER'!$H$3:$H$107),MATCH(ROW('Technology MASTER'!B24:B128),ROW('Technology MASTER'!B24:B128)),""),ROWS($A$1:A22)))</f>
        <v>#NUM!</v>
      </c>
      <c r="M24" s="68">
        <f>COUNTIFS(Y$4,'Technology MASTER'!$I$3:$I$107)</f>
        <v>0</v>
      </c>
      <c r="N24" s="68">
        <v>22</v>
      </c>
      <c r="O24" s="68" t="str">
        <v/>
      </c>
      <c r="P24" s="68" t="e">
        <f t="array" ref="P24">SMALL(IF(COUNTIFS(Y$4,'Technology MASTER'!$I$3:$I$107),MATCH(ROW('Technology MASTER'!B24:B128),ROW('Technology MASTER'!B24:B128)),""),ROWS($A$1:A22))</f>
        <v>#NUM!</v>
      </c>
      <c r="Q24" s="68" t="e">
        <f t="array" ref="Q24">INDEX('Technology MASTER'!$B$3:$B$107,SMALL(IF(COUNTIFS(Y$4,'Technology MASTER'!$I$3:$I$107),MATCH(ROW('Technology MASTER'!B24:B128),ROW('Technology MASTER'!B24:B128)),""),ROWS($A$1:A22)))</f>
        <v>#NUM!</v>
      </c>
      <c r="S24" s="68" t="e">
        <f t="shared" si="0"/>
        <v>#NUM!</v>
      </c>
      <c r="T24" s="68" t="e">
        <f t="shared" si="1"/>
        <v>#NUM!</v>
      </c>
      <c r="U24" s="68" t="e">
        <f t="shared" si="2"/>
        <v>#NUM!</v>
      </c>
      <c r="V24" s="364" t="str">
        <f t="array" ref="V24">_xlfn.TEXTJOIN("",TRUE,IF(ISNUMBER(S24:U24),S24:U24,""))</f>
        <v/>
      </c>
    </row>
    <row r="25" spans="1:22">
      <c r="A25" s="68">
        <f>COUNTIFS(Y$4,'Technology MASTER'!$G$3:$G$107)</f>
        <v>0</v>
      </c>
      <c r="B25" s="68">
        <v>23</v>
      </c>
      <c r="C25" s="68" t="str">
        <v/>
      </c>
      <c r="D25" s="68" t="e">
        <f t="array" ref="D25">SMALL(IF(COUNTIFS(Y$4,'Technology MASTER'!$G$3:$G$107),MATCH(ROW('Technology MASTER'!B25:B129),ROW('Technology MASTER'!B25:B129)),""),ROWS($A$1:A23))</f>
        <v>#NUM!</v>
      </c>
      <c r="E25" s="68" t="e">
        <f t="array" ref="E25">INDEX('Technology MASTER'!$B$3:$B$107,SMALL(IF(COUNTIFS(Y$4,'Technology MASTER'!$G$3:$G$107),MATCH(ROW('Technology MASTER'!B25:B129),ROW('Technology MASTER'!B25:B129)),""),ROWS($A$1:A23)))</f>
        <v>#NUM!</v>
      </c>
      <c r="G25" s="68">
        <f>COUNTIFS(Y$4,'Technology MASTER'!$H$3:$H$107)</f>
        <v>0</v>
      </c>
      <c r="H25" s="68">
        <v>23</v>
      </c>
      <c r="I25" s="68" t="str">
        <v/>
      </c>
      <c r="J25" s="68" t="e">
        <f t="array" ref="J25">SMALL(IF(COUNTIFS(Y$4,'Technology MASTER'!$H$3:$H$107),MATCH(ROW('Technology MASTER'!B25:B129),ROW('Technology MASTER'!B25:B129)),""),ROWS($A$1:A23))</f>
        <v>#NUM!</v>
      </c>
      <c r="K25" s="68" t="e">
        <f t="array" ref="K25">INDEX('Technology MASTER'!$B$3:$B$107,SMALL(IF(COUNTIFS(Y$4,'Technology MASTER'!$H$3:$H$107),MATCH(ROW('Technology MASTER'!B25:B129),ROW('Technology MASTER'!B25:B129)),""),ROWS($A$1:A23)))</f>
        <v>#NUM!</v>
      </c>
      <c r="M25" s="68">
        <f>COUNTIFS(Y$4,'Technology MASTER'!$I$3:$I$107)</f>
        <v>0</v>
      </c>
      <c r="N25" s="68">
        <v>23</v>
      </c>
      <c r="O25" s="68" t="str">
        <v/>
      </c>
      <c r="P25" s="68" t="e">
        <f t="array" ref="P25">SMALL(IF(COUNTIFS(Y$4,'Technology MASTER'!$I$3:$I$107),MATCH(ROW('Technology MASTER'!B25:B129),ROW('Technology MASTER'!B25:B129)),""),ROWS($A$1:A23))</f>
        <v>#NUM!</v>
      </c>
      <c r="Q25" s="68" t="e">
        <f t="array" ref="Q25">INDEX('Technology MASTER'!$B$3:$B$107,SMALL(IF(COUNTIFS(Y$4,'Technology MASTER'!$I$3:$I$107),MATCH(ROW('Technology MASTER'!B25:B129),ROW('Technology MASTER'!B25:B129)),""),ROWS($A$1:A23)))</f>
        <v>#NUM!</v>
      </c>
      <c r="S25" s="68" t="e">
        <f t="shared" si="0"/>
        <v>#NUM!</v>
      </c>
      <c r="T25" s="68" t="e">
        <f t="shared" si="1"/>
        <v>#NUM!</v>
      </c>
      <c r="U25" s="68" t="e">
        <f t="shared" si="2"/>
        <v>#NUM!</v>
      </c>
      <c r="V25" s="364" t="str">
        <f t="array" ref="V25">_xlfn.TEXTJOIN("",TRUE,IF(ISNUMBER(S25:U25),S25:U25,""))</f>
        <v/>
      </c>
    </row>
    <row r="26" spans="1:22">
      <c r="A26" s="68">
        <f>COUNTIFS(Y$4,'Technology MASTER'!$G$3:$G$107)</f>
        <v>0</v>
      </c>
      <c r="B26" s="68">
        <v>24</v>
      </c>
      <c r="C26" s="68" t="str">
        <v/>
      </c>
      <c r="D26" s="68" t="e">
        <f t="array" ref="D26">SMALL(IF(COUNTIFS(Y$4,'Technology MASTER'!$G$3:$G$107),MATCH(ROW('Technology MASTER'!B26:B130),ROW('Technology MASTER'!B26:B130)),""),ROWS($A$1:A24))</f>
        <v>#NUM!</v>
      </c>
      <c r="E26" s="68" t="e">
        <f t="array" ref="E26">INDEX('Technology MASTER'!$B$3:$B$107,SMALL(IF(COUNTIFS(Y$4,'Technology MASTER'!$G$3:$G$107),MATCH(ROW('Technology MASTER'!B26:B130),ROW('Technology MASTER'!B26:B130)),""),ROWS($A$1:A24)))</f>
        <v>#NUM!</v>
      </c>
      <c r="G26" s="68">
        <f>COUNTIFS(Y$4,'Technology MASTER'!$H$3:$H$107)</f>
        <v>0</v>
      </c>
      <c r="H26" s="68">
        <v>24</v>
      </c>
      <c r="I26" s="68" t="str">
        <v/>
      </c>
      <c r="J26" s="68" t="e">
        <f t="array" ref="J26">SMALL(IF(COUNTIFS(Y$4,'Technology MASTER'!$H$3:$H$107),MATCH(ROW('Technology MASTER'!B26:B130),ROW('Technology MASTER'!B26:B130)),""),ROWS($A$1:A24))</f>
        <v>#NUM!</v>
      </c>
      <c r="K26" s="68" t="e">
        <f t="array" ref="K26">INDEX('Technology MASTER'!$B$3:$B$107,SMALL(IF(COUNTIFS(Y$4,'Technology MASTER'!$H$3:$H$107),MATCH(ROW('Technology MASTER'!B26:B130),ROW('Technology MASTER'!B26:B130)),""),ROWS($A$1:A24)))</f>
        <v>#NUM!</v>
      </c>
      <c r="M26" s="68">
        <f>COUNTIFS(Y$4,'Technology MASTER'!$I$3:$I$107)</f>
        <v>0</v>
      </c>
      <c r="N26" s="68">
        <v>24</v>
      </c>
      <c r="O26" s="68" t="str">
        <v/>
      </c>
      <c r="P26" s="68" t="e">
        <f t="array" ref="P26">SMALL(IF(COUNTIFS(Y$4,'Technology MASTER'!$I$3:$I$107),MATCH(ROW('Technology MASTER'!B26:B130),ROW('Technology MASTER'!B26:B130)),""),ROWS($A$1:A24))</f>
        <v>#NUM!</v>
      </c>
      <c r="Q26" s="68" t="e">
        <f t="array" ref="Q26">INDEX('Technology MASTER'!$B$3:$B$107,SMALL(IF(COUNTIFS(Y$4,'Technology MASTER'!$I$3:$I$107),MATCH(ROW('Technology MASTER'!B26:B130),ROW('Technology MASTER'!B26:B130)),""),ROWS($A$1:A24)))</f>
        <v>#NUM!</v>
      </c>
      <c r="S26" s="68" t="e">
        <f t="shared" si="0"/>
        <v>#NUM!</v>
      </c>
      <c r="T26" s="68" t="e">
        <f t="shared" si="1"/>
        <v>#NUM!</v>
      </c>
      <c r="U26" s="68" t="e">
        <f t="shared" si="2"/>
        <v>#NUM!</v>
      </c>
      <c r="V26" s="364" t="str">
        <f t="array" ref="V26">_xlfn.TEXTJOIN("",TRUE,IF(ISNUMBER(S26:U26),S26:U26,""))</f>
        <v/>
      </c>
    </row>
    <row r="27" spans="1:22">
      <c r="A27" s="68">
        <f>COUNTIFS(Y$4,'Technology MASTER'!$G$3:$G$107)</f>
        <v>0</v>
      </c>
      <c r="B27" s="68">
        <v>25</v>
      </c>
      <c r="C27" s="68" t="str">
        <v/>
      </c>
      <c r="D27" s="68" t="e">
        <f t="array" ref="D27">SMALL(IF(COUNTIFS(Y$4,'Technology MASTER'!$G$3:$G$107),MATCH(ROW('Technology MASTER'!B27:B131),ROW('Technology MASTER'!B27:B131)),""),ROWS($A$1:A25))</f>
        <v>#NUM!</v>
      </c>
      <c r="E27" s="68" t="e">
        <f t="array" ref="E27">INDEX('Technology MASTER'!$B$3:$B$107,SMALL(IF(COUNTIFS(Y$4,'Technology MASTER'!$G$3:$G$107),MATCH(ROW('Technology MASTER'!B27:B131),ROW('Technology MASTER'!B27:B131)),""),ROWS($A$1:A25)))</f>
        <v>#NUM!</v>
      </c>
      <c r="G27" s="68">
        <f>COUNTIFS(Y$4,'Technology MASTER'!$H$3:$H$107)</f>
        <v>0</v>
      </c>
      <c r="H27" s="68">
        <v>25</v>
      </c>
      <c r="I27" s="68" t="str">
        <v/>
      </c>
      <c r="J27" s="68" t="e">
        <f t="array" ref="J27">SMALL(IF(COUNTIFS(Y$4,'Technology MASTER'!$H$3:$H$107),MATCH(ROW('Technology MASTER'!B27:B131),ROW('Technology MASTER'!B27:B131)),""),ROWS($A$1:A25))</f>
        <v>#NUM!</v>
      </c>
      <c r="K27" s="68" t="e">
        <f t="array" ref="K27">INDEX('Technology MASTER'!$B$3:$B$107,SMALL(IF(COUNTIFS(Y$4,'Technology MASTER'!$H$3:$H$107),MATCH(ROW('Technology MASTER'!B27:B131),ROW('Technology MASTER'!B27:B131)),""),ROWS($A$1:A25)))</f>
        <v>#NUM!</v>
      </c>
      <c r="M27" s="68">
        <f>COUNTIFS(Y$4,'Technology MASTER'!$I$3:$I$107)</f>
        <v>0</v>
      </c>
      <c r="N27" s="68">
        <v>25</v>
      </c>
      <c r="O27" s="68" t="str">
        <v/>
      </c>
      <c r="P27" s="68" t="e">
        <f t="array" ref="P27">SMALL(IF(COUNTIFS(Y$4,'Technology MASTER'!$I$3:$I$107),MATCH(ROW('Technology MASTER'!B27:B131),ROW('Technology MASTER'!B27:B131)),""),ROWS($A$1:A25))</f>
        <v>#NUM!</v>
      </c>
      <c r="Q27" s="68" t="e">
        <f t="array" ref="Q27">INDEX('Technology MASTER'!$B$3:$B$107,SMALL(IF(COUNTIFS(Y$4,'Technology MASTER'!$I$3:$I$107),MATCH(ROW('Technology MASTER'!B27:B131),ROW('Technology MASTER'!B27:B131)),""),ROWS($A$1:A25)))</f>
        <v>#NUM!</v>
      </c>
      <c r="V27" s="113" t="str">
        <f t="array" ref="V27">_xlfn.TEXTJOIN("",TRUE,IF(ISNUMBER(S27:U27),S27:U27,""))</f>
        <v/>
      </c>
    </row>
    <row r="28" spans="1:22">
      <c r="A28" s="68">
        <f>COUNTIFS(Y$4,'Technology MASTER'!$G$3:$G$107)</f>
        <v>0</v>
      </c>
      <c r="B28" s="68">
        <v>26</v>
      </c>
      <c r="C28" s="68" t="str">
        <v/>
      </c>
      <c r="D28" s="68" t="e">
        <f t="array" ref="D28">SMALL(IF(COUNTIFS(Y$4,'Technology MASTER'!$G$3:$G$107),MATCH(ROW('Technology MASTER'!B28:B132),ROW('Technology MASTER'!B28:B132)),""),ROWS($A$1:A26))</f>
        <v>#NUM!</v>
      </c>
      <c r="E28" s="68" t="e">
        <f t="array" ref="E28">INDEX('Technology MASTER'!$B$3:$B$107,SMALL(IF(COUNTIFS(Y$4,'Technology MASTER'!$G$3:$G$107),MATCH(ROW('Technology MASTER'!B28:B132),ROW('Technology MASTER'!B28:B132)),""),ROWS($A$1:A26)))</f>
        <v>#NUM!</v>
      </c>
      <c r="G28" s="68">
        <f>COUNTIFS(Y$4,'Technology MASTER'!$H$3:$H$107)</f>
        <v>0</v>
      </c>
      <c r="H28" s="68">
        <v>26</v>
      </c>
      <c r="I28" s="68" t="str">
        <v/>
      </c>
      <c r="J28" s="68" t="e">
        <f t="array" ref="J28">SMALL(IF(COUNTIFS(Y$4,'Technology MASTER'!$H$3:$H$107),MATCH(ROW('Technology MASTER'!B28:B132),ROW('Technology MASTER'!B28:B132)),""),ROWS($A$1:A26))</f>
        <v>#NUM!</v>
      </c>
      <c r="K28" s="68" t="e">
        <f t="array" ref="K28">INDEX('Technology MASTER'!$B$3:$B$107,SMALL(IF(COUNTIFS(Y$4,'Technology MASTER'!$H$3:$H$107),MATCH(ROW('Technology MASTER'!B28:B132),ROW('Technology MASTER'!B28:B132)),""),ROWS($A$1:A26)))</f>
        <v>#NUM!</v>
      </c>
      <c r="M28" s="68">
        <f>COUNTIFS(Y$4,'Technology MASTER'!$I$3:$I$107)</f>
        <v>0</v>
      </c>
      <c r="N28" s="68">
        <v>26</v>
      </c>
      <c r="O28" s="68" t="str">
        <v/>
      </c>
      <c r="P28" s="68" t="e">
        <f t="array" ref="P28">SMALL(IF(COUNTIFS(Y$4,'Technology MASTER'!$I$3:$I$107),MATCH(ROW('Technology MASTER'!B28:B132),ROW('Technology MASTER'!B28:B132)),""),ROWS($A$1:A26))</f>
        <v>#NUM!</v>
      </c>
      <c r="Q28" s="68" t="e">
        <f t="array" ref="Q28">INDEX('Technology MASTER'!$B$3:$B$107,SMALL(IF(COUNTIFS(Y$4,'Technology MASTER'!$I$3:$I$107),MATCH(ROW('Technology MASTER'!B28:B132),ROW('Technology MASTER'!B28:B132)),""),ROWS($A$1:A26)))</f>
        <v>#NUM!</v>
      </c>
      <c r="V28" s="113" t="str">
        <f t="array" ref="V28">_xlfn.TEXTJOIN("",TRUE,IF(ISNUMBER(S28:U28),S28:U28,""))</f>
        <v/>
      </c>
    </row>
    <row r="29" spans="1:22">
      <c r="A29" s="68">
        <f>COUNTIFS(Y$4,'Technology MASTER'!$G$3:$G$107)</f>
        <v>0</v>
      </c>
      <c r="B29" s="68">
        <v>27</v>
      </c>
      <c r="C29" s="68" t="str">
        <v/>
      </c>
      <c r="D29" s="68" t="e">
        <f t="array" ref="D29">SMALL(IF(COUNTIFS(Y$4,'Technology MASTER'!$G$3:$G$107),MATCH(ROW('Technology MASTER'!B29:B133),ROW('Technology MASTER'!B29:B133)),""),ROWS($A$1:A27))</f>
        <v>#NUM!</v>
      </c>
      <c r="E29" s="68" t="e">
        <f t="array" ref="E29">INDEX('Technology MASTER'!$B$3:$B$107,SMALL(IF(COUNTIFS(Y$4,'Technology MASTER'!$G$3:$G$107),MATCH(ROW('Technology MASTER'!B29:B133),ROW('Technology MASTER'!B29:B133)),""),ROWS($A$1:A27)))</f>
        <v>#NUM!</v>
      </c>
      <c r="G29" s="68">
        <f>COUNTIFS(Y$4,'Technology MASTER'!$H$3:$H$107)</f>
        <v>0</v>
      </c>
      <c r="H29" s="68">
        <v>27</v>
      </c>
      <c r="I29" s="68" t="str">
        <v/>
      </c>
      <c r="J29" s="68" t="e">
        <f t="array" ref="J29">SMALL(IF(COUNTIFS(Y$4,'Technology MASTER'!$H$3:$H$107),MATCH(ROW('Technology MASTER'!B29:B133),ROW('Technology MASTER'!B29:B133)),""),ROWS($A$1:A27))</f>
        <v>#NUM!</v>
      </c>
      <c r="K29" s="68" t="e">
        <f t="array" ref="K29">INDEX('Technology MASTER'!$B$3:$B$107,SMALL(IF(COUNTIFS(Y$4,'Technology MASTER'!$H$3:$H$107),MATCH(ROW('Technology MASTER'!B29:B133),ROW('Technology MASTER'!B29:B133)),""),ROWS($A$1:A27)))</f>
        <v>#NUM!</v>
      </c>
      <c r="M29" s="68">
        <f>COUNTIFS(Y$4,'Technology MASTER'!$I$3:$I$107)</f>
        <v>0</v>
      </c>
      <c r="N29" s="68">
        <v>27</v>
      </c>
      <c r="O29" s="68" t="str">
        <v/>
      </c>
      <c r="P29" s="68" t="e">
        <f t="array" ref="P29">SMALL(IF(COUNTIFS(Y$4,'Technology MASTER'!$I$3:$I$107),MATCH(ROW('Technology MASTER'!B29:B133),ROW('Technology MASTER'!B29:B133)),""),ROWS($A$1:A27))</f>
        <v>#NUM!</v>
      </c>
      <c r="Q29" s="68" t="e">
        <f t="array" ref="Q29">INDEX('Technology MASTER'!$B$3:$B$107,SMALL(IF(COUNTIFS(Y$4,'Technology MASTER'!$I$3:$I$107),MATCH(ROW('Technology MASTER'!B29:B133),ROW('Technology MASTER'!B29:B133)),""),ROWS($A$1:A27)))</f>
        <v>#NUM!</v>
      </c>
      <c r="V29" s="113" t="str">
        <f t="array" ref="V29">_xlfn.TEXTJOIN("",TRUE,IF(ISNUMBER(S29:U29),S29:U29,""))</f>
        <v/>
      </c>
    </row>
    <row r="30" spans="1:22">
      <c r="A30" s="68">
        <f>COUNTIFS(Y$4,'Technology MASTER'!$G$3:$G$107)</f>
        <v>0</v>
      </c>
      <c r="B30" s="68">
        <v>28</v>
      </c>
      <c r="C30" s="68" t="str">
        <v/>
      </c>
      <c r="D30" s="68" t="e">
        <f t="array" ref="D30">SMALL(IF(COUNTIFS(Y$4,'Technology MASTER'!$G$3:$G$107),MATCH(ROW('Technology MASTER'!B30:B134),ROW('Technology MASTER'!B30:B134)),""),ROWS($A$1:A28))</f>
        <v>#NUM!</v>
      </c>
      <c r="E30" s="68" t="e">
        <f t="array" ref="E30">INDEX('Technology MASTER'!$B$3:$B$107,SMALL(IF(COUNTIFS(Y$4,'Technology MASTER'!$G$3:$G$107),MATCH(ROW('Technology MASTER'!B30:B134),ROW('Technology MASTER'!B30:B134)),""),ROWS($A$1:A28)))</f>
        <v>#NUM!</v>
      </c>
      <c r="G30" s="68">
        <f>COUNTIFS(Y$4,'Technology MASTER'!$H$3:$H$107)</f>
        <v>0</v>
      </c>
      <c r="H30" s="68">
        <v>28</v>
      </c>
      <c r="I30" s="68" t="str">
        <v/>
      </c>
      <c r="J30" s="68" t="e">
        <f t="array" ref="J30">SMALL(IF(COUNTIFS(Y$4,'Technology MASTER'!$H$3:$H$107),MATCH(ROW('Technology MASTER'!B30:B134),ROW('Technology MASTER'!B30:B134)),""),ROWS($A$1:A28))</f>
        <v>#NUM!</v>
      </c>
      <c r="K30" s="68" t="e">
        <f t="array" ref="K30">INDEX('Technology MASTER'!$B$3:$B$107,SMALL(IF(COUNTIFS(Y$4,'Technology MASTER'!$H$3:$H$107),MATCH(ROW('Technology MASTER'!B30:B134),ROW('Technology MASTER'!B30:B134)),""),ROWS($A$1:A28)))</f>
        <v>#NUM!</v>
      </c>
      <c r="M30" s="68">
        <f>COUNTIFS(Y$4,'Technology MASTER'!$I$3:$I$107)</f>
        <v>0</v>
      </c>
      <c r="N30" s="68">
        <v>28</v>
      </c>
      <c r="O30" s="68" t="str">
        <v/>
      </c>
      <c r="P30" s="68" t="e">
        <f t="array" ref="P30">SMALL(IF(COUNTIFS(Y$4,'Technology MASTER'!$I$3:$I$107),MATCH(ROW('Technology MASTER'!B30:B134),ROW('Technology MASTER'!B30:B134)),""),ROWS($A$1:A28))</f>
        <v>#NUM!</v>
      </c>
      <c r="Q30" s="68" t="e">
        <f t="array" ref="Q30">INDEX('Technology MASTER'!$B$3:$B$107,SMALL(IF(COUNTIFS(Y$4,'Technology MASTER'!$I$3:$I$107),MATCH(ROW('Technology MASTER'!B30:B134),ROW('Technology MASTER'!B30:B134)),""),ROWS($A$1:A28)))</f>
        <v>#NUM!</v>
      </c>
      <c r="V30" s="113" t="str">
        <f t="array" ref="V30">_xlfn.TEXTJOIN("",TRUE,IF(ISNUMBER(S30:U30),S30:U30,""))</f>
        <v/>
      </c>
    </row>
    <row r="31" spans="1:22">
      <c r="A31" s="68">
        <f>COUNTIFS(Y$4,'Technology MASTER'!$G$3:$G$107)</f>
        <v>0</v>
      </c>
      <c r="B31" s="68">
        <v>29</v>
      </c>
      <c r="C31" s="68" t="str">
        <v/>
      </c>
      <c r="D31" s="68" t="e">
        <f t="array" ref="D31">SMALL(IF(COUNTIFS(Y$4,'Technology MASTER'!$G$3:$G$107),MATCH(ROW('Technology MASTER'!B31:B135),ROW('Technology MASTER'!B31:B135)),""),ROWS($A$1:A29))</f>
        <v>#NUM!</v>
      </c>
      <c r="E31" s="68" t="e">
        <f t="array" ref="E31">INDEX('Technology MASTER'!$B$3:$B$107,SMALL(IF(COUNTIFS(Y$4,'Technology MASTER'!$G$3:$G$107),MATCH(ROW('Technology MASTER'!B31:B135),ROW('Technology MASTER'!B31:B135)),""),ROWS($A$1:A29)))</f>
        <v>#NUM!</v>
      </c>
      <c r="G31" s="68">
        <f>COUNTIFS(Y$4,'Technology MASTER'!$H$3:$H$107)</f>
        <v>0</v>
      </c>
      <c r="H31" s="68">
        <v>29</v>
      </c>
      <c r="I31" s="68" t="str">
        <v/>
      </c>
      <c r="J31" s="68" t="e">
        <f t="array" ref="J31">SMALL(IF(COUNTIFS(Y$4,'Technology MASTER'!$H$3:$H$107),MATCH(ROW('Technology MASTER'!B31:B135),ROW('Technology MASTER'!B31:B135)),""),ROWS($A$1:A29))</f>
        <v>#NUM!</v>
      </c>
      <c r="K31" s="68" t="e">
        <f t="array" ref="K31">INDEX('Technology MASTER'!$B$3:$B$107,SMALL(IF(COUNTIFS(Y$4,'Technology MASTER'!$H$3:$H$107),MATCH(ROW('Technology MASTER'!B31:B135),ROW('Technology MASTER'!B31:B135)),""),ROWS($A$1:A29)))</f>
        <v>#NUM!</v>
      </c>
      <c r="M31" s="68">
        <f>COUNTIFS(Y$4,'Technology MASTER'!$I$3:$I$107)</f>
        <v>0</v>
      </c>
      <c r="N31" s="68">
        <v>29</v>
      </c>
      <c r="O31" s="68" t="str">
        <v/>
      </c>
      <c r="P31" s="68" t="e">
        <f t="array" ref="P31">SMALL(IF(COUNTIFS(Y$4,'Technology MASTER'!$I$3:$I$107),MATCH(ROW('Technology MASTER'!B31:B135),ROW('Technology MASTER'!B31:B135)),""),ROWS($A$1:A29))</f>
        <v>#NUM!</v>
      </c>
      <c r="Q31" s="68" t="e">
        <f t="array" ref="Q31">INDEX('Technology MASTER'!$B$3:$B$107,SMALL(IF(COUNTIFS(Y$4,'Technology MASTER'!$I$3:$I$107),MATCH(ROW('Technology MASTER'!B31:B135),ROW('Technology MASTER'!B31:B135)),""),ROWS($A$1:A29)))</f>
        <v>#NUM!</v>
      </c>
      <c r="V31" s="113" t="str">
        <f t="array" ref="V31">_xlfn.TEXTJOIN("",TRUE,IF(ISNUMBER(S31:U31),S31:U31,""))</f>
        <v/>
      </c>
    </row>
    <row r="32" spans="1:22">
      <c r="A32" s="68">
        <f>COUNTIFS(Y$4,'Technology MASTER'!$G$3:$G$107)</f>
        <v>0</v>
      </c>
      <c r="B32" s="68">
        <v>30</v>
      </c>
      <c r="C32" s="68" t="str">
        <v/>
      </c>
      <c r="D32" s="68" t="e">
        <f t="array" ref="D32">SMALL(IF(COUNTIFS(Y$4,'Technology MASTER'!$G$3:$G$107),MATCH(ROW('Technology MASTER'!B32:B136),ROW('Technology MASTER'!B32:B136)),""),ROWS($A$1:A30))</f>
        <v>#NUM!</v>
      </c>
      <c r="E32" s="68" t="e">
        <f t="array" ref="E32">INDEX('Technology MASTER'!$B$3:$B$107,SMALL(IF(COUNTIFS(Y$4,'Technology MASTER'!$G$3:$G$107),MATCH(ROW('Technology MASTER'!B32:B136),ROW('Technology MASTER'!B32:B136)),""),ROWS($A$1:A30)))</f>
        <v>#NUM!</v>
      </c>
      <c r="G32" s="68">
        <f>COUNTIFS(Y$4,'Technology MASTER'!$H$3:$H$107)</f>
        <v>0</v>
      </c>
      <c r="H32" s="68">
        <v>30</v>
      </c>
      <c r="I32" s="68" t="str">
        <v/>
      </c>
      <c r="J32" s="68" t="e">
        <f t="array" ref="J32">SMALL(IF(COUNTIFS(Y$4,'Technology MASTER'!$H$3:$H$107),MATCH(ROW('Technology MASTER'!B32:B136),ROW('Technology MASTER'!B32:B136)),""),ROWS($A$1:A30))</f>
        <v>#NUM!</v>
      </c>
      <c r="K32" s="68" t="e">
        <f t="array" ref="K32">INDEX('Technology MASTER'!$B$3:$B$107,SMALL(IF(COUNTIFS(Y$4,'Technology MASTER'!$H$3:$H$107),MATCH(ROW('Technology MASTER'!B32:B136),ROW('Technology MASTER'!B32:B136)),""),ROWS($A$1:A30)))</f>
        <v>#NUM!</v>
      </c>
      <c r="M32" s="68">
        <f>COUNTIFS(Y$4,'Technology MASTER'!$I$3:$I$107)</f>
        <v>0</v>
      </c>
      <c r="N32" s="68">
        <v>30</v>
      </c>
      <c r="O32" s="68" t="str">
        <v/>
      </c>
      <c r="P32" s="68" t="e">
        <f t="array" ref="P32">SMALL(IF(COUNTIFS(Y$4,'Technology MASTER'!$I$3:$I$107),MATCH(ROW('Technology MASTER'!B32:B136),ROW('Technology MASTER'!B32:B136)),""),ROWS($A$1:A30))</f>
        <v>#NUM!</v>
      </c>
      <c r="Q32" s="68" t="e">
        <f t="array" ref="Q32">INDEX('Technology MASTER'!$B$3:$B$107,SMALL(IF(COUNTIFS(Y$4,'Technology MASTER'!$I$3:$I$107),MATCH(ROW('Technology MASTER'!B32:B136),ROW('Technology MASTER'!B32:B136)),""),ROWS($A$1:A30)))</f>
        <v>#NUM!</v>
      </c>
    </row>
    <row r="33" spans="1:17">
      <c r="A33" s="68">
        <f>COUNTIFS(Y$4,'Technology MASTER'!$G$3:$G$107)</f>
        <v>0</v>
      </c>
      <c r="B33" s="68">
        <v>31</v>
      </c>
      <c r="C33" s="68" t="str">
        <v/>
      </c>
      <c r="D33" s="68" t="e">
        <f t="array" ref="D33">SMALL(IF(COUNTIFS(Y$4,'Technology MASTER'!$G$3:$G$107),MATCH(ROW('Technology MASTER'!B33:B137),ROW('Technology MASTER'!B33:B137)),""),ROWS($A$1:A31))</f>
        <v>#NUM!</v>
      </c>
      <c r="E33" s="68" t="e">
        <f t="array" ref="E33">INDEX('Technology MASTER'!$B$3:$B$107,SMALL(IF(COUNTIFS(Y$4,'Technology MASTER'!$G$3:$G$107),MATCH(ROW('Technology MASTER'!B33:B137),ROW('Technology MASTER'!B33:B137)),""),ROWS($A$1:A31)))</f>
        <v>#NUM!</v>
      </c>
      <c r="G33" s="68">
        <f>COUNTIFS(Y$4,'Technology MASTER'!$H$3:$H$107)</f>
        <v>0</v>
      </c>
      <c r="H33" s="68">
        <v>31</v>
      </c>
      <c r="I33" s="68" t="str">
        <v/>
      </c>
      <c r="J33" s="68" t="e">
        <f t="array" ref="J33">SMALL(IF(COUNTIFS(Y$4,'Technology MASTER'!$H$3:$H$107),MATCH(ROW('Technology MASTER'!B33:B137),ROW('Technology MASTER'!B33:B137)),""),ROWS($A$1:A31))</f>
        <v>#NUM!</v>
      </c>
      <c r="K33" s="68" t="e">
        <f t="array" ref="K33">INDEX('Technology MASTER'!$B$3:$B$107,SMALL(IF(COUNTIFS(Y$4,'Technology MASTER'!$H$3:$H$107),MATCH(ROW('Technology MASTER'!B33:B137),ROW('Technology MASTER'!B33:B137)),""),ROWS($A$1:A31)))</f>
        <v>#NUM!</v>
      </c>
      <c r="M33" s="68">
        <f>COUNTIFS(Y$4,'Technology MASTER'!$I$3:$I$107)</f>
        <v>0</v>
      </c>
      <c r="N33" s="68">
        <v>31</v>
      </c>
      <c r="O33" s="68" t="str">
        <v/>
      </c>
      <c r="P33" s="68" t="e">
        <f t="array" ref="P33">SMALL(IF(COUNTIFS(Y$4,'Technology MASTER'!$I$3:$I$107),MATCH(ROW('Technology MASTER'!B33:B137),ROW('Technology MASTER'!B33:B137)),""),ROWS($A$1:A31))</f>
        <v>#NUM!</v>
      </c>
      <c r="Q33" s="68" t="e">
        <f t="array" ref="Q33">INDEX('Technology MASTER'!$B$3:$B$107,SMALL(IF(COUNTIFS(Y$4,'Technology MASTER'!$I$3:$I$107),MATCH(ROW('Technology MASTER'!B33:B137),ROW('Technology MASTER'!B33:B137)),""),ROWS($A$1:A31)))</f>
        <v>#NUM!</v>
      </c>
    </row>
    <row r="34" spans="1:17">
      <c r="A34" s="68">
        <f>COUNTIFS(Y$4,'Technology MASTER'!$G$3:$G$107)</f>
        <v>0</v>
      </c>
      <c r="B34" s="68">
        <v>32</v>
      </c>
      <c r="C34" s="68" t="str">
        <v/>
      </c>
      <c r="D34" s="68" t="e">
        <f t="array" ref="D34">SMALL(IF(COUNTIFS(Y$4,'Technology MASTER'!$G$3:$G$107),MATCH(ROW('Technology MASTER'!B34:B138),ROW('Technology MASTER'!B34:B138)),""),ROWS($A$1:A32))</f>
        <v>#NUM!</v>
      </c>
      <c r="E34" s="68" t="e">
        <f t="array" ref="E34">INDEX('Technology MASTER'!$B$3:$B$107,SMALL(IF(COUNTIFS(Y$4,'Technology MASTER'!$G$3:$G$107),MATCH(ROW('Technology MASTER'!B34:B138),ROW('Technology MASTER'!B34:B138)),""),ROWS($A$1:A32)))</f>
        <v>#NUM!</v>
      </c>
      <c r="G34" s="68">
        <f>COUNTIFS(Y$4,'Technology MASTER'!$H$3:$H$107)</f>
        <v>0</v>
      </c>
      <c r="H34" s="68">
        <v>32</v>
      </c>
      <c r="I34" s="68" t="str">
        <v/>
      </c>
      <c r="J34" s="68" t="e">
        <f t="array" ref="J34">SMALL(IF(COUNTIFS(Y$4,'Technology MASTER'!$H$3:$H$107),MATCH(ROW('Technology MASTER'!B34:B138),ROW('Technology MASTER'!B34:B138)),""),ROWS($A$1:A32))</f>
        <v>#NUM!</v>
      </c>
      <c r="K34" s="68" t="e">
        <f t="array" ref="K34">INDEX('Technology MASTER'!$B$3:$B$107,SMALL(IF(COUNTIFS(Y$4,'Technology MASTER'!$H$3:$H$107),MATCH(ROW('Technology MASTER'!B34:B138),ROW('Technology MASTER'!B34:B138)),""),ROWS($A$1:A32)))</f>
        <v>#NUM!</v>
      </c>
      <c r="M34" s="68">
        <f>COUNTIFS(Y$4,'Technology MASTER'!$I$3:$I$107)</f>
        <v>0</v>
      </c>
      <c r="N34" s="68">
        <v>32</v>
      </c>
      <c r="O34" s="68" t="str">
        <v/>
      </c>
      <c r="P34" s="68" t="e">
        <f t="array" ref="P34">SMALL(IF(COUNTIFS(Y$4,'Technology MASTER'!$I$3:$I$107),MATCH(ROW('Technology MASTER'!B34:B138),ROW('Technology MASTER'!B34:B138)),""),ROWS($A$1:A32))</f>
        <v>#NUM!</v>
      </c>
      <c r="Q34" s="68" t="e">
        <f t="array" ref="Q34">INDEX('Technology MASTER'!$B$3:$B$107,SMALL(IF(COUNTIFS(Y$4,'Technology MASTER'!$I$3:$I$107),MATCH(ROW('Technology MASTER'!B34:B138),ROW('Technology MASTER'!B34:B138)),""),ROWS($A$1:A32)))</f>
        <v>#NUM!</v>
      </c>
    </row>
    <row r="35" spans="1:17">
      <c r="A35" s="68">
        <f>COUNTIFS(Y$4,'Technology MASTER'!$G$3:$G$107)</f>
        <v>0</v>
      </c>
      <c r="B35" s="68">
        <v>33</v>
      </c>
      <c r="C35" s="68" t="str">
        <v/>
      </c>
      <c r="D35" s="68" t="e">
        <f t="array" ref="D35">SMALL(IF(COUNTIFS(Y$4,'Technology MASTER'!$G$3:$G$107),MATCH(ROW('Technology MASTER'!B35:B139),ROW('Technology MASTER'!B35:B139)),""),ROWS($A$1:A33))</f>
        <v>#NUM!</v>
      </c>
      <c r="E35" s="68" t="e">
        <f t="array" ref="E35">INDEX('Technology MASTER'!$B$3:$B$107,SMALL(IF(COUNTIFS(Y$4,'Technology MASTER'!$G$3:$G$107),MATCH(ROW('Technology MASTER'!B35:B139),ROW('Technology MASTER'!B35:B139)),""),ROWS($A$1:A33)))</f>
        <v>#NUM!</v>
      </c>
      <c r="G35" s="68">
        <f>COUNTIFS(Y$4,'Technology MASTER'!$H$3:$H$107)</f>
        <v>0</v>
      </c>
      <c r="H35" s="68">
        <v>33</v>
      </c>
      <c r="I35" s="68" t="str">
        <v/>
      </c>
      <c r="J35" s="68" t="e">
        <f t="array" ref="J35">SMALL(IF(COUNTIFS(Y$4,'Technology MASTER'!$H$3:$H$107),MATCH(ROW('Technology MASTER'!B35:B139),ROW('Technology MASTER'!B35:B139)),""),ROWS($A$1:A33))</f>
        <v>#NUM!</v>
      </c>
      <c r="K35" s="68" t="e">
        <f t="array" ref="K35">INDEX('Technology MASTER'!$B$3:$B$107,SMALL(IF(COUNTIFS(Y$4,'Technology MASTER'!$H$3:$H$107),MATCH(ROW('Technology MASTER'!B35:B139),ROW('Technology MASTER'!B35:B139)),""),ROWS($A$1:A33)))</f>
        <v>#NUM!</v>
      </c>
      <c r="M35" s="68">
        <f>COUNTIFS(Y$4,'Technology MASTER'!$I$3:$I$107)</f>
        <v>0</v>
      </c>
      <c r="N35" s="68">
        <v>33</v>
      </c>
      <c r="O35" s="68" t="str">
        <v/>
      </c>
      <c r="P35" s="68" t="e">
        <f t="array" ref="P35">SMALL(IF(COUNTIFS(Y$4,'Technology MASTER'!$I$3:$I$107),MATCH(ROW('Technology MASTER'!B35:B139),ROW('Technology MASTER'!B35:B139)),""),ROWS($A$1:A33))</f>
        <v>#NUM!</v>
      </c>
      <c r="Q35" s="68" t="e">
        <f t="array" ref="Q35">INDEX('Technology MASTER'!$B$3:$B$107,SMALL(IF(COUNTIFS(Y$4,'Technology MASTER'!$I$3:$I$107),MATCH(ROW('Technology MASTER'!B35:B139),ROW('Technology MASTER'!B35:B139)),""),ROWS($A$1:A33)))</f>
        <v>#NUM!</v>
      </c>
    </row>
    <row r="36" spans="1:17">
      <c r="A36" s="68">
        <f>COUNTIFS(Y$4,'Technology MASTER'!$G$3:$G$107)</f>
        <v>0</v>
      </c>
      <c r="B36" s="68">
        <v>34</v>
      </c>
      <c r="C36" s="68" t="str">
        <v/>
      </c>
      <c r="D36" s="68" t="e">
        <f t="array" ref="D36">SMALL(IF(COUNTIFS(Y$4,'Technology MASTER'!$G$3:$G$107),MATCH(ROW('Technology MASTER'!B36:B140),ROW('Technology MASTER'!B36:B140)),""),ROWS($A$1:A34))</f>
        <v>#NUM!</v>
      </c>
      <c r="E36" s="68" t="e">
        <f t="array" ref="E36">INDEX('Technology MASTER'!$B$3:$B$107,SMALL(IF(COUNTIFS(Y$4,'Technology MASTER'!$G$3:$G$107),MATCH(ROW('Technology MASTER'!B36:B140),ROW('Technology MASTER'!B36:B140)),""),ROWS($A$1:A34)))</f>
        <v>#NUM!</v>
      </c>
      <c r="G36" s="68">
        <f>COUNTIFS(Y$4,'Technology MASTER'!$H$3:$H$107)</f>
        <v>0</v>
      </c>
      <c r="H36" s="68">
        <v>34</v>
      </c>
      <c r="I36" s="68" t="str">
        <v/>
      </c>
      <c r="J36" s="68" t="e">
        <f t="array" ref="J36">SMALL(IF(COUNTIFS(Y$4,'Technology MASTER'!$H$3:$H$107),MATCH(ROW('Technology MASTER'!B36:B140),ROW('Technology MASTER'!B36:B140)),""),ROWS($A$1:A34))</f>
        <v>#NUM!</v>
      </c>
      <c r="K36" s="68" t="e">
        <f t="array" ref="K36">INDEX('Technology MASTER'!$B$3:$B$107,SMALL(IF(COUNTIFS(Y$4,'Technology MASTER'!$H$3:$H$107),MATCH(ROW('Technology MASTER'!B36:B140),ROW('Technology MASTER'!B36:B140)),""),ROWS($A$1:A34)))</f>
        <v>#NUM!</v>
      </c>
      <c r="M36" s="68">
        <f>COUNTIFS(Y$4,'Technology MASTER'!$I$3:$I$107)</f>
        <v>0</v>
      </c>
      <c r="N36" s="68">
        <v>34</v>
      </c>
      <c r="O36" s="68" t="str">
        <v/>
      </c>
      <c r="P36" s="68" t="e">
        <f t="array" ref="P36">SMALL(IF(COUNTIFS(Y$4,'Technology MASTER'!$I$3:$I$107),MATCH(ROW('Technology MASTER'!B36:B140),ROW('Technology MASTER'!B36:B140)),""),ROWS($A$1:A34))</f>
        <v>#NUM!</v>
      </c>
      <c r="Q36" s="68" t="e">
        <f t="array" ref="Q36">INDEX('Technology MASTER'!$B$3:$B$107,SMALL(IF(COUNTIFS(Y$4,'Technology MASTER'!$I$3:$I$107),MATCH(ROW('Technology MASTER'!B36:B140),ROW('Technology MASTER'!B36:B140)),""),ROWS($A$1:A34)))</f>
        <v>#NUM!</v>
      </c>
    </row>
    <row r="37" spans="1:17">
      <c r="A37" s="68">
        <f>COUNTIFS(Y$4,'Technology MASTER'!$G$3:$G$107)</f>
        <v>0</v>
      </c>
      <c r="B37" s="68">
        <v>35</v>
      </c>
      <c r="C37" s="68" t="str">
        <v/>
      </c>
      <c r="D37" s="68" t="e">
        <f t="array" ref="D37">SMALL(IF(COUNTIFS(Y$4,'Technology MASTER'!$G$3:$G$107),MATCH(ROW('Technology MASTER'!B37:B141),ROW('Technology MASTER'!B37:B141)),""),ROWS($A$1:A35))</f>
        <v>#NUM!</v>
      </c>
      <c r="E37" s="68" t="e">
        <f t="array" ref="E37">INDEX('Technology MASTER'!$B$3:$B$107,SMALL(IF(COUNTIFS(Y$4,'Technology MASTER'!$G$3:$G$107),MATCH(ROW('Technology MASTER'!B37:B141),ROW('Technology MASTER'!B37:B141)),""),ROWS($A$1:A35)))</f>
        <v>#NUM!</v>
      </c>
      <c r="G37" s="68">
        <f>COUNTIFS(Y$4,'Technology MASTER'!$H$3:$H$107)</f>
        <v>0</v>
      </c>
      <c r="H37" s="68">
        <v>35</v>
      </c>
      <c r="I37" s="68" t="str">
        <v/>
      </c>
      <c r="J37" s="68" t="e">
        <f t="array" ref="J37">SMALL(IF(COUNTIFS(Y$4,'Technology MASTER'!$H$3:$H$107),MATCH(ROW('Technology MASTER'!B37:B141),ROW('Technology MASTER'!B37:B141)),""),ROWS($A$1:A35))</f>
        <v>#NUM!</v>
      </c>
      <c r="K37" s="68" t="e">
        <f t="array" ref="K37">INDEX('Technology MASTER'!$B$3:$B$107,SMALL(IF(COUNTIFS(Y$4,'Technology MASTER'!$H$3:$H$107),MATCH(ROW('Technology MASTER'!B37:B141),ROW('Technology MASTER'!B37:B141)),""),ROWS($A$1:A35)))</f>
        <v>#NUM!</v>
      </c>
      <c r="M37" s="68">
        <f>COUNTIFS(Y$4,'Technology MASTER'!$I$3:$I$107)</f>
        <v>0</v>
      </c>
      <c r="N37" s="68">
        <v>35</v>
      </c>
      <c r="O37" s="68" t="str">
        <v/>
      </c>
      <c r="P37" s="68" t="e">
        <f t="array" ref="P37">SMALL(IF(COUNTIFS(Y$4,'Technology MASTER'!$I$3:$I$107),MATCH(ROW('Technology MASTER'!B37:B141),ROW('Technology MASTER'!B37:B141)),""),ROWS($A$1:A35))</f>
        <v>#NUM!</v>
      </c>
      <c r="Q37" s="68" t="e">
        <f t="array" ref="Q37">INDEX('Technology MASTER'!$B$3:$B$107,SMALL(IF(COUNTIFS(Y$4,'Technology MASTER'!$I$3:$I$107),MATCH(ROW('Technology MASTER'!B37:B141),ROW('Technology MASTER'!B37:B141)),""),ROWS($A$1:A35)))</f>
        <v>#NUM!</v>
      </c>
    </row>
    <row r="38" spans="1:17">
      <c r="A38" s="68">
        <f>COUNTIFS(Y$4,'Technology MASTER'!$G$3:$G$107)</f>
        <v>0</v>
      </c>
      <c r="B38" s="68">
        <v>36</v>
      </c>
      <c r="C38" s="68" t="str">
        <v/>
      </c>
      <c r="D38" s="68" t="e">
        <f t="array" ref="D38">SMALL(IF(COUNTIFS(Y$4,'Technology MASTER'!$G$3:$G$107),MATCH(ROW('Technology MASTER'!B38:B142),ROW('Technology MASTER'!B38:B142)),""),ROWS($A$1:A36))</f>
        <v>#NUM!</v>
      </c>
      <c r="E38" s="68" t="e">
        <f t="array" ref="E38">INDEX('Technology MASTER'!$B$3:$B$107,SMALL(IF(COUNTIFS(Y$4,'Technology MASTER'!$G$3:$G$107),MATCH(ROW('Technology MASTER'!B38:B142),ROW('Technology MASTER'!B38:B142)),""),ROWS($A$1:A36)))</f>
        <v>#NUM!</v>
      </c>
      <c r="G38" s="68">
        <f>COUNTIFS(Y$4,'Technology MASTER'!$H$3:$H$107)</f>
        <v>0</v>
      </c>
      <c r="H38" s="68">
        <v>36</v>
      </c>
      <c r="I38" s="68" t="str">
        <v/>
      </c>
      <c r="J38" s="68" t="e">
        <f t="array" ref="J38">SMALL(IF(COUNTIFS(Y$4,'Technology MASTER'!$H$3:$H$107),MATCH(ROW('Technology MASTER'!B38:B142),ROW('Technology MASTER'!B38:B142)),""),ROWS($A$1:A36))</f>
        <v>#NUM!</v>
      </c>
      <c r="K38" s="68" t="e">
        <f t="array" ref="K38">INDEX('Technology MASTER'!$B$3:$B$107,SMALL(IF(COUNTIFS(Y$4,'Technology MASTER'!$H$3:$H$107),MATCH(ROW('Technology MASTER'!B38:B142),ROW('Technology MASTER'!B38:B142)),""),ROWS($A$1:A36)))</f>
        <v>#NUM!</v>
      </c>
      <c r="M38" s="68">
        <f>COUNTIFS(Y$4,'Technology MASTER'!$I$3:$I$107)</f>
        <v>0</v>
      </c>
      <c r="N38" s="68">
        <v>36</v>
      </c>
      <c r="O38" s="68" t="str">
        <v/>
      </c>
      <c r="P38" s="68" t="e">
        <f t="array" ref="P38">SMALL(IF(COUNTIFS(Y$4,'Technology MASTER'!$I$3:$I$107),MATCH(ROW('Technology MASTER'!B38:B142),ROW('Technology MASTER'!B38:B142)),""),ROWS($A$1:A36))</f>
        <v>#NUM!</v>
      </c>
      <c r="Q38" s="68" t="e">
        <f t="array" ref="Q38">INDEX('Technology MASTER'!$B$3:$B$107,SMALL(IF(COUNTIFS(Y$4,'Technology MASTER'!$I$3:$I$107),MATCH(ROW('Technology MASTER'!B38:B142),ROW('Technology MASTER'!B38:B142)),""),ROWS($A$1:A36)))</f>
        <v>#NUM!</v>
      </c>
    </row>
    <row r="39" spans="1:17">
      <c r="A39" s="68">
        <f>COUNTIFS(Y$4,'Technology MASTER'!$G$3:$G$107)</f>
        <v>0</v>
      </c>
      <c r="B39" s="68">
        <v>37</v>
      </c>
      <c r="C39" s="68" t="str">
        <v/>
      </c>
      <c r="D39" s="68" t="e">
        <f t="array" ref="D39">SMALL(IF(COUNTIFS(Y$4,'Technology MASTER'!$G$3:$G$107),MATCH(ROW('Technology MASTER'!B39:B143),ROW('Technology MASTER'!B39:B143)),""),ROWS($A$1:A37))</f>
        <v>#NUM!</v>
      </c>
      <c r="E39" s="68" t="e">
        <f t="array" ref="E39">INDEX('Technology MASTER'!$B$3:$B$107,SMALL(IF(COUNTIFS(Y$4,'Technology MASTER'!$G$3:$G$107),MATCH(ROW('Technology MASTER'!B39:B143),ROW('Technology MASTER'!B39:B143)),""),ROWS($A$1:A37)))</f>
        <v>#NUM!</v>
      </c>
      <c r="G39" s="68">
        <f>COUNTIFS(Y$4,'Technology MASTER'!$H$3:$H$107)</f>
        <v>0</v>
      </c>
      <c r="H39" s="68">
        <v>37</v>
      </c>
      <c r="I39" s="68" t="str">
        <v/>
      </c>
      <c r="J39" s="68" t="e">
        <f t="array" ref="J39">SMALL(IF(COUNTIFS(Y$4,'Technology MASTER'!$H$3:$H$107),MATCH(ROW('Technology MASTER'!B39:B143),ROW('Technology MASTER'!B39:B143)),""),ROWS($A$1:A37))</f>
        <v>#NUM!</v>
      </c>
      <c r="K39" s="68" t="e">
        <f t="array" ref="K39">INDEX('Technology MASTER'!$B$3:$B$107,SMALL(IF(COUNTIFS(Y$4,'Technology MASTER'!$H$3:$H$107),MATCH(ROW('Technology MASTER'!B39:B143),ROW('Technology MASTER'!B39:B143)),""),ROWS($A$1:A37)))</f>
        <v>#NUM!</v>
      </c>
      <c r="M39" s="68">
        <f>COUNTIFS(Y$4,'Technology MASTER'!$I$3:$I$107)</f>
        <v>0</v>
      </c>
      <c r="N39" s="68">
        <v>37</v>
      </c>
      <c r="O39" s="68" t="str">
        <v/>
      </c>
      <c r="P39" s="68" t="e">
        <f t="array" ref="P39">SMALL(IF(COUNTIFS(Y$4,'Technology MASTER'!$I$3:$I$107),MATCH(ROW('Technology MASTER'!B39:B143),ROW('Technology MASTER'!B39:B143)),""),ROWS($A$1:A37))</f>
        <v>#NUM!</v>
      </c>
      <c r="Q39" s="68" t="e">
        <f t="array" ref="Q39">INDEX('Technology MASTER'!$B$3:$B$107,SMALL(IF(COUNTIFS(Y$4,'Technology MASTER'!$I$3:$I$107),MATCH(ROW('Technology MASTER'!B39:B143),ROW('Technology MASTER'!B39:B143)),""),ROWS($A$1:A37)))</f>
        <v>#NUM!</v>
      </c>
    </row>
    <row r="40" spans="1:17">
      <c r="A40" s="68">
        <f>COUNTIFS(Y$4,'Technology MASTER'!$G$3:$G$107)</f>
        <v>0</v>
      </c>
      <c r="B40" s="68">
        <v>38</v>
      </c>
      <c r="C40" s="68" t="str">
        <v/>
      </c>
      <c r="D40" s="68" t="e">
        <f t="array" ref="D40">SMALL(IF(COUNTIFS(Y$4,'Technology MASTER'!$G$3:$G$107),MATCH(ROW('Technology MASTER'!B40:B144),ROW('Technology MASTER'!B40:B144)),""),ROWS($A$1:A38))</f>
        <v>#NUM!</v>
      </c>
      <c r="E40" s="68" t="e">
        <f t="array" ref="E40">INDEX('Technology MASTER'!$B$3:$B$107,SMALL(IF(COUNTIFS(Y$4,'Technology MASTER'!$G$3:$G$107),MATCH(ROW('Technology MASTER'!B40:B144),ROW('Technology MASTER'!B40:B144)),""),ROWS($A$1:A38)))</f>
        <v>#NUM!</v>
      </c>
      <c r="G40" s="68">
        <f>COUNTIFS(Y$4,'Technology MASTER'!$H$3:$H$107)</f>
        <v>0</v>
      </c>
      <c r="H40" s="68">
        <v>38</v>
      </c>
      <c r="I40" s="68" t="str">
        <v/>
      </c>
      <c r="J40" s="68" t="e">
        <f t="array" ref="J40">SMALL(IF(COUNTIFS(Y$4,'Technology MASTER'!$H$3:$H$107),MATCH(ROW('Technology MASTER'!B40:B144),ROW('Technology MASTER'!B40:B144)),""),ROWS($A$1:A38))</f>
        <v>#NUM!</v>
      </c>
      <c r="K40" s="68" t="e">
        <f t="array" ref="K40">INDEX('Technology MASTER'!$B$3:$B$107,SMALL(IF(COUNTIFS(Y$4,'Technology MASTER'!$H$3:$H$107),MATCH(ROW('Technology MASTER'!B40:B144),ROW('Technology MASTER'!B40:B144)),""),ROWS($A$1:A38)))</f>
        <v>#NUM!</v>
      </c>
      <c r="M40" s="68">
        <f>COUNTIFS(Y$4,'Technology MASTER'!$I$3:$I$107)</f>
        <v>0</v>
      </c>
      <c r="N40" s="68">
        <v>38</v>
      </c>
      <c r="O40" s="68" t="str">
        <v/>
      </c>
      <c r="P40" s="68" t="e">
        <f t="array" ref="P40">SMALL(IF(COUNTIFS(Y$4,'Technology MASTER'!$I$3:$I$107),MATCH(ROW('Technology MASTER'!B40:B144),ROW('Technology MASTER'!B40:B144)),""),ROWS($A$1:A38))</f>
        <v>#NUM!</v>
      </c>
      <c r="Q40" s="68" t="e">
        <f t="array" ref="Q40">INDEX('Technology MASTER'!$B$3:$B$107,SMALL(IF(COUNTIFS(Y$4,'Technology MASTER'!$I$3:$I$107),MATCH(ROW('Technology MASTER'!B40:B144),ROW('Technology MASTER'!B40:B144)),""),ROWS($A$1:A38)))</f>
        <v>#NUM!</v>
      </c>
    </row>
    <row r="41" spans="1:17">
      <c r="A41" s="68">
        <f>COUNTIFS(Y$4,'Technology MASTER'!$G$3:$G$107)</f>
        <v>0</v>
      </c>
      <c r="B41" s="68">
        <v>39</v>
      </c>
      <c r="C41" s="68" t="str">
        <v/>
      </c>
      <c r="D41" s="68" t="e">
        <f t="array" ref="D41">SMALL(IF(COUNTIFS(Y$4,'Technology MASTER'!$G$3:$G$107),MATCH(ROW('Technology MASTER'!B41:B145),ROW('Technology MASTER'!B41:B145)),""),ROWS($A$1:A39))</f>
        <v>#NUM!</v>
      </c>
      <c r="E41" s="68" t="e">
        <f t="array" ref="E41">INDEX('Technology MASTER'!$B$3:$B$107,SMALL(IF(COUNTIFS(Y$4,'Technology MASTER'!$G$3:$G$107),MATCH(ROW('Technology MASTER'!B41:B145),ROW('Technology MASTER'!B41:B145)),""),ROWS($A$1:A39)))</f>
        <v>#NUM!</v>
      </c>
      <c r="G41" s="68">
        <f>COUNTIFS(Y$4,'Technology MASTER'!$H$3:$H$107)</f>
        <v>0</v>
      </c>
      <c r="H41" s="68">
        <v>39</v>
      </c>
      <c r="I41" s="68" t="str">
        <v/>
      </c>
      <c r="J41" s="68" t="e">
        <f t="array" ref="J41">SMALL(IF(COUNTIFS(Y$4,'Technology MASTER'!$H$3:$H$107),MATCH(ROW('Technology MASTER'!B41:B145),ROW('Technology MASTER'!B41:B145)),""),ROWS($A$1:A39))</f>
        <v>#NUM!</v>
      </c>
      <c r="K41" s="68" t="e">
        <f t="array" ref="K41">INDEX('Technology MASTER'!$B$3:$B$107,SMALL(IF(COUNTIFS(Y$4,'Technology MASTER'!$H$3:$H$107),MATCH(ROW('Technology MASTER'!B41:B145),ROW('Technology MASTER'!B41:B145)),""),ROWS($A$1:A39)))</f>
        <v>#NUM!</v>
      </c>
      <c r="M41" s="68">
        <f>COUNTIFS(Y$4,'Technology MASTER'!$I$3:$I$107)</f>
        <v>0</v>
      </c>
      <c r="N41" s="68">
        <v>39</v>
      </c>
      <c r="O41" s="68" t="str">
        <v/>
      </c>
      <c r="P41" s="68" t="e">
        <f t="array" ref="P41">SMALL(IF(COUNTIFS(Y$4,'Technology MASTER'!$I$3:$I$107),MATCH(ROW('Technology MASTER'!B41:B145),ROW('Technology MASTER'!B41:B145)),""),ROWS($A$1:A39))</f>
        <v>#NUM!</v>
      </c>
      <c r="Q41" s="68" t="e">
        <f t="array" ref="Q41">INDEX('Technology MASTER'!$B$3:$B$107,SMALL(IF(COUNTIFS(Y$4,'Technology MASTER'!$I$3:$I$107),MATCH(ROW('Technology MASTER'!B41:B145),ROW('Technology MASTER'!B41:B145)),""),ROWS($A$1:A39)))</f>
        <v>#NUM!</v>
      </c>
    </row>
    <row r="42" spans="1:17">
      <c r="A42" s="68">
        <f>COUNTIFS(Y$4,'Technology MASTER'!$G$3:$G$107)</f>
        <v>0</v>
      </c>
      <c r="B42" s="68">
        <v>40</v>
      </c>
      <c r="C42" s="68" t="str">
        <v/>
      </c>
      <c r="D42" s="68" t="e">
        <f t="array" ref="D42">SMALL(IF(COUNTIFS(Y$4,'Technology MASTER'!$G$3:$G$107),MATCH(ROW('Technology MASTER'!B42:B146),ROW('Technology MASTER'!B42:B146)),""),ROWS($A$1:A40))</f>
        <v>#NUM!</v>
      </c>
      <c r="E42" s="68" t="e">
        <f t="array" ref="E42">INDEX('Technology MASTER'!$B$3:$B$107,SMALL(IF(COUNTIFS(Y$4,'Technology MASTER'!$G$3:$G$107),MATCH(ROW('Technology MASTER'!B42:B146),ROW('Technology MASTER'!B42:B146)),""),ROWS($A$1:A40)))</f>
        <v>#NUM!</v>
      </c>
      <c r="G42" s="68">
        <f>COUNTIFS(Y$4,'Technology MASTER'!$H$3:$H$107)</f>
        <v>0</v>
      </c>
      <c r="H42" s="68">
        <v>40</v>
      </c>
      <c r="I42" s="68" t="str">
        <v/>
      </c>
      <c r="J42" s="68" t="e">
        <f t="array" ref="J42">SMALL(IF(COUNTIFS(Y$4,'Technology MASTER'!$H$3:$H$107),MATCH(ROW('Technology MASTER'!B42:B146),ROW('Technology MASTER'!B42:B146)),""),ROWS($A$1:A40))</f>
        <v>#NUM!</v>
      </c>
      <c r="K42" s="68" t="e">
        <f t="array" ref="K42">INDEX('Technology MASTER'!$B$3:$B$107,SMALL(IF(COUNTIFS(Y$4,'Technology MASTER'!$H$3:$H$107),MATCH(ROW('Technology MASTER'!B42:B146),ROW('Technology MASTER'!B42:B146)),""),ROWS($A$1:A40)))</f>
        <v>#NUM!</v>
      </c>
      <c r="M42" s="68">
        <f>COUNTIFS(Y$4,'Technology MASTER'!$I$3:$I$107)</f>
        <v>0</v>
      </c>
      <c r="N42" s="68">
        <v>40</v>
      </c>
      <c r="O42" s="68" t="str">
        <v/>
      </c>
      <c r="P42" s="68" t="e">
        <f t="array" ref="P42">SMALL(IF(COUNTIFS(Y$4,'Technology MASTER'!$I$3:$I$107),MATCH(ROW('Technology MASTER'!B42:B146),ROW('Technology MASTER'!B42:B146)),""),ROWS($A$1:A40))</f>
        <v>#NUM!</v>
      </c>
      <c r="Q42" s="68" t="e">
        <f t="array" ref="Q42">INDEX('Technology MASTER'!$B$3:$B$107,SMALL(IF(COUNTIFS(Y$4,'Technology MASTER'!$I$3:$I$107),MATCH(ROW('Technology MASTER'!B42:B146),ROW('Technology MASTER'!B42:B146)),""),ROWS($A$1:A40)))</f>
        <v>#NUM!</v>
      </c>
    </row>
    <row r="43" spans="1:17">
      <c r="A43" s="68">
        <f>COUNTIFS(Y$4,'Technology MASTER'!$G$3:$G$107)</f>
        <v>0</v>
      </c>
      <c r="B43" s="68">
        <v>41</v>
      </c>
      <c r="C43" s="68" t="str">
        <v/>
      </c>
      <c r="D43" s="68" t="e">
        <f t="array" ref="D43">SMALL(IF(COUNTIFS(Y$4,'Technology MASTER'!$G$3:$G$107),MATCH(ROW('Technology MASTER'!B43:B147),ROW('Technology MASTER'!B43:B147)),""),ROWS($A$1:A41))</f>
        <v>#NUM!</v>
      </c>
      <c r="E43" s="68" t="e">
        <f t="array" ref="E43">INDEX('Technology MASTER'!$B$3:$B$107,SMALL(IF(COUNTIFS(Y$4,'Technology MASTER'!$G$3:$G$107),MATCH(ROW('Technology MASTER'!B43:B147),ROW('Technology MASTER'!B43:B147)),""),ROWS($A$1:A41)))</f>
        <v>#NUM!</v>
      </c>
      <c r="G43" s="68">
        <f>COUNTIFS(Y$4,'Technology MASTER'!$H$3:$H$107)</f>
        <v>0</v>
      </c>
      <c r="H43" s="68">
        <v>41</v>
      </c>
      <c r="I43" s="68" t="str">
        <v/>
      </c>
      <c r="J43" s="68" t="e">
        <f t="array" ref="J43">SMALL(IF(COUNTIFS(Y$4,'Technology MASTER'!$H$3:$H$107),MATCH(ROW('Technology MASTER'!B43:B147),ROW('Technology MASTER'!B43:B147)),""),ROWS($A$1:A41))</f>
        <v>#NUM!</v>
      </c>
      <c r="K43" s="68" t="e">
        <f t="array" ref="K43">INDEX('Technology MASTER'!$B$3:$B$107,SMALL(IF(COUNTIFS(Y$4,'Technology MASTER'!$H$3:$H$107),MATCH(ROW('Technology MASTER'!B43:B147),ROW('Technology MASTER'!B43:B147)),""),ROWS($A$1:A41)))</f>
        <v>#NUM!</v>
      </c>
      <c r="M43" s="68">
        <f>COUNTIFS(Y$4,'Technology MASTER'!$I$3:$I$107)</f>
        <v>0</v>
      </c>
      <c r="N43" s="68">
        <v>41</v>
      </c>
      <c r="O43" s="68" t="str">
        <v/>
      </c>
      <c r="P43" s="68" t="e">
        <f t="array" ref="P43">SMALL(IF(COUNTIFS(Y$4,'Technology MASTER'!$I$3:$I$107),MATCH(ROW('Technology MASTER'!B43:B147),ROW('Technology MASTER'!B43:B147)),""),ROWS($A$1:A41))</f>
        <v>#NUM!</v>
      </c>
      <c r="Q43" s="68" t="e">
        <f t="array" ref="Q43">INDEX('Technology MASTER'!$B$3:$B$107,SMALL(IF(COUNTIFS(Y$4,'Technology MASTER'!$I$3:$I$107),MATCH(ROW('Technology MASTER'!B43:B147),ROW('Technology MASTER'!B43:B147)),""),ROWS($A$1:A41)))</f>
        <v>#NUM!</v>
      </c>
    </row>
    <row r="44" spans="1:17">
      <c r="A44" s="68">
        <f>COUNTIFS(Y$4,'Technology MASTER'!$G$3:$G$107)</f>
        <v>0</v>
      </c>
      <c r="B44" s="68">
        <v>42</v>
      </c>
      <c r="C44" s="68" t="str">
        <v/>
      </c>
      <c r="D44" s="68" t="e">
        <f t="array" ref="D44">SMALL(IF(COUNTIFS(Y$4,'Technology MASTER'!$G$3:$G$107),MATCH(ROW('Technology MASTER'!B44:B148),ROW('Technology MASTER'!B44:B148)),""),ROWS($A$1:A42))</f>
        <v>#NUM!</v>
      </c>
      <c r="E44" s="68" t="e">
        <f t="array" ref="E44">INDEX('Technology MASTER'!$B$3:$B$107,SMALL(IF(COUNTIFS(Y$4,'Technology MASTER'!$G$3:$G$107),MATCH(ROW('Technology MASTER'!B44:B148),ROW('Technology MASTER'!B44:B148)),""),ROWS($A$1:A42)))</f>
        <v>#NUM!</v>
      </c>
      <c r="G44" s="68">
        <f>COUNTIFS(Y$4,'Technology MASTER'!$H$3:$H$107)</f>
        <v>0</v>
      </c>
      <c r="H44" s="68">
        <v>42</v>
      </c>
      <c r="I44" s="68" t="str">
        <v/>
      </c>
      <c r="J44" s="68" t="e">
        <f t="array" ref="J44">SMALL(IF(COUNTIFS(Y$4,'Technology MASTER'!$H$3:$H$107),MATCH(ROW('Technology MASTER'!B44:B148),ROW('Technology MASTER'!B44:B148)),""),ROWS($A$1:A42))</f>
        <v>#NUM!</v>
      </c>
      <c r="K44" s="68" t="e">
        <f t="array" ref="K44">INDEX('Technology MASTER'!$B$3:$B$107,SMALL(IF(COUNTIFS(Y$4,'Technology MASTER'!$H$3:$H$107),MATCH(ROW('Technology MASTER'!B44:B148),ROW('Technology MASTER'!B44:B148)),""),ROWS($A$1:A42)))</f>
        <v>#NUM!</v>
      </c>
      <c r="M44" s="68">
        <f>COUNTIFS(Y$4,'Technology MASTER'!$I$3:$I$107)</f>
        <v>0</v>
      </c>
      <c r="N44" s="68">
        <v>42</v>
      </c>
      <c r="O44" s="68" t="str">
        <v/>
      </c>
      <c r="P44" s="68" t="e">
        <f t="array" ref="P44">SMALL(IF(COUNTIFS(Y$4,'Technology MASTER'!$I$3:$I$107),MATCH(ROW('Technology MASTER'!B44:B148),ROW('Technology MASTER'!B44:B148)),""),ROWS($A$1:A42))</f>
        <v>#NUM!</v>
      </c>
      <c r="Q44" s="68" t="e">
        <f t="array" ref="Q44">INDEX('Technology MASTER'!$B$3:$B$107,SMALL(IF(COUNTIFS(Y$4,'Technology MASTER'!$I$3:$I$107),MATCH(ROW('Technology MASTER'!B44:B148),ROW('Technology MASTER'!B44:B148)),""),ROWS($A$1:A42)))</f>
        <v>#NUM!</v>
      </c>
    </row>
    <row r="45" spans="1:17">
      <c r="A45" s="68">
        <f>COUNTIFS(Y$4,'Technology MASTER'!$G$3:$G$107)</f>
        <v>0</v>
      </c>
      <c r="B45" s="68">
        <v>43</v>
      </c>
      <c r="C45" s="68" t="str">
        <v/>
      </c>
      <c r="D45" s="68" t="e">
        <f t="array" ref="D45">SMALL(IF(COUNTIFS(Y$4,'Technology MASTER'!$G$3:$G$107),MATCH(ROW('Technology MASTER'!B45:B149),ROW('Technology MASTER'!B45:B149)),""),ROWS($A$1:A43))</f>
        <v>#NUM!</v>
      </c>
      <c r="E45" s="68" t="e">
        <f t="array" ref="E45">INDEX('Technology MASTER'!$B$3:$B$107,SMALL(IF(COUNTIFS(Y$4,'Technology MASTER'!$G$3:$G$107),MATCH(ROW('Technology MASTER'!B45:B149),ROW('Technology MASTER'!B45:B149)),""),ROWS($A$1:A43)))</f>
        <v>#NUM!</v>
      </c>
      <c r="G45" s="68">
        <f>COUNTIFS(Y$4,'Technology MASTER'!$H$3:$H$107)</f>
        <v>0</v>
      </c>
      <c r="H45" s="68">
        <v>43</v>
      </c>
      <c r="I45" s="68" t="str">
        <v/>
      </c>
      <c r="J45" s="68" t="e">
        <f t="array" ref="J45">SMALL(IF(COUNTIFS(Y$4,'Technology MASTER'!$H$3:$H$107),MATCH(ROW('Technology MASTER'!B45:B149),ROW('Technology MASTER'!B45:B149)),""),ROWS($A$1:A43))</f>
        <v>#NUM!</v>
      </c>
      <c r="K45" s="68" t="e">
        <f t="array" ref="K45">INDEX('Technology MASTER'!$B$3:$B$107,SMALL(IF(COUNTIFS(Y$4,'Technology MASTER'!$H$3:$H$107),MATCH(ROW('Technology MASTER'!B45:B149),ROW('Technology MASTER'!B45:B149)),""),ROWS($A$1:A43)))</f>
        <v>#NUM!</v>
      </c>
      <c r="M45" s="68">
        <f>COUNTIFS(Y$4,'Technology MASTER'!$I$3:$I$107)</f>
        <v>0</v>
      </c>
      <c r="N45" s="68">
        <v>43</v>
      </c>
      <c r="O45" s="68" t="str">
        <v/>
      </c>
      <c r="P45" s="68" t="e">
        <f t="array" ref="P45">SMALL(IF(COUNTIFS(Y$4,'Technology MASTER'!$I$3:$I$107),MATCH(ROW('Technology MASTER'!B45:B149),ROW('Technology MASTER'!B45:B149)),""),ROWS($A$1:A43))</f>
        <v>#NUM!</v>
      </c>
      <c r="Q45" s="68" t="e">
        <f t="array" ref="Q45">INDEX('Technology MASTER'!$B$3:$B$107,SMALL(IF(COUNTIFS(Y$4,'Technology MASTER'!$I$3:$I$107),MATCH(ROW('Technology MASTER'!B45:B149),ROW('Technology MASTER'!B45:B149)),""),ROWS($A$1:A43)))</f>
        <v>#NUM!</v>
      </c>
    </row>
    <row r="46" spans="1:17">
      <c r="A46" s="68">
        <f>COUNTIFS(Y$4,'Technology MASTER'!$G$3:$G$107)</f>
        <v>0</v>
      </c>
      <c r="B46" s="68">
        <v>44</v>
      </c>
      <c r="C46" s="68" t="str">
        <v/>
      </c>
      <c r="D46" s="68" t="e">
        <f t="array" ref="D46">SMALL(IF(COUNTIFS(Y$4,'Technology MASTER'!$G$3:$G$107),MATCH(ROW('Technology MASTER'!B46:B150),ROW('Technology MASTER'!B46:B150)),""),ROWS($A$1:A44))</f>
        <v>#NUM!</v>
      </c>
      <c r="E46" s="68" t="e">
        <f t="array" ref="E46">INDEX('Technology MASTER'!$B$3:$B$107,SMALL(IF(COUNTIFS(Y$4,'Technology MASTER'!$G$3:$G$107),MATCH(ROW('Technology MASTER'!B46:B150),ROW('Technology MASTER'!B46:B150)),""),ROWS($A$1:A44)))</f>
        <v>#NUM!</v>
      </c>
      <c r="G46" s="68">
        <f>COUNTIFS(Y$4,'Technology MASTER'!$H$3:$H$107)</f>
        <v>0</v>
      </c>
      <c r="H46" s="68">
        <v>44</v>
      </c>
      <c r="I46" s="68" t="str">
        <v/>
      </c>
      <c r="J46" s="68" t="e">
        <f t="array" ref="J46">SMALL(IF(COUNTIFS(Y$4,'Technology MASTER'!$H$3:$H$107),MATCH(ROW('Technology MASTER'!B46:B150),ROW('Technology MASTER'!B46:B150)),""),ROWS($A$1:A44))</f>
        <v>#NUM!</v>
      </c>
      <c r="K46" s="68" t="e">
        <f t="array" ref="K46">INDEX('Technology MASTER'!$B$3:$B$107,SMALL(IF(COUNTIFS(Y$4,'Technology MASTER'!$H$3:$H$107),MATCH(ROW('Technology MASTER'!B46:B150),ROW('Technology MASTER'!B46:B150)),""),ROWS($A$1:A44)))</f>
        <v>#NUM!</v>
      </c>
      <c r="M46" s="68">
        <f>COUNTIFS(Y$4,'Technology MASTER'!$I$3:$I$107)</f>
        <v>0</v>
      </c>
      <c r="N46" s="68">
        <v>44</v>
      </c>
      <c r="O46" s="68" t="str">
        <v/>
      </c>
      <c r="P46" s="68" t="e">
        <f t="array" ref="P46">SMALL(IF(COUNTIFS(Y$4,'Technology MASTER'!$I$3:$I$107),MATCH(ROW('Technology MASTER'!B46:B150),ROW('Technology MASTER'!B46:B150)),""),ROWS($A$1:A44))</f>
        <v>#NUM!</v>
      </c>
      <c r="Q46" s="68" t="e">
        <f t="array" ref="Q46">INDEX('Technology MASTER'!$B$3:$B$107,SMALL(IF(COUNTIFS(Y$4,'Technology MASTER'!$I$3:$I$107),MATCH(ROW('Technology MASTER'!B46:B150),ROW('Technology MASTER'!B46:B150)),""),ROWS($A$1:A44)))</f>
        <v>#NUM!</v>
      </c>
    </row>
    <row r="47" spans="1:17">
      <c r="A47" s="68">
        <f>COUNTIFS(Y$4,'Technology MASTER'!$G$3:$G$107)</f>
        <v>0</v>
      </c>
      <c r="B47" s="68">
        <v>45</v>
      </c>
      <c r="C47" s="68" t="str">
        <v/>
      </c>
      <c r="D47" s="68" t="e">
        <f t="array" ref="D47">SMALL(IF(COUNTIFS(Y$4,'Technology MASTER'!$G$3:$G$107),MATCH(ROW('Technology MASTER'!B47:B151),ROW('Technology MASTER'!B47:B151)),""),ROWS($A$1:A45))</f>
        <v>#NUM!</v>
      </c>
      <c r="E47" s="68" t="e">
        <f t="array" ref="E47">INDEX('Technology MASTER'!$B$3:$B$107,SMALL(IF(COUNTIFS(Y$4,'Technology MASTER'!$G$3:$G$107),MATCH(ROW('Technology MASTER'!B47:B151),ROW('Technology MASTER'!B47:B151)),""),ROWS($A$1:A45)))</f>
        <v>#NUM!</v>
      </c>
      <c r="G47" s="68">
        <f>COUNTIFS(Y$4,'Technology MASTER'!$H$3:$H$107)</f>
        <v>0</v>
      </c>
      <c r="H47" s="68">
        <v>45</v>
      </c>
      <c r="I47" s="68" t="str">
        <v/>
      </c>
      <c r="J47" s="68" t="e">
        <f t="array" ref="J47">SMALL(IF(COUNTIFS(Y$4,'Technology MASTER'!$H$3:$H$107),MATCH(ROW('Technology MASTER'!B47:B151),ROW('Technology MASTER'!B47:B151)),""),ROWS($A$1:A45))</f>
        <v>#NUM!</v>
      </c>
      <c r="K47" s="68" t="e">
        <f t="array" ref="K47">INDEX('Technology MASTER'!$B$3:$B$107,SMALL(IF(COUNTIFS(Y$4,'Technology MASTER'!$H$3:$H$107),MATCH(ROW('Technology MASTER'!B47:B151),ROW('Technology MASTER'!B47:B151)),""),ROWS($A$1:A45)))</f>
        <v>#NUM!</v>
      </c>
      <c r="M47" s="68">
        <f>COUNTIFS(Y$4,'Technology MASTER'!$I$3:$I$107)</f>
        <v>0</v>
      </c>
      <c r="N47" s="68">
        <v>45</v>
      </c>
      <c r="O47" s="68" t="str">
        <v/>
      </c>
      <c r="P47" s="68" t="e">
        <f t="array" ref="P47">SMALL(IF(COUNTIFS(Y$4,'Technology MASTER'!$I$3:$I$107),MATCH(ROW('Technology MASTER'!B47:B151),ROW('Technology MASTER'!B47:B151)),""),ROWS($A$1:A45))</f>
        <v>#NUM!</v>
      </c>
      <c r="Q47" s="68" t="e">
        <f t="array" ref="Q47">INDEX('Technology MASTER'!$B$3:$B$107,SMALL(IF(COUNTIFS(Y$4,'Technology MASTER'!$I$3:$I$107),MATCH(ROW('Technology MASTER'!B47:B151),ROW('Technology MASTER'!B47:B151)),""),ROWS($A$1:A45)))</f>
        <v>#NUM!</v>
      </c>
    </row>
    <row r="48" spans="1:17">
      <c r="A48" s="68">
        <f>COUNTIFS(Y$4,'Technology MASTER'!$G$3:$G$107)</f>
        <v>0</v>
      </c>
      <c r="B48" s="68">
        <v>46</v>
      </c>
      <c r="C48" s="68" t="str">
        <v/>
      </c>
      <c r="D48" s="68" t="e">
        <f t="array" ref="D48">SMALL(IF(COUNTIFS(Y$4,'Technology MASTER'!$G$3:$G$107),MATCH(ROW('Technology MASTER'!B48:B152),ROW('Technology MASTER'!B48:B152)),""),ROWS($A$1:A46))</f>
        <v>#NUM!</v>
      </c>
      <c r="E48" s="68" t="e">
        <f t="array" ref="E48">INDEX('Technology MASTER'!$B$3:$B$107,SMALL(IF(COUNTIFS(Y$4,'Technology MASTER'!$G$3:$G$107),MATCH(ROW('Technology MASTER'!B48:B152),ROW('Technology MASTER'!B48:B152)),""),ROWS($A$1:A46)))</f>
        <v>#NUM!</v>
      </c>
      <c r="G48" s="68">
        <f>COUNTIFS(Y$4,'Technology MASTER'!$H$3:$H$107)</f>
        <v>0</v>
      </c>
      <c r="H48" s="68">
        <v>46</v>
      </c>
      <c r="I48" s="68" t="str">
        <v/>
      </c>
      <c r="J48" s="68" t="e">
        <f t="array" ref="J48">SMALL(IF(COUNTIFS(Y$4,'Technology MASTER'!$H$3:$H$107),MATCH(ROW('Technology MASTER'!B48:B152),ROW('Technology MASTER'!B48:B152)),""),ROWS($A$1:A46))</f>
        <v>#NUM!</v>
      </c>
      <c r="K48" s="68" t="e">
        <f t="array" ref="K48">INDEX('Technology MASTER'!$B$3:$B$107,SMALL(IF(COUNTIFS(Y$4,'Technology MASTER'!$H$3:$H$107),MATCH(ROW('Technology MASTER'!B48:B152),ROW('Technology MASTER'!B48:B152)),""),ROWS($A$1:A46)))</f>
        <v>#NUM!</v>
      </c>
      <c r="M48" s="68">
        <f>COUNTIFS(Y$4,'Technology MASTER'!$I$3:$I$107)</f>
        <v>0</v>
      </c>
      <c r="N48" s="68">
        <v>46</v>
      </c>
      <c r="O48" s="68" t="str">
        <v/>
      </c>
      <c r="P48" s="68" t="e">
        <f t="array" ref="P48">SMALL(IF(COUNTIFS(Y$4,'Technology MASTER'!$I$3:$I$107),MATCH(ROW('Technology MASTER'!B48:B152),ROW('Technology MASTER'!B48:B152)),""),ROWS($A$1:A46))</f>
        <v>#NUM!</v>
      </c>
      <c r="Q48" s="68" t="e">
        <f t="array" ref="Q48">INDEX('Technology MASTER'!$B$3:$B$107,SMALL(IF(COUNTIFS(Y$4,'Technology MASTER'!$I$3:$I$107),MATCH(ROW('Technology MASTER'!B48:B152),ROW('Technology MASTER'!B48:B152)),""),ROWS($A$1:A46)))</f>
        <v>#NUM!</v>
      </c>
    </row>
    <row r="49" spans="1:17">
      <c r="A49" s="68">
        <f>COUNTIFS(Y$4,'Technology MASTER'!$G$3:$G$107)</f>
        <v>0</v>
      </c>
      <c r="B49" s="68">
        <v>47</v>
      </c>
      <c r="C49" s="68" t="str">
        <v/>
      </c>
      <c r="D49" s="68" t="e">
        <f t="array" ref="D49">SMALL(IF(COUNTIFS(Y$4,'Technology MASTER'!$G$3:$G$107),MATCH(ROW('Technology MASTER'!B49:B153),ROW('Technology MASTER'!B49:B153)),""),ROWS($A$1:A47))</f>
        <v>#NUM!</v>
      </c>
      <c r="E49" s="68" t="e">
        <f t="array" ref="E49">INDEX('Technology MASTER'!$B$3:$B$107,SMALL(IF(COUNTIFS(Y$4,'Technology MASTER'!$G$3:$G$107),MATCH(ROW('Technology MASTER'!B49:B153),ROW('Technology MASTER'!B49:B153)),""),ROWS($A$1:A47)))</f>
        <v>#NUM!</v>
      </c>
      <c r="G49" s="68">
        <f>COUNTIFS(Y$4,'Technology MASTER'!$H$3:$H$107)</f>
        <v>0</v>
      </c>
      <c r="H49" s="68">
        <v>47</v>
      </c>
      <c r="I49" s="68" t="str">
        <v/>
      </c>
      <c r="J49" s="68" t="e">
        <f t="array" ref="J49">SMALL(IF(COUNTIFS(Y$4,'Technology MASTER'!$H$3:$H$107),MATCH(ROW('Technology MASTER'!B49:B153),ROW('Technology MASTER'!B49:B153)),""),ROWS($A$1:A47))</f>
        <v>#NUM!</v>
      </c>
      <c r="K49" s="68" t="e">
        <f t="array" ref="K49">INDEX('Technology MASTER'!$B$3:$B$107,SMALL(IF(COUNTIFS(Y$4,'Technology MASTER'!$H$3:$H$107),MATCH(ROW('Technology MASTER'!B49:B153),ROW('Technology MASTER'!B49:B153)),""),ROWS($A$1:A47)))</f>
        <v>#NUM!</v>
      </c>
      <c r="M49" s="68">
        <f>COUNTIFS(Y$4,'Technology MASTER'!$I$3:$I$107)</f>
        <v>0</v>
      </c>
      <c r="N49" s="68">
        <v>47</v>
      </c>
      <c r="O49" s="68" t="str">
        <v/>
      </c>
      <c r="P49" s="68" t="e">
        <f t="array" ref="P49">SMALL(IF(COUNTIFS(Y$4,'Technology MASTER'!$I$3:$I$107),MATCH(ROW('Technology MASTER'!B49:B153),ROW('Technology MASTER'!B49:B153)),""),ROWS($A$1:A47))</f>
        <v>#NUM!</v>
      </c>
      <c r="Q49" s="68" t="e">
        <f t="array" ref="Q49">INDEX('Technology MASTER'!$B$3:$B$107,SMALL(IF(COUNTIFS(Y$4,'Technology MASTER'!$I$3:$I$107),MATCH(ROW('Technology MASTER'!B49:B153),ROW('Technology MASTER'!B49:B153)),""),ROWS($A$1:A47)))</f>
        <v>#NUM!</v>
      </c>
    </row>
    <row r="50" spans="1:17">
      <c r="A50" s="68">
        <f>COUNTIFS(Y$4,'Technology MASTER'!$G$3:$G$107)</f>
        <v>0</v>
      </c>
      <c r="B50" s="68">
        <v>48</v>
      </c>
      <c r="C50" s="68" t="str">
        <v/>
      </c>
      <c r="D50" s="68" t="e">
        <f t="array" ref="D50">SMALL(IF(COUNTIFS(Y$4,'Technology MASTER'!$G$3:$G$107),MATCH(ROW('Technology MASTER'!B50:B154),ROW('Technology MASTER'!B50:B154)),""),ROWS($A$1:A48))</f>
        <v>#NUM!</v>
      </c>
      <c r="E50" s="68" t="e">
        <f t="array" ref="E50">INDEX('Technology MASTER'!$B$3:$B$107,SMALL(IF(COUNTIFS(Y$4,'Technology MASTER'!$G$3:$G$107),MATCH(ROW('Technology MASTER'!B50:B154),ROW('Technology MASTER'!B50:B154)),""),ROWS($A$1:A48)))</f>
        <v>#NUM!</v>
      </c>
      <c r="G50" s="68">
        <f>COUNTIFS(Y$4,'Technology MASTER'!$H$3:$H$107)</f>
        <v>0</v>
      </c>
      <c r="H50" s="68">
        <v>48</v>
      </c>
      <c r="I50" s="68" t="str">
        <v/>
      </c>
      <c r="J50" s="68" t="e">
        <f t="array" ref="J50">SMALL(IF(COUNTIFS(Y$4,'Technology MASTER'!$H$3:$H$107),MATCH(ROW('Technology MASTER'!B50:B154),ROW('Technology MASTER'!B50:B154)),""),ROWS($A$1:A48))</f>
        <v>#NUM!</v>
      </c>
      <c r="K50" s="68" t="e">
        <f t="array" ref="K50">INDEX('Technology MASTER'!$B$3:$B$107,SMALL(IF(COUNTIFS(Y$4,'Technology MASTER'!$H$3:$H$107),MATCH(ROW('Technology MASTER'!B50:B154),ROW('Technology MASTER'!B50:B154)),""),ROWS($A$1:A48)))</f>
        <v>#NUM!</v>
      </c>
      <c r="M50" s="68">
        <f>COUNTIFS(Y$4,'Technology MASTER'!$I$3:$I$107)</f>
        <v>0</v>
      </c>
      <c r="N50" s="68">
        <v>48</v>
      </c>
      <c r="O50" s="68" t="str">
        <v/>
      </c>
      <c r="P50" s="68" t="e">
        <f t="array" ref="P50">SMALL(IF(COUNTIFS(Y$4,'Technology MASTER'!$I$3:$I$107),MATCH(ROW('Technology MASTER'!B50:B154),ROW('Technology MASTER'!B50:B154)),""),ROWS($A$1:A48))</f>
        <v>#NUM!</v>
      </c>
      <c r="Q50" s="68" t="e">
        <f t="array" ref="Q50">INDEX('Technology MASTER'!$B$3:$B$107,SMALL(IF(COUNTIFS(Y$4,'Technology MASTER'!$I$3:$I$107),MATCH(ROW('Technology MASTER'!B50:B154),ROW('Technology MASTER'!B50:B154)),""),ROWS($A$1:A48)))</f>
        <v>#NUM!</v>
      </c>
    </row>
    <row r="51" spans="1:17">
      <c r="A51" s="68">
        <f>COUNTIFS(Y$4,'Technology MASTER'!$G$3:$G$107)</f>
        <v>0</v>
      </c>
      <c r="B51" s="68">
        <v>49</v>
      </c>
      <c r="C51" s="68" t="str">
        <v/>
      </c>
      <c r="D51" s="68" t="e">
        <f t="array" ref="D51">SMALL(IF(COUNTIFS(Y$4,'Technology MASTER'!$G$3:$G$107),MATCH(ROW('Technology MASTER'!B51:B155),ROW('Technology MASTER'!B51:B155)),""),ROWS($A$1:A49))</f>
        <v>#NUM!</v>
      </c>
      <c r="E51" s="68" t="e">
        <f t="array" ref="E51">INDEX('Technology MASTER'!$B$3:$B$107,SMALL(IF(COUNTIFS(Y$4,'Technology MASTER'!$G$3:$G$107),MATCH(ROW('Technology MASTER'!B51:B155),ROW('Technology MASTER'!B51:B155)),""),ROWS($A$1:A49)))</f>
        <v>#NUM!</v>
      </c>
      <c r="G51" s="68">
        <f>COUNTIFS(Y$4,'Technology MASTER'!$H$3:$H$107)</f>
        <v>0</v>
      </c>
      <c r="H51" s="68">
        <v>49</v>
      </c>
      <c r="I51" s="68" t="str">
        <v/>
      </c>
      <c r="J51" s="68" t="e">
        <f t="array" ref="J51">SMALL(IF(COUNTIFS(Y$4,'Technology MASTER'!$H$3:$H$107),MATCH(ROW('Technology MASTER'!B51:B155),ROW('Technology MASTER'!B51:B155)),""),ROWS($A$1:A49))</f>
        <v>#NUM!</v>
      </c>
      <c r="K51" s="68" t="e">
        <f t="array" ref="K51">INDEX('Technology MASTER'!$B$3:$B$107,SMALL(IF(COUNTIFS(Y$4,'Technology MASTER'!$H$3:$H$107),MATCH(ROW('Technology MASTER'!B51:B155),ROW('Technology MASTER'!B51:B155)),""),ROWS($A$1:A49)))</f>
        <v>#NUM!</v>
      </c>
      <c r="M51" s="68">
        <f>COUNTIFS(Y$4,'Technology MASTER'!$I$3:$I$107)</f>
        <v>0</v>
      </c>
      <c r="N51" s="68">
        <v>49</v>
      </c>
      <c r="O51" s="68" t="str">
        <v/>
      </c>
      <c r="P51" s="68" t="e">
        <f t="array" ref="P51">SMALL(IF(COUNTIFS(Y$4,'Technology MASTER'!$I$3:$I$107),MATCH(ROW('Technology MASTER'!B51:B155),ROW('Technology MASTER'!B51:B155)),""),ROWS($A$1:A49))</f>
        <v>#NUM!</v>
      </c>
      <c r="Q51" s="68" t="e">
        <f t="array" ref="Q51">INDEX('Technology MASTER'!$B$3:$B$107,SMALL(IF(COUNTIFS(Y$4,'Technology MASTER'!$I$3:$I$107),MATCH(ROW('Technology MASTER'!B51:B155),ROW('Technology MASTER'!B51:B155)),""),ROWS($A$1:A49)))</f>
        <v>#NUM!</v>
      </c>
    </row>
    <row r="52" spans="1:17">
      <c r="A52" s="68">
        <f>COUNTIFS(Y$4,'Technology MASTER'!$G$3:$G$107)</f>
        <v>0</v>
      </c>
      <c r="B52" s="68">
        <v>50</v>
      </c>
      <c r="C52" s="68" t="str">
        <v/>
      </c>
      <c r="D52" s="68" t="e">
        <f t="array" ref="D52">SMALL(IF(COUNTIFS(Y$4,'Technology MASTER'!$G$3:$G$107),MATCH(ROW('Technology MASTER'!B52:B156),ROW('Technology MASTER'!B52:B156)),""),ROWS($A$1:A50))</f>
        <v>#NUM!</v>
      </c>
      <c r="E52" s="68" t="e">
        <f t="array" ref="E52">INDEX('Technology MASTER'!$B$3:$B$107,SMALL(IF(COUNTIFS(Y$4,'Technology MASTER'!$G$3:$G$107),MATCH(ROW('Technology MASTER'!B52:B156),ROW('Technology MASTER'!B52:B156)),""),ROWS($A$1:A50)))</f>
        <v>#NUM!</v>
      </c>
      <c r="G52" s="68">
        <f>COUNTIFS(Y$4,'Technology MASTER'!$H$3:$H$107)</f>
        <v>0</v>
      </c>
      <c r="H52" s="68">
        <v>50</v>
      </c>
      <c r="I52" s="68" t="str">
        <v/>
      </c>
      <c r="J52" s="68" t="e">
        <f t="array" ref="J52">SMALL(IF(COUNTIFS(Y$4,'Technology MASTER'!$H$3:$H$107),MATCH(ROW('Technology MASTER'!B52:B156),ROW('Technology MASTER'!B52:B156)),""),ROWS($A$1:A50))</f>
        <v>#NUM!</v>
      </c>
      <c r="K52" s="68" t="e">
        <f t="array" ref="K52">INDEX('Technology MASTER'!$B$3:$B$107,SMALL(IF(COUNTIFS(Y$4,'Technology MASTER'!$H$3:$H$107),MATCH(ROW('Technology MASTER'!B52:B156),ROW('Technology MASTER'!B52:B156)),""),ROWS($A$1:A50)))</f>
        <v>#NUM!</v>
      </c>
      <c r="M52" s="68">
        <f>COUNTIFS(Y$4,'Technology MASTER'!$I$3:$I$107)</f>
        <v>0</v>
      </c>
      <c r="N52" s="68">
        <v>50</v>
      </c>
      <c r="O52" s="68" t="str">
        <v/>
      </c>
      <c r="P52" s="68" t="e">
        <f t="array" ref="P52">SMALL(IF(COUNTIFS(Y$4,'Technology MASTER'!$I$3:$I$107),MATCH(ROW('Technology MASTER'!B52:B156),ROW('Technology MASTER'!B52:B156)),""),ROWS($A$1:A50))</f>
        <v>#NUM!</v>
      </c>
      <c r="Q52" s="68" t="e">
        <f t="array" ref="Q52">INDEX('Technology MASTER'!$B$3:$B$107,SMALL(IF(COUNTIFS(Y$4,'Technology MASTER'!$I$3:$I$107),MATCH(ROW('Technology MASTER'!B52:B156),ROW('Technology MASTER'!B52:B156)),""),ROWS($A$1:A50)))</f>
        <v>#NUM!</v>
      </c>
    </row>
    <row r="53" spans="1:17">
      <c r="A53" s="68">
        <f>COUNTIFS(Y$4,'Technology MASTER'!$G$3:$G$107)</f>
        <v>0</v>
      </c>
      <c r="B53" s="68">
        <v>51</v>
      </c>
      <c r="C53" s="68" t="str">
        <v/>
      </c>
      <c r="D53" s="68" t="e">
        <f t="array" ref="D53">SMALL(IF(COUNTIFS(Y$4,'Technology MASTER'!$G$3:$G$107),MATCH(ROW('Technology MASTER'!B53:B157),ROW('Technology MASTER'!B53:B157)),""),ROWS($A$1:A51))</f>
        <v>#NUM!</v>
      </c>
      <c r="E53" s="68" t="e">
        <f t="array" ref="E53">INDEX('Technology MASTER'!$B$3:$B$107,SMALL(IF(COUNTIFS(Y$4,'Technology MASTER'!$G$3:$G$107),MATCH(ROW('Technology MASTER'!B53:B157),ROW('Technology MASTER'!B53:B157)),""),ROWS($A$1:A51)))</f>
        <v>#NUM!</v>
      </c>
      <c r="G53" s="68">
        <f>COUNTIFS(Y$4,'Technology MASTER'!$H$3:$H$107)</f>
        <v>0</v>
      </c>
      <c r="H53" s="68">
        <v>51</v>
      </c>
      <c r="I53" s="68" t="str">
        <v/>
      </c>
      <c r="J53" s="68" t="e">
        <f t="array" ref="J53">SMALL(IF(COUNTIFS(Y$4,'Technology MASTER'!$H$3:$H$107),MATCH(ROW('Technology MASTER'!B53:B157),ROW('Technology MASTER'!B53:B157)),""),ROWS($A$1:A51))</f>
        <v>#NUM!</v>
      </c>
      <c r="K53" s="68" t="e">
        <f t="array" ref="K53">INDEX('Technology MASTER'!$B$3:$B$107,SMALL(IF(COUNTIFS(Y$4,'Technology MASTER'!$H$3:$H$107),MATCH(ROW('Technology MASTER'!B53:B157),ROW('Technology MASTER'!B53:B157)),""),ROWS($A$1:A51)))</f>
        <v>#NUM!</v>
      </c>
      <c r="M53" s="68">
        <f>COUNTIFS(Y$4,'Technology MASTER'!$I$3:$I$107)</f>
        <v>0</v>
      </c>
      <c r="N53" s="68">
        <v>51</v>
      </c>
      <c r="O53" s="68" t="str">
        <v/>
      </c>
      <c r="P53" s="68" t="e">
        <f t="array" ref="P53">SMALL(IF(COUNTIFS(Y$4,'Technology MASTER'!$I$3:$I$107),MATCH(ROW('Technology MASTER'!B53:B157),ROW('Technology MASTER'!B53:B157)),""),ROWS($A$1:A51))</f>
        <v>#NUM!</v>
      </c>
      <c r="Q53" s="68" t="e">
        <f t="array" ref="Q53">INDEX('Technology MASTER'!$B$3:$B$107,SMALL(IF(COUNTIFS(Y$4,'Technology MASTER'!$I$3:$I$107),MATCH(ROW('Technology MASTER'!B53:B157),ROW('Technology MASTER'!B53:B157)),""),ROWS($A$1:A51)))</f>
        <v>#NUM!</v>
      </c>
    </row>
    <row r="54" spans="1:17">
      <c r="A54" s="68">
        <f>COUNTIFS(Y$4,'Technology MASTER'!$G$3:$G$107)</f>
        <v>0</v>
      </c>
      <c r="B54" s="68">
        <v>52</v>
      </c>
      <c r="C54" s="68" t="str">
        <v/>
      </c>
      <c r="D54" s="68" t="e">
        <f t="array" ref="D54">SMALL(IF(COUNTIFS(Y$4,'Technology MASTER'!$G$3:$G$107),MATCH(ROW('Technology MASTER'!B54:B158),ROW('Technology MASTER'!B54:B158)),""),ROWS($A$1:A52))</f>
        <v>#NUM!</v>
      </c>
      <c r="E54" s="68" t="e">
        <f t="array" ref="E54">INDEX('Technology MASTER'!$B$3:$B$107,SMALL(IF(COUNTIFS(Y$4,'Technology MASTER'!$G$3:$G$107),MATCH(ROW('Technology MASTER'!B54:B158),ROW('Technology MASTER'!B54:B158)),""),ROWS($A$1:A52)))</f>
        <v>#NUM!</v>
      </c>
      <c r="G54" s="68">
        <f>COUNTIFS(Y$4,'Technology MASTER'!$H$3:$H$107)</f>
        <v>0</v>
      </c>
      <c r="H54" s="68">
        <v>52</v>
      </c>
      <c r="I54" s="68" t="str">
        <v/>
      </c>
      <c r="J54" s="68" t="e">
        <f t="array" ref="J54">SMALL(IF(COUNTIFS(Y$4,'Technology MASTER'!$H$3:$H$107),MATCH(ROW('Technology MASTER'!B54:B158),ROW('Technology MASTER'!B54:B158)),""),ROWS($A$1:A52))</f>
        <v>#NUM!</v>
      </c>
      <c r="K54" s="68" t="e">
        <f t="array" ref="K54">INDEX('Technology MASTER'!$B$3:$B$107,SMALL(IF(COUNTIFS(Y$4,'Technology MASTER'!$H$3:$H$107),MATCH(ROW('Technology MASTER'!B54:B158),ROW('Technology MASTER'!B54:B158)),""),ROWS($A$1:A52)))</f>
        <v>#NUM!</v>
      </c>
      <c r="M54" s="68">
        <f>COUNTIFS(Y$4,'Technology MASTER'!$I$3:$I$107)</f>
        <v>0</v>
      </c>
      <c r="N54" s="68">
        <v>52</v>
      </c>
      <c r="O54" s="68" t="str">
        <v/>
      </c>
      <c r="P54" s="68" t="e">
        <f t="array" ref="P54">SMALL(IF(COUNTIFS(Y$4,'Technology MASTER'!$I$3:$I$107),MATCH(ROW('Technology MASTER'!B54:B158),ROW('Technology MASTER'!B54:B158)),""),ROWS($A$1:A52))</f>
        <v>#NUM!</v>
      </c>
      <c r="Q54" s="68" t="e">
        <f t="array" ref="Q54">INDEX('Technology MASTER'!$B$3:$B$107,SMALL(IF(COUNTIFS(Y$4,'Technology MASTER'!$I$3:$I$107),MATCH(ROW('Technology MASTER'!B54:B158),ROW('Technology MASTER'!B54:B158)),""),ROWS($A$1:A52)))</f>
        <v>#NUM!</v>
      </c>
    </row>
    <row r="55" spans="1:17">
      <c r="A55" s="68">
        <f>COUNTIFS(Y$4,'Technology MASTER'!$G$3:$G$107)</f>
        <v>0</v>
      </c>
      <c r="B55" s="68">
        <v>53</v>
      </c>
      <c r="C55" s="68" t="str">
        <v/>
      </c>
      <c r="D55" s="68" t="e">
        <f t="array" ref="D55">SMALL(IF(COUNTIFS(Y$4,'Technology MASTER'!$G$3:$G$107),MATCH(ROW('Technology MASTER'!B55:B159),ROW('Technology MASTER'!B55:B159)),""),ROWS($A$1:A53))</f>
        <v>#NUM!</v>
      </c>
      <c r="E55" s="68" t="e">
        <f t="array" ref="E55">INDEX('Technology MASTER'!$B$3:$B$107,SMALL(IF(COUNTIFS(Y$4,'Technology MASTER'!$G$3:$G$107),MATCH(ROW('Technology MASTER'!B55:B159),ROW('Technology MASTER'!B55:B159)),""),ROWS($A$1:A53)))</f>
        <v>#NUM!</v>
      </c>
      <c r="G55" s="68">
        <f>COUNTIFS(Y$4,'Technology MASTER'!$H$3:$H$107)</f>
        <v>0</v>
      </c>
      <c r="H55" s="68">
        <v>53</v>
      </c>
      <c r="I55" s="68" t="str">
        <v/>
      </c>
      <c r="J55" s="68" t="e">
        <f t="array" ref="J55">SMALL(IF(COUNTIFS(Y$4,'Technology MASTER'!$H$3:$H$107),MATCH(ROW('Technology MASTER'!B55:B159),ROW('Technology MASTER'!B55:B159)),""),ROWS($A$1:A53))</f>
        <v>#NUM!</v>
      </c>
      <c r="K55" s="68" t="e">
        <f t="array" ref="K55">INDEX('Technology MASTER'!$B$3:$B$107,SMALL(IF(COUNTIFS(Y$4,'Technology MASTER'!$H$3:$H$107),MATCH(ROW('Technology MASTER'!B55:B159),ROW('Technology MASTER'!B55:B159)),""),ROWS($A$1:A53)))</f>
        <v>#NUM!</v>
      </c>
      <c r="M55" s="68">
        <f>COUNTIFS(Y$4,'Technology MASTER'!$I$3:$I$107)</f>
        <v>0</v>
      </c>
      <c r="N55" s="68">
        <v>53</v>
      </c>
      <c r="O55" s="68" t="str">
        <v/>
      </c>
      <c r="P55" s="68" t="e">
        <f t="array" ref="P55">SMALL(IF(COUNTIFS(Y$4,'Technology MASTER'!$I$3:$I$107),MATCH(ROW('Technology MASTER'!B55:B159),ROW('Technology MASTER'!B55:B159)),""),ROWS($A$1:A53))</f>
        <v>#NUM!</v>
      </c>
      <c r="Q55" s="68" t="e">
        <f t="array" ref="Q55">INDEX('Technology MASTER'!$B$3:$B$107,SMALL(IF(COUNTIFS(Y$4,'Technology MASTER'!$I$3:$I$107),MATCH(ROW('Technology MASTER'!B55:B159),ROW('Technology MASTER'!B55:B159)),""),ROWS($A$1:A53)))</f>
        <v>#NUM!</v>
      </c>
    </row>
    <row r="56" spans="1:17">
      <c r="A56" s="68">
        <f>COUNTIFS(Y$4,'Technology MASTER'!$G$3:$G$107)</f>
        <v>0</v>
      </c>
      <c r="B56" s="68">
        <v>54</v>
      </c>
      <c r="C56" s="68" t="str">
        <v/>
      </c>
      <c r="D56" s="68" t="e">
        <f t="array" ref="D56">SMALL(IF(COUNTIFS(Y$4,'Technology MASTER'!$G$3:$G$107),MATCH(ROW('Technology MASTER'!B56:B160),ROW('Technology MASTER'!B56:B160)),""),ROWS($A$1:A54))</f>
        <v>#NUM!</v>
      </c>
      <c r="E56" s="68" t="e">
        <f t="array" ref="E56">INDEX('Technology MASTER'!$B$3:$B$107,SMALL(IF(COUNTIFS(Y$4,'Technology MASTER'!$G$3:$G$107),MATCH(ROW('Technology MASTER'!B56:B160),ROW('Technology MASTER'!B56:B160)),""),ROWS($A$1:A54)))</f>
        <v>#NUM!</v>
      </c>
      <c r="G56" s="68">
        <f>COUNTIFS(Y$4,'Technology MASTER'!$H$3:$H$107)</f>
        <v>0</v>
      </c>
      <c r="H56" s="68">
        <v>54</v>
      </c>
      <c r="I56" s="68" t="str">
        <v/>
      </c>
      <c r="J56" s="68" t="e">
        <f t="array" ref="J56">SMALL(IF(COUNTIFS(Y$4,'Technology MASTER'!$H$3:$H$107),MATCH(ROW('Technology MASTER'!B56:B160),ROW('Technology MASTER'!B56:B160)),""),ROWS($A$1:A54))</f>
        <v>#NUM!</v>
      </c>
      <c r="K56" s="68" t="e">
        <f t="array" ref="K56">INDEX('Technology MASTER'!$B$3:$B$107,SMALL(IF(COUNTIFS(Y$4,'Technology MASTER'!$H$3:$H$107),MATCH(ROW('Technology MASTER'!B56:B160),ROW('Technology MASTER'!B56:B160)),""),ROWS($A$1:A54)))</f>
        <v>#NUM!</v>
      </c>
      <c r="M56" s="68">
        <f>COUNTIFS(Y$4,'Technology MASTER'!$I$3:$I$107)</f>
        <v>0</v>
      </c>
      <c r="N56" s="68">
        <v>54</v>
      </c>
      <c r="O56" s="68" t="str">
        <v/>
      </c>
      <c r="P56" s="68" t="e">
        <f t="array" ref="P56">SMALL(IF(COUNTIFS(Y$4,'Technology MASTER'!$I$3:$I$107),MATCH(ROW('Technology MASTER'!B56:B160),ROW('Technology MASTER'!B56:B160)),""),ROWS($A$1:A54))</f>
        <v>#NUM!</v>
      </c>
      <c r="Q56" s="68" t="e">
        <f t="array" ref="Q56">INDEX('Technology MASTER'!$B$3:$B$107,SMALL(IF(COUNTIFS(Y$4,'Technology MASTER'!$I$3:$I$107),MATCH(ROW('Technology MASTER'!B56:B160),ROW('Technology MASTER'!B56:B160)),""),ROWS($A$1:A54)))</f>
        <v>#NUM!</v>
      </c>
    </row>
    <row r="57" spans="1:17">
      <c r="A57" s="68">
        <f>COUNTIFS(Y$4,'Technology MASTER'!$G$3:$G$107)</f>
        <v>0</v>
      </c>
      <c r="B57" s="68">
        <v>55</v>
      </c>
      <c r="C57" s="68" t="str">
        <v/>
      </c>
      <c r="D57" s="68" t="e">
        <f t="array" ref="D57">SMALL(IF(COUNTIFS(Y$4,'Technology MASTER'!$G$3:$G$107),MATCH(ROW('Technology MASTER'!B57:B161),ROW('Technology MASTER'!B57:B161)),""),ROWS($A$1:A55))</f>
        <v>#NUM!</v>
      </c>
      <c r="E57" s="68" t="e">
        <f t="array" ref="E57">INDEX('Technology MASTER'!$B$3:$B$107,SMALL(IF(COUNTIFS(Y$4,'Technology MASTER'!$G$3:$G$107),MATCH(ROW('Technology MASTER'!B57:B161),ROW('Technology MASTER'!B57:B161)),""),ROWS($A$1:A55)))</f>
        <v>#NUM!</v>
      </c>
      <c r="G57" s="68">
        <f>COUNTIFS(Y$4,'Technology MASTER'!$H$3:$H$107)</f>
        <v>0</v>
      </c>
      <c r="H57" s="68">
        <v>55</v>
      </c>
      <c r="I57" s="68" t="str">
        <v/>
      </c>
      <c r="J57" s="68" t="e">
        <f t="array" ref="J57">SMALL(IF(COUNTIFS(Y$4,'Technology MASTER'!$H$3:$H$107),MATCH(ROW('Technology MASTER'!B57:B161),ROW('Technology MASTER'!B57:B161)),""),ROWS($A$1:A55))</f>
        <v>#NUM!</v>
      </c>
      <c r="K57" s="68" t="e">
        <f t="array" ref="K57">INDEX('Technology MASTER'!$B$3:$B$107,SMALL(IF(COUNTIFS(Y$4,'Technology MASTER'!$H$3:$H$107),MATCH(ROW('Technology MASTER'!B57:B161),ROW('Technology MASTER'!B57:B161)),""),ROWS($A$1:A55)))</f>
        <v>#NUM!</v>
      </c>
      <c r="M57" s="68">
        <f>COUNTIFS(Y$4,'Technology MASTER'!$I$3:$I$107)</f>
        <v>0</v>
      </c>
      <c r="N57" s="68">
        <v>55</v>
      </c>
      <c r="O57" s="68" t="str">
        <v/>
      </c>
      <c r="P57" s="68" t="e">
        <f t="array" ref="P57">SMALL(IF(COUNTIFS(Y$4,'Technology MASTER'!$I$3:$I$107),MATCH(ROW('Technology MASTER'!B57:B161),ROW('Technology MASTER'!B57:B161)),""),ROWS($A$1:A55))</f>
        <v>#NUM!</v>
      </c>
      <c r="Q57" s="68" t="e">
        <f t="array" ref="Q57">INDEX('Technology MASTER'!$B$3:$B$107,SMALL(IF(COUNTIFS(Y$4,'Technology MASTER'!$I$3:$I$107),MATCH(ROW('Technology MASTER'!B57:B161),ROW('Technology MASTER'!B57:B161)),""),ROWS($A$1:A55)))</f>
        <v>#NUM!</v>
      </c>
    </row>
    <row r="58" spans="1:17">
      <c r="A58" s="68">
        <f>COUNTIFS(Y$4,'Technology MASTER'!$G$3:$G$107)</f>
        <v>0</v>
      </c>
      <c r="B58" s="68">
        <v>56</v>
      </c>
      <c r="C58" s="68" t="str">
        <v/>
      </c>
      <c r="D58" s="68" t="e">
        <f t="array" ref="D58">SMALL(IF(COUNTIFS(Y$4,'Technology MASTER'!$G$3:$G$107),MATCH(ROW('Technology MASTER'!B58:B162),ROW('Technology MASTER'!B58:B162)),""),ROWS($A$1:A56))</f>
        <v>#NUM!</v>
      </c>
      <c r="E58" s="68" t="e">
        <f t="array" ref="E58">INDEX('Technology MASTER'!$B$3:$B$107,SMALL(IF(COUNTIFS(Y$4,'Technology MASTER'!$G$3:$G$107),MATCH(ROW('Technology MASTER'!B58:B162),ROW('Technology MASTER'!B58:B162)),""),ROWS($A$1:A56)))</f>
        <v>#NUM!</v>
      </c>
      <c r="G58" s="68">
        <f>COUNTIFS(Y$4,'Technology MASTER'!$H$3:$H$107)</f>
        <v>0</v>
      </c>
      <c r="H58" s="68">
        <v>56</v>
      </c>
      <c r="I58" s="68" t="str">
        <v/>
      </c>
      <c r="J58" s="68" t="e">
        <f t="array" ref="J58">SMALL(IF(COUNTIFS(Y$4,'Technology MASTER'!$H$3:$H$107),MATCH(ROW('Technology MASTER'!B58:B162),ROW('Technology MASTER'!B58:B162)),""),ROWS($A$1:A56))</f>
        <v>#NUM!</v>
      </c>
      <c r="K58" s="68" t="e">
        <f t="array" ref="K58">INDEX('Technology MASTER'!$B$3:$B$107,SMALL(IF(COUNTIFS(Y$4,'Technology MASTER'!$H$3:$H$107),MATCH(ROW('Technology MASTER'!B58:B162),ROW('Technology MASTER'!B58:B162)),""),ROWS($A$1:A56)))</f>
        <v>#NUM!</v>
      </c>
      <c r="M58" s="68">
        <f>COUNTIFS(Y$4,'Technology MASTER'!$I$3:$I$107)</f>
        <v>0</v>
      </c>
      <c r="N58" s="68">
        <v>56</v>
      </c>
      <c r="O58" s="68" t="str">
        <v/>
      </c>
      <c r="P58" s="68" t="e">
        <f t="array" ref="P58">SMALL(IF(COUNTIFS(Y$4,'Technology MASTER'!$I$3:$I$107),MATCH(ROW('Technology MASTER'!B58:B162),ROW('Technology MASTER'!B58:B162)),""),ROWS($A$1:A56))</f>
        <v>#NUM!</v>
      </c>
      <c r="Q58" s="68" t="e">
        <f t="array" ref="Q58">INDEX('Technology MASTER'!$B$3:$B$107,SMALL(IF(COUNTIFS(Y$4,'Technology MASTER'!$I$3:$I$107),MATCH(ROW('Technology MASTER'!B58:B162),ROW('Technology MASTER'!B58:B162)),""),ROWS($A$1:A56)))</f>
        <v>#NUM!</v>
      </c>
    </row>
    <row r="59" spans="1:17">
      <c r="A59" s="68">
        <f>COUNTIFS(Y$4,'Technology MASTER'!$G$3:$G$107)</f>
        <v>0</v>
      </c>
      <c r="B59" s="68">
        <v>57</v>
      </c>
      <c r="C59" s="68" t="str">
        <v/>
      </c>
      <c r="D59" s="68" t="e">
        <f t="array" ref="D59">SMALL(IF(COUNTIFS(Y$4,'Technology MASTER'!$G$3:$G$107),MATCH(ROW('Technology MASTER'!B59:B163),ROW('Technology MASTER'!B59:B163)),""),ROWS($A$1:A57))</f>
        <v>#NUM!</v>
      </c>
      <c r="E59" s="68" t="e">
        <f t="array" ref="E59">INDEX('Technology MASTER'!$B$3:$B$107,SMALL(IF(COUNTIFS(Y$4,'Technology MASTER'!$G$3:$G$107),MATCH(ROW('Technology MASTER'!B59:B163),ROW('Technology MASTER'!B59:B163)),""),ROWS($A$1:A57)))</f>
        <v>#NUM!</v>
      </c>
      <c r="G59" s="68">
        <f>COUNTIFS(Y$4,'Technology MASTER'!$H$3:$H$107)</f>
        <v>0</v>
      </c>
      <c r="H59" s="68">
        <v>57</v>
      </c>
      <c r="I59" s="68" t="str">
        <v/>
      </c>
      <c r="J59" s="68" t="e">
        <f t="array" ref="J59">SMALL(IF(COUNTIFS(Y$4,'Technology MASTER'!$H$3:$H$107),MATCH(ROW('Technology MASTER'!B59:B163),ROW('Technology MASTER'!B59:B163)),""),ROWS($A$1:A57))</f>
        <v>#NUM!</v>
      </c>
      <c r="K59" s="68" t="e">
        <f t="array" ref="K59">INDEX('Technology MASTER'!$B$3:$B$107,SMALL(IF(COUNTIFS(Y$4,'Technology MASTER'!$H$3:$H$107),MATCH(ROW('Technology MASTER'!B59:B163),ROW('Technology MASTER'!B59:B163)),""),ROWS($A$1:A57)))</f>
        <v>#NUM!</v>
      </c>
      <c r="M59" s="68">
        <f>COUNTIFS(Y$4,'Technology MASTER'!$I$3:$I$107)</f>
        <v>0</v>
      </c>
      <c r="N59" s="68">
        <v>57</v>
      </c>
      <c r="O59" s="68" t="str">
        <v/>
      </c>
      <c r="P59" s="68" t="e">
        <f t="array" ref="P59">SMALL(IF(COUNTIFS(Y$4,'Technology MASTER'!$I$3:$I$107),MATCH(ROW('Technology MASTER'!B59:B163),ROW('Technology MASTER'!B59:B163)),""),ROWS($A$1:A57))</f>
        <v>#NUM!</v>
      </c>
      <c r="Q59" s="68" t="e">
        <f t="array" ref="Q59">INDEX('Technology MASTER'!$B$3:$B$107,SMALL(IF(COUNTIFS(Y$4,'Technology MASTER'!$I$3:$I$107),MATCH(ROW('Technology MASTER'!B59:B163),ROW('Technology MASTER'!B59:B163)),""),ROWS($A$1:A57)))</f>
        <v>#NUM!</v>
      </c>
    </row>
    <row r="60" spans="1:17">
      <c r="A60" s="68">
        <f>COUNTIFS(Y$4,'Technology MASTER'!$G$3:$G$107)</f>
        <v>0</v>
      </c>
      <c r="B60" s="68">
        <v>58</v>
      </c>
      <c r="C60" s="68" t="str">
        <v/>
      </c>
      <c r="D60" s="68" t="e">
        <f t="array" ref="D60">SMALL(IF(COUNTIFS(Y$4,'Technology MASTER'!$G$3:$G$107),MATCH(ROW('Technology MASTER'!B60:B164),ROW('Technology MASTER'!B60:B164)),""),ROWS($A$1:A58))</f>
        <v>#NUM!</v>
      </c>
      <c r="E60" s="68" t="e">
        <f t="array" ref="E60">INDEX('Technology MASTER'!$B$3:$B$107,SMALL(IF(COUNTIFS(Y$4,'Technology MASTER'!$G$3:$G$107),MATCH(ROW('Technology MASTER'!B60:B164),ROW('Technology MASTER'!B60:B164)),""),ROWS($A$1:A58)))</f>
        <v>#NUM!</v>
      </c>
      <c r="G60" s="68">
        <f>COUNTIFS(Y$4,'Technology MASTER'!$H$3:$H$107)</f>
        <v>0</v>
      </c>
      <c r="H60" s="68">
        <v>58</v>
      </c>
      <c r="I60" s="68" t="str">
        <v/>
      </c>
      <c r="J60" s="68" t="e">
        <f t="array" ref="J60">SMALL(IF(COUNTIFS(Y$4,'Technology MASTER'!$H$3:$H$107),MATCH(ROW('Technology MASTER'!B60:B164),ROW('Technology MASTER'!B60:B164)),""),ROWS($A$1:A58))</f>
        <v>#NUM!</v>
      </c>
      <c r="K60" s="68" t="e">
        <f t="array" ref="K60">INDEX('Technology MASTER'!$B$3:$B$107,SMALL(IF(COUNTIFS(Y$4,'Technology MASTER'!$H$3:$H$107),MATCH(ROW('Technology MASTER'!B60:B164),ROW('Technology MASTER'!B60:B164)),""),ROWS($A$1:A58)))</f>
        <v>#NUM!</v>
      </c>
      <c r="M60" s="68">
        <f>COUNTIFS(Y$4,'Technology MASTER'!$I$3:$I$107)</f>
        <v>0</v>
      </c>
      <c r="N60" s="68">
        <v>58</v>
      </c>
      <c r="O60" s="68" t="str">
        <v/>
      </c>
      <c r="P60" s="68" t="e">
        <f t="array" ref="P60">SMALL(IF(COUNTIFS(Y$4,'Technology MASTER'!$I$3:$I$107),MATCH(ROW('Technology MASTER'!B60:B164),ROW('Technology MASTER'!B60:B164)),""),ROWS($A$1:A58))</f>
        <v>#NUM!</v>
      </c>
      <c r="Q60" s="68" t="e">
        <f t="array" ref="Q60">INDEX('Technology MASTER'!$B$3:$B$107,SMALL(IF(COUNTIFS(Y$4,'Technology MASTER'!$I$3:$I$107),MATCH(ROW('Technology MASTER'!B60:B164),ROW('Technology MASTER'!B60:B164)),""),ROWS($A$1:A58)))</f>
        <v>#NUM!</v>
      </c>
    </row>
    <row r="61" spans="1:17">
      <c r="A61" s="68">
        <f>COUNTIFS(Y$4,'Technology MASTER'!$G$3:$G$107)</f>
        <v>0</v>
      </c>
      <c r="B61" s="68">
        <v>59</v>
      </c>
      <c r="C61" s="68" t="str">
        <v/>
      </c>
      <c r="D61" s="68" t="e">
        <f t="array" ref="D61">SMALL(IF(COUNTIFS(Y$4,'Technology MASTER'!$G$3:$G$107),MATCH(ROW('Technology MASTER'!B61:B165),ROW('Technology MASTER'!B61:B165)),""),ROWS($A$1:A59))</f>
        <v>#NUM!</v>
      </c>
      <c r="E61" s="68" t="e">
        <f t="array" ref="E61">INDEX('Technology MASTER'!$B$3:$B$107,SMALL(IF(COUNTIFS(Y$4,'Technology MASTER'!$G$3:$G$107),MATCH(ROW('Technology MASTER'!B61:B165),ROW('Technology MASTER'!B61:B165)),""),ROWS($A$1:A59)))</f>
        <v>#NUM!</v>
      </c>
      <c r="G61" s="68">
        <f>COUNTIFS(Y$4,'Technology MASTER'!$H$3:$H$107)</f>
        <v>0</v>
      </c>
      <c r="H61" s="68">
        <v>59</v>
      </c>
      <c r="I61" s="68" t="str">
        <v/>
      </c>
      <c r="J61" s="68" t="e">
        <f t="array" ref="J61">SMALL(IF(COUNTIFS(Y$4,'Technology MASTER'!$H$3:$H$107),MATCH(ROW('Technology MASTER'!B61:B165),ROW('Technology MASTER'!B61:B165)),""),ROWS($A$1:A59))</f>
        <v>#NUM!</v>
      </c>
      <c r="K61" s="68" t="e">
        <f t="array" ref="K61">INDEX('Technology MASTER'!$B$3:$B$107,SMALL(IF(COUNTIFS(Y$4,'Technology MASTER'!$H$3:$H$107),MATCH(ROW('Technology MASTER'!B61:B165),ROW('Technology MASTER'!B61:B165)),""),ROWS($A$1:A59)))</f>
        <v>#NUM!</v>
      </c>
      <c r="M61" s="68">
        <f>COUNTIFS(Y$4,'Technology MASTER'!$I$3:$I$107)</f>
        <v>0</v>
      </c>
      <c r="N61" s="68">
        <v>59</v>
      </c>
      <c r="O61" s="68" t="str">
        <v/>
      </c>
      <c r="P61" s="68" t="e">
        <f t="array" ref="P61">SMALL(IF(COUNTIFS(Y$4,'Technology MASTER'!$I$3:$I$107),MATCH(ROW('Technology MASTER'!B61:B165),ROW('Technology MASTER'!B61:B165)),""),ROWS($A$1:A59))</f>
        <v>#NUM!</v>
      </c>
      <c r="Q61" s="68" t="e">
        <f t="array" ref="Q61">INDEX('Technology MASTER'!$B$3:$B$107,SMALL(IF(COUNTIFS(Y$4,'Technology MASTER'!$I$3:$I$107),MATCH(ROW('Technology MASTER'!B61:B165),ROW('Technology MASTER'!B61:B165)),""),ROWS($A$1:A59)))</f>
        <v>#NUM!</v>
      </c>
    </row>
    <row r="62" spans="1:17">
      <c r="A62" s="68">
        <f>COUNTIFS(Y$4,'Technology MASTER'!$G$3:$G$107)</f>
        <v>0</v>
      </c>
      <c r="B62" s="68">
        <v>60</v>
      </c>
      <c r="C62" s="68" t="str">
        <v/>
      </c>
      <c r="D62" s="68" t="e">
        <f t="array" ref="D62">SMALL(IF(COUNTIFS(Y$4,'Technology MASTER'!$G$3:$G$107),MATCH(ROW('Technology MASTER'!B62:B166),ROW('Technology MASTER'!B62:B166)),""),ROWS($A$1:A60))</f>
        <v>#NUM!</v>
      </c>
      <c r="E62" s="68" t="e">
        <f t="array" ref="E62">INDEX('Technology MASTER'!$B$3:$B$107,SMALL(IF(COUNTIFS(Y$4,'Technology MASTER'!$G$3:$G$107),MATCH(ROW('Technology MASTER'!B62:B166),ROW('Technology MASTER'!B62:B166)),""),ROWS($A$1:A60)))</f>
        <v>#NUM!</v>
      </c>
      <c r="G62" s="68">
        <f>COUNTIFS(Y$4,'Technology MASTER'!$H$3:$H$107)</f>
        <v>0</v>
      </c>
      <c r="H62" s="68">
        <v>60</v>
      </c>
      <c r="I62" s="68" t="str">
        <v/>
      </c>
      <c r="J62" s="68" t="e">
        <f t="array" ref="J62">SMALL(IF(COUNTIFS(Y$4,'Technology MASTER'!$H$3:$H$107),MATCH(ROW('Technology MASTER'!B62:B166),ROW('Technology MASTER'!B62:B166)),""),ROWS($A$1:A60))</f>
        <v>#NUM!</v>
      </c>
      <c r="K62" s="68" t="e">
        <f t="array" ref="K62">INDEX('Technology MASTER'!$B$3:$B$107,SMALL(IF(COUNTIFS(Y$4,'Technology MASTER'!$H$3:$H$107),MATCH(ROW('Technology MASTER'!B62:B166),ROW('Technology MASTER'!B62:B166)),""),ROWS($A$1:A60)))</f>
        <v>#NUM!</v>
      </c>
      <c r="M62" s="68">
        <f>COUNTIFS(Y$4,'Technology MASTER'!$I$3:$I$107)</f>
        <v>0</v>
      </c>
      <c r="N62" s="68">
        <v>60</v>
      </c>
      <c r="O62" s="68" t="str">
        <v/>
      </c>
      <c r="P62" s="68" t="e">
        <f t="array" ref="P62">SMALL(IF(COUNTIFS(Y$4,'Technology MASTER'!$I$3:$I$107),MATCH(ROW('Technology MASTER'!B62:B166),ROW('Technology MASTER'!B62:B166)),""),ROWS($A$1:A60))</f>
        <v>#NUM!</v>
      </c>
      <c r="Q62" s="68" t="e">
        <f t="array" ref="Q62">INDEX('Technology MASTER'!$B$3:$B$107,SMALL(IF(COUNTIFS(Y$4,'Technology MASTER'!$I$3:$I$107),MATCH(ROW('Technology MASTER'!B62:B166),ROW('Technology MASTER'!B62:B166)),""),ROWS($A$1:A60)))</f>
        <v>#NUM!</v>
      </c>
    </row>
    <row r="63" spans="1:17">
      <c r="A63" s="68">
        <f>COUNTIFS(Y$4,'Technology MASTER'!$G$3:$G$107)</f>
        <v>0</v>
      </c>
      <c r="B63" s="68">
        <v>61</v>
      </c>
      <c r="C63" s="68" t="str">
        <v/>
      </c>
      <c r="D63" s="68" t="e">
        <f t="array" ref="D63">SMALL(IF(COUNTIFS(Y$4,'Technology MASTER'!$G$3:$G$107),MATCH(ROW('Technology MASTER'!B63:B167),ROW('Technology MASTER'!B63:B167)),""),ROWS($A$1:A61))</f>
        <v>#NUM!</v>
      </c>
      <c r="E63" s="68" t="e">
        <f t="array" ref="E63">INDEX('Technology MASTER'!$B$3:$B$107,SMALL(IF(COUNTIFS(Y$4,'Technology MASTER'!$G$3:$G$107),MATCH(ROW('Technology MASTER'!B63:B167),ROW('Technology MASTER'!B63:B167)),""),ROWS($A$1:A61)))</f>
        <v>#NUM!</v>
      </c>
      <c r="G63" s="68">
        <f>COUNTIFS(Y$4,'Technology MASTER'!$H$3:$H$107)</f>
        <v>0</v>
      </c>
      <c r="H63" s="68">
        <v>61</v>
      </c>
      <c r="I63" s="68" t="str">
        <v/>
      </c>
      <c r="J63" s="68" t="e">
        <f t="array" ref="J63">SMALL(IF(COUNTIFS(Y$4,'Technology MASTER'!$H$3:$H$107),MATCH(ROW('Technology MASTER'!B63:B167),ROW('Technology MASTER'!B63:B167)),""),ROWS($A$1:A61))</f>
        <v>#NUM!</v>
      </c>
      <c r="K63" s="68" t="e">
        <f t="array" ref="K63">INDEX('Technology MASTER'!$B$3:$B$107,SMALL(IF(COUNTIFS(Y$4,'Technology MASTER'!$H$3:$H$107),MATCH(ROW('Technology MASTER'!B63:B167),ROW('Technology MASTER'!B63:B167)),""),ROWS($A$1:A61)))</f>
        <v>#NUM!</v>
      </c>
      <c r="M63" s="68">
        <f>COUNTIFS(Y$4,'Technology MASTER'!$I$3:$I$107)</f>
        <v>0</v>
      </c>
      <c r="N63" s="68">
        <v>61</v>
      </c>
      <c r="O63" s="68" t="str">
        <v/>
      </c>
      <c r="P63" s="68" t="e">
        <f t="array" ref="P63">SMALL(IF(COUNTIFS(Y$4,'Technology MASTER'!$I$3:$I$107),MATCH(ROW('Technology MASTER'!B63:B167),ROW('Technology MASTER'!B63:B167)),""),ROWS($A$1:A61))</f>
        <v>#NUM!</v>
      </c>
      <c r="Q63" s="68" t="e">
        <f t="array" ref="Q63">INDEX('Technology MASTER'!$B$3:$B$107,SMALL(IF(COUNTIFS(Y$4,'Technology MASTER'!$I$3:$I$107),MATCH(ROW('Technology MASTER'!B63:B167),ROW('Technology MASTER'!B63:B167)),""),ROWS($A$1:A61)))</f>
        <v>#NUM!</v>
      </c>
    </row>
    <row r="64" spans="1:17">
      <c r="A64" s="68">
        <f>COUNTIFS(Y$4,'Technology MASTER'!$G$3:$G$107)</f>
        <v>0</v>
      </c>
      <c r="B64" s="68">
        <v>62</v>
      </c>
      <c r="C64" s="68" t="str">
        <v/>
      </c>
      <c r="D64" s="68" t="e">
        <f t="array" ref="D64">SMALL(IF(COUNTIFS(Y$4,'Technology MASTER'!$G$3:$G$107),MATCH(ROW('Technology MASTER'!B64:B168),ROW('Technology MASTER'!B64:B168)),""),ROWS($A$1:A62))</f>
        <v>#NUM!</v>
      </c>
      <c r="E64" s="68" t="e">
        <f t="array" ref="E64">INDEX('Technology MASTER'!$B$3:$B$107,SMALL(IF(COUNTIFS(Y$4,'Technology MASTER'!$G$3:$G$107),MATCH(ROW('Technology MASTER'!B64:B168),ROW('Technology MASTER'!B64:B168)),""),ROWS($A$1:A62)))</f>
        <v>#NUM!</v>
      </c>
      <c r="G64" s="68">
        <f>COUNTIFS(Y$4,'Technology MASTER'!$H$3:$H$107)</f>
        <v>0</v>
      </c>
      <c r="H64" s="68">
        <v>62</v>
      </c>
      <c r="I64" s="68" t="str">
        <v/>
      </c>
      <c r="J64" s="68" t="e">
        <f t="array" ref="J64">SMALL(IF(COUNTIFS(Y$4,'Technology MASTER'!$H$3:$H$107),MATCH(ROW('Technology MASTER'!B64:B168),ROW('Technology MASTER'!B64:B168)),""),ROWS($A$1:A62))</f>
        <v>#NUM!</v>
      </c>
      <c r="K64" s="68" t="e">
        <f t="array" ref="K64">INDEX('Technology MASTER'!$B$3:$B$107,SMALL(IF(COUNTIFS(Y$4,'Technology MASTER'!$H$3:$H$107),MATCH(ROW('Technology MASTER'!B64:B168),ROW('Technology MASTER'!B64:B168)),""),ROWS($A$1:A62)))</f>
        <v>#NUM!</v>
      </c>
      <c r="M64" s="68">
        <f>COUNTIFS(Y$4,'Technology MASTER'!$I$3:$I$107)</f>
        <v>0</v>
      </c>
      <c r="N64" s="68">
        <v>62</v>
      </c>
      <c r="O64" s="68" t="str">
        <v/>
      </c>
      <c r="P64" s="68" t="e">
        <f t="array" ref="P64">SMALL(IF(COUNTIFS(Y$4,'Technology MASTER'!$I$3:$I$107),MATCH(ROW('Technology MASTER'!B64:B168),ROW('Technology MASTER'!B64:B168)),""),ROWS($A$1:A62))</f>
        <v>#NUM!</v>
      </c>
      <c r="Q64" s="68" t="e">
        <f t="array" ref="Q64">INDEX('Technology MASTER'!$B$3:$B$107,SMALL(IF(COUNTIFS(Y$4,'Technology MASTER'!$I$3:$I$107),MATCH(ROW('Technology MASTER'!B64:B168),ROW('Technology MASTER'!B64:B168)),""),ROWS($A$1:A62)))</f>
        <v>#NUM!</v>
      </c>
    </row>
    <row r="65" spans="1:17">
      <c r="A65" s="68">
        <f>COUNTIFS(Y$4,'Technology MASTER'!$G$3:$G$107)</f>
        <v>0</v>
      </c>
      <c r="B65" s="68">
        <v>63</v>
      </c>
      <c r="C65" s="68" t="str">
        <v/>
      </c>
      <c r="D65" s="68" t="e">
        <f t="array" ref="D65">SMALL(IF(COUNTIFS(Y$4,'Technology MASTER'!$G$3:$G$107),MATCH(ROW('Technology MASTER'!B65:B169),ROW('Technology MASTER'!B65:B169)),""),ROWS($A$1:A63))</f>
        <v>#NUM!</v>
      </c>
      <c r="E65" s="68" t="e">
        <f t="array" ref="E65">INDEX('Technology MASTER'!$B$3:$B$107,SMALL(IF(COUNTIFS(Y$4,'Technology MASTER'!$G$3:$G$107),MATCH(ROW('Technology MASTER'!B65:B169),ROW('Technology MASTER'!B65:B169)),""),ROWS($A$1:A63)))</f>
        <v>#NUM!</v>
      </c>
      <c r="G65" s="68">
        <f>COUNTIFS(Y$4,'Technology MASTER'!$H$3:$H$107)</f>
        <v>0</v>
      </c>
      <c r="H65" s="68">
        <v>63</v>
      </c>
      <c r="I65" s="68" t="str">
        <v/>
      </c>
      <c r="J65" s="68" t="e">
        <f t="array" ref="J65">SMALL(IF(COUNTIFS(Y$4,'Technology MASTER'!$H$3:$H$107),MATCH(ROW('Technology MASTER'!B65:B169),ROW('Technology MASTER'!B65:B169)),""),ROWS($A$1:A63))</f>
        <v>#NUM!</v>
      </c>
      <c r="K65" s="68" t="e">
        <f t="array" ref="K65">INDEX('Technology MASTER'!$B$3:$B$107,SMALL(IF(COUNTIFS(Y$4,'Technology MASTER'!$H$3:$H$107),MATCH(ROW('Technology MASTER'!B65:B169),ROW('Technology MASTER'!B65:B169)),""),ROWS($A$1:A63)))</f>
        <v>#NUM!</v>
      </c>
      <c r="M65" s="68">
        <f>COUNTIFS(Y$4,'Technology MASTER'!$I$3:$I$107)</f>
        <v>0</v>
      </c>
      <c r="N65" s="68">
        <v>63</v>
      </c>
      <c r="O65" s="68" t="str">
        <v/>
      </c>
      <c r="P65" s="68" t="e">
        <f t="array" ref="P65">SMALL(IF(COUNTIFS(Y$4,'Technology MASTER'!$I$3:$I$107),MATCH(ROW('Technology MASTER'!B65:B169),ROW('Technology MASTER'!B65:B169)),""),ROWS($A$1:A63))</f>
        <v>#NUM!</v>
      </c>
      <c r="Q65" s="68" t="e">
        <f t="array" ref="Q65">INDEX('Technology MASTER'!$B$3:$B$107,SMALL(IF(COUNTIFS(Y$4,'Technology MASTER'!$I$3:$I$107),MATCH(ROW('Technology MASTER'!B65:B169),ROW('Technology MASTER'!B65:B169)),""),ROWS($A$1:A63)))</f>
        <v>#NUM!</v>
      </c>
    </row>
    <row r="66" spans="1:17">
      <c r="A66" s="68">
        <f>COUNTIFS(Y$4,'Technology MASTER'!$G$3:$G$107)</f>
        <v>0</v>
      </c>
      <c r="B66" s="68">
        <v>64</v>
      </c>
      <c r="C66" s="68" t="str">
        <v/>
      </c>
      <c r="D66" s="68" t="e">
        <f t="array" ref="D66">SMALL(IF(COUNTIFS(Y$4,'Technology MASTER'!$G$3:$G$107),MATCH(ROW('Technology MASTER'!B66:B170),ROW('Technology MASTER'!B66:B170)),""),ROWS($A$1:A64))</f>
        <v>#NUM!</v>
      </c>
      <c r="E66" s="68" t="e">
        <f t="array" ref="E66">INDEX('Technology MASTER'!$B$3:$B$107,SMALL(IF(COUNTIFS(Y$4,'Technology MASTER'!$G$3:$G$107),MATCH(ROW('Technology MASTER'!B66:B170),ROW('Technology MASTER'!B66:B170)),""),ROWS($A$1:A64)))</f>
        <v>#NUM!</v>
      </c>
      <c r="G66" s="68">
        <f>COUNTIFS(Y$4,'Technology MASTER'!$H$3:$H$107)</f>
        <v>0</v>
      </c>
      <c r="H66" s="68">
        <v>64</v>
      </c>
      <c r="I66" s="68" t="str">
        <v/>
      </c>
      <c r="J66" s="68" t="e">
        <f t="array" ref="J66">SMALL(IF(COUNTIFS(Y$4,'Technology MASTER'!$H$3:$H$107),MATCH(ROW('Technology MASTER'!B66:B170),ROW('Technology MASTER'!B66:B170)),""),ROWS($A$1:A64))</f>
        <v>#NUM!</v>
      </c>
      <c r="K66" s="68" t="e">
        <f t="array" ref="K66">INDEX('Technology MASTER'!$B$3:$B$107,SMALL(IF(COUNTIFS(Y$4,'Technology MASTER'!$H$3:$H$107),MATCH(ROW('Technology MASTER'!B66:B170),ROW('Technology MASTER'!B66:B170)),""),ROWS($A$1:A64)))</f>
        <v>#NUM!</v>
      </c>
      <c r="M66" s="68">
        <f>COUNTIFS(Y$4,'Technology MASTER'!$I$3:$I$107)</f>
        <v>0</v>
      </c>
      <c r="N66" s="68">
        <v>64</v>
      </c>
      <c r="O66" s="68" t="str">
        <v/>
      </c>
      <c r="P66" s="68" t="e">
        <f t="array" ref="P66">SMALL(IF(COUNTIFS(Y$4,'Technology MASTER'!$I$3:$I$107),MATCH(ROW('Technology MASTER'!B66:B170),ROW('Technology MASTER'!B66:B170)),""),ROWS($A$1:A64))</f>
        <v>#NUM!</v>
      </c>
      <c r="Q66" s="68" t="e">
        <f t="array" ref="Q66">INDEX('Technology MASTER'!$B$3:$B$107,SMALL(IF(COUNTIFS(Y$4,'Technology MASTER'!$I$3:$I$107),MATCH(ROW('Technology MASTER'!B66:B170),ROW('Technology MASTER'!B66:B170)),""),ROWS($A$1:A64)))</f>
        <v>#NUM!</v>
      </c>
    </row>
    <row r="67" spans="1:17">
      <c r="A67" s="68">
        <f>COUNTIFS(Y$4,'Technology MASTER'!$G$3:$G$107)</f>
        <v>0</v>
      </c>
      <c r="B67" s="68">
        <v>65</v>
      </c>
      <c r="C67" s="68" t="str">
        <v/>
      </c>
      <c r="D67" s="68" t="e">
        <f t="array" ref="D67">SMALL(IF(COUNTIFS(Y$4,'Technology MASTER'!$G$3:$G$107),MATCH(ROW('Technology MASTER'!B67:B171),ROW('Technology MASTER'!B67:B171)),""),ROWS($A$1:A65))</f>
        <v>#NUM!</v>
      </c>
      <c r="E67" s="68" t="e">
        <f t="array" ref="E67">INDEX('Technology MASTER'!$B$3:$B$107,SMALL(IF(COUNTIFS(Y$4,'Technology MASTER'!$G$3:$G$107),MATCH(ROW('Technology MASTER'!B67:B171),ROW('Technology MASTER'!B67:B171)),""),ROWS($A$1:A65)))</f>
        <v>#NUM!</v>
      </c>
      <c r="G67" s="68">
        <f>COUNTIFS(Y$4,'Technology MASTER'!$H$3:$H$107)</f>
        <v>0</v>
      </c>
      <c r="H67" s="68">
        <v>65</v>
      </c>
      <c r="I67" s="68" t="str">
        <v/>
      </c>
      <c r="J67" s="68" t="e">
        <f t="array" ref="J67">SMALL(IF(COUNTIFS(Y$4,'Technology MASTER'!$H$3:$H$107),MATCH(ROW('Technology MASTER'!B67:B171),ROW('Technology MASTER'!B67:B171)),""),ROWS($A$1:A65))</f>
        <v>#NUM!</v>
      </c>
      <c r="K67" s="68" t="e">
        <f t="array" ref="K67">INDEX('Technology MASTER'!$B$3:$B$107,SMALL(IF(COUNTIFS(Y$4,'Technology MASTER'!$H$3:$H$107),MATCH(ROW('Technology MASTER'!B67:B171),ROW('Technology MASTER'!B67:B171)),""),ROWS($A$1:A65)))</f>
        <v>#NUM!</v>
      </c>
      <c r="M67" s="68">
        <f>COUNTIFS(Y$4,'Technology MASTER'!$I$3:$I$107)</f>
        <v>0</v>
      </c>
      <c r="N67" s="68">
        <v>65</v>
      </c>
      <c r="O67" s="68" t="str">
        <v/>
      </c>
      <c r="P67" s="68" t="e">
        <f t="array" ref="P67">SMALL(IF(COUNTIFS(Y$4,'Technology MASTER'!$I$3:$I$107),MATCH(ROW('Technology MASTER'!B67:B171),ROW('Technology MASTER'!B67:B171)),""),ROWS($A$1:A65))</f>
        <v>#NUM!</v>
      </c>
      <c r="Q67" s="68" t="e">
        <f t="array" ref="Q67">INDEX('Technology MASTER'!$B$3:$B$107,SMALL(IF(COUNTIFS(Y$4,'Technology MASTER'!$I$3:$I$107),MATCH(ROW('Technology MASTER'!B67:B171),ROW('Technology MASTER'!B67:B171)),""),ROWS($A$1:A65)))</f>
        <v>#NUM!</v>
      </c>
    </row>
    <row r="68" spans="1:17">
      <c r="A68" s="68">
        <f>COUNTIFS(Y$4,'Technology MASTER'!$G$3:$G$107)</f>
        <v>0</v>
      </c>
      <c r="B68" s="68">
        <v>66</v>
      </c>
      <c r="C68" s="68" t="str">
        <v/>
      </c>
      <c r="D68" s="68" t="e">
        <f t="array" ref="D68">SMALL(IF(COUNTIFS(Y$4,'Technology MASTER'!$G$3:$G$107),MATCH(ROW('Technology MASTER'!B68:B172),ROW('Technology MASTER'!B68:B172)),""),ROWS($A$1:A66))</f>
        <v>#NUM!</v>
      </c>
      <c r="E68" s="68" t="e">
        <f t="array" ref="E68">INDEX('Technology MASTER'!$B$3:$B$107,SMALL(IF(COUNTIFS(Y$4,'Technology MASTER'!$G$3:$G$107),MATCH(ROW('Technology MASTER'!B68:B172),ROW('Technology MASTER'!B68:B172)),""),ROWS($A$1:A66)))</f>
        <v>#NUM!</v>
      </c>
      <c r="G68" s="68">
        <f>COUNTIFS(Y$4,'Technology MASTER'!$H$3:$H$107)</f>
        <v>0</v>
      </c>
      <c r="H68" s="68">
        <v>66</v>
      </c>
      <c r="I68" s="68" t="str">
        <v/>
      </c>
      <c r="J68" s="68" t="e">
        <f t="array" ref="J68">SMALL(IF(COUNTIFS(Y$4,'Technology MASTER'!$H$3:$H$107),MATCH(ROW('Technology MASTER'!B68:B172),ROW('Technology MASTER'!B68:B172)),""),ROWS($A$1:A66))</f>
        <v>#NUM!</v>
      </c>
      <c r="K68" s="68" t="e">
        <f t="array" ref="K68">INDEX('Technology MASTER'!$B$3:$B$107,SMALL(IF(COUNTIFS(Y$4,'Technology MASTER'!$H$3:$H$107),MATCH(ROW('Technology MASTER'!B68:B172),ROW('Technology MASTER'!B68:B172)),""),ROWS($A$1:A66)))</f>
        <v>#NUM!</v>
      </c>
      <c r="M68" s="68">
        <f>COUNTIFS(Y$4,'Technology MASTER'!$I$3:$I$107)</f>
        <v>0</v>
      </c>
      <c r="N68" s="68">
        <v>66</v>
      </c>
      <c r="O68" s="68" t="str">
        <v/>
      </c>
      <c r="P68" s="68" t="e">
        <f t="array" ref="P68">SMALL(IF(COUNTIFS(Y$4,'Technology MASTER'!$I$3:$I$107),MATCH(ROW('Technology MASTER'!B68:B172),ROW('Technology MASTER'!B68:B172)),""),ROWS($A$1:A66))</f>
        <v>#NUM!</v>
      </c>
      <c r="Q68" s="68" t="e">
        <f t="array" ref="Q68">INDEX('Technology MASTER'!$B$3:$B$107,SMALL(IF(COUNTIFS(Y$4,'Technology MASTER'!$I$3:$I$107),MATCH(ROW('Technology MASTER'!B68:B172),ROW('Technology MASTER'!B68:B172)),""),ROWS($A$1:A66)))</f>
        <v>#NUM!</v>
      </c>
    </row>
    <row r="69" spans="1:17">
      <c r="A69" s="68">
        <f>COUNTIFS(Y$4,'Technology MASTER'!$G$3:$G$107)</f>
        <v>0</v>
      </c>
      <c r="B69" s="68">
        <v>67</v>
      </c>
      <c r="C69" s="68" t="str">
        <v/>
      </c>
      <c r="D69" s="68" t="e">
        <f t="array" ref="D69">SMALL(IF(COUNTIFS(Y$4,'Technology MASTER'!$G$3:$G$107),MATCH(ROW('Technology MASTER'!B69:B173),ROW('Technology MASTER'!B69:B173)),""),ROWS($A$1:A67))</f>
        <v>#NUM!</v>
      </c>
      <c r="E69" s="68" t="e">
        <f t="array" ref="E69">INDEX('Technology MASTER'!$B$3:$B$107,SMALL(IF(COUNTIFS(Y$4,'Technology MASTER'!$G$3:$G$107),MATCH(ROW('Technology MASTER'!B69:B173),ROW('Technology MASTER'!B69:B173)),""),ROWS($A$1:A67)))</f>
        <v>#NUM!</v>
      </c>
      <c r="G69" s="68">
        <f>COUNTIFS(Y$4,'Technology MASTER'!$H$3:$H$107)</f>
        <v>0</v>
      </c>
      <c r="H69" s="68">
        <v>67</v>
      </c>
      <c r="I69" s="68" t="str">
        <v/>
      </c>
      <c r="J69" s="68" t="e">
        <f t="array" ref="J69">SMALL(IF(COUNTIFS(Y$4,'Technology MASTER'!$H$3:$H$107),MATCH(ROW('Technology MASTER'!B69:B173),ROW('Technology MASTER'!B69:B173)),""),ROWS($A$1:A67))</f>
        <v>#NUM!</v>
      </c>
      <c r="K69" s="68" t="e">
        <f t="array" ref="K69">INDEX('Technology MASTER'!$B$3:$B$107,SMALL(IF(COUNTIFS(Y$4,'Technology MASTER'!$H$3:$H$107),MATCH(ROW('Technology MASTER'!B69:B173),ROW('Technology MASTER'!B69:B173)),""),ROWS($A$1:A67)))</f>
        <v>#NUM!</v>
      </c>
      <c r="M69" s="68">
        <f>COUNTIFS(Y$4,'Technology MASTER'!$I$3:$I$107)</f>
        <v>0</v>
      </c>
      <c r="N69" s="68">
        <v>67</v>
      </c>
      <c r="O69" s="68" t="str">
        <v/>
      </c>
      <c r="P69" s="68" t="e">
        <f t="array" ref="P69">SMALL(IF(COUNTIFS(Y$4,'Technology MASTER'!$I$3:$I$107),MATCH(ROW('Technology MASTER'!B69:B173),ROW('Technology MASTER'!B69:B173)),""),ROWS($A$1:A67))</f>
        <v>#NUM!</v>
      </c>
      <c r="Q69" s="68" t="e">
        <f t="array" ref="Q69">INDEX('Technology MASTER'!$B$3:$B$107,SMALL(IF(COUNTIFS(Y$4,'Technology MASTER'!$I$3:$I$107),MATCH(ROW('Technology MASTER'!B69:B173),ROW('Technology MASTER'!B69:B173)),""),ROWS($A$1:A67)))</f>
        <v>#NUM!</v>
      </c>
    </row>
    <row r="70" spans="1:17">
      <c r="A70" s="68">
        <f>COUNTIFS(Y$4,'Technology MASTER'!$G$3:$G$107)</f>
        <v>0</v>
      </c>
      <c r="B70" s="68">
        <v>68</v>
      </c>
      <c r="C70" s="68" t="str">
        <v/>
      </c>
      <c r="D70" s="68" t="e">
        <f t="array" ref="D70">SMALL(IF(COUNTIFS(Y$4,'Technology MASTER'!$G$3:$G$107),MATCH(ROW('Technology MASTER'!B70:B174),ROW('Technology MASTER'!B70:B174)),""),ROWS($A$1:A68))</f>
        <v>#NUM!</v>
      </c>
      <c r="E70" s="68" t="e">
        <f t="array" ref="E70">INDEX('Technology MASTER'!$B$3:$B$107,SMALL(IF(COUNTIFS(Y$4,'Technology MASTER'!$G$3:$G$107),MATCH(ROW('Technology MASTER'!B70:B174),ROW('Technology MASTER'!B70:B174)),""),ROWS($A$1:A68)))</f>
        <v>#NUM!</v>
      </c>
      <c r="G70" s="68">
        <f>COUNTIFS(Y$4,'Technology MASTER'!$H$3:$H$107)</f>
        <v>0</v>
      </c>
      <c r="H70" s="68">
        <v>68</v>
      </c>
      <c r="I70" s="68" t="str">
        <v/>
      </c>
      <c r="J70" s="68" t="e">
        <f t="array" ref="J70">SMALL(IF(COUNTIFS(Y$4,'Technology MASTER'!$H$3:$H$107),MATCH(ROW('Technology MASTER'!B70:B174),ROW('Technology MASTER'!B70:B174)),""),ROWS($A$1:A68))</f>
        <v>#NUM!</v>
      </c>
      <c r="K70" s="68" t="e">
        <f t="array" ref="K70">INDEX('Technology MASTER'!$B$3:$B$107,SMALL(IF(COUNTIFS(Y$4,'Technology MASTER'!$H$3:$H$107),MATCH(ROW('Technology MASTER'!B70:B174),ROW('Technology MASTER'!B70:B174)),""),ROWS($A$1:A68)))</f>
        <v>#NUM!</v>
      </c>
      <c r="M70" s="68">
        <f>COUNTIFS(Y$4,'Technology MASTER'!$I$3:$I$107)</f>
        <v>0</v>
      </c>
      <c r="N70" s="68">
        <v>68</v>
      </c>
      <c r="O70" s="68" t="str">
        <v/>
      </c>
      <c r="P70" s="68" t="e">
        <f t="array" ref="P70">SMALL(IF(COUNTIFS(Y$4,'Technology MASTER'!$I$3:$I$107),MATCH(ROW('Technology MASTER'!B70:B174),ROW('Technology MASTER'!B70:B174)),""),ROWS($A$1:A68))</f>
        <v>#NUM!</v>
      </c>
      <c r="Q70" s="68" t="e">
        <f t="array" ref="Q70">INDEX('Technology MASTER'!$B$3:$B$107,SMALL(IF(COUNTIFS(Y$4,'Technology MASTER'!$I$3:$I$107),MATCH(ROW('Technology MASTER'!B70:B174),ROW('Technology MASTER'!B70:B174)),""),ROWS($A$1:A68)))</f>
        <v>#NUM!</v>
      </c>
    </row>
    <row r="71" spans="1:17">
      <c r="A71" s="68">
        <f>COUNTIFS(Y$4,'Technology MASTER'!$G$3:$G$107)</f>
        <v>0</v>
      </c>
      <c r="B71" s="68">
        <v>69</v>
      </c>
      <c r="C71" s="68" t="str">
        <v/>
      </c>
      <c r="D71" s="68" t="e">
        <f t="array" ref="D71">SMALL(IF(COUNTIFS(Y$4,'Technology MASTER'!$G$3:$G$107),MATCH(ROW('Technology MASTER'!B71:B175),ROW('Technology MASTER'!B71:B175)),""),ROWS($A$1:A69))</f>
        <v>#NUM!</v>
      </c>
      <c r="E71" s="68" t="e">
        <f t="array" ref="E71">INDEX('Technology MASTER'!$B$3:$B$107,SMALL(IF(COUNTIFS(Y$4,'Technology MASTER'!$G$3:$G$107),MATCH(ROW('Technology MASTER'!B71:B175),ROW('Technology MASTER'!B71:B175)),""),ROWS($A$1:A69)))</f>
        <v>#NUM!</v>
      </c>
      <c r="G71" s="68">
        <f>COUNTIFS(Y$4,'Technology MASTER'!$H$3:$H$107)</f>
        <v>0</v>
      </c>
      <c r="H71" s="68">
        <v>69</v>
      </c>
      <c r="I71" s="68" t="str">
        <v/>
      </c>
      <c r="J71" s="68" t="e">
        <f t="array" ref="J71">SMALL(IF(COUNTIFS(Y$4,'Technology MASTER'!$H$3:$H$107),MATCH(ROW('Technology MASTER'!B71:B175),ROW('Technology MASTER'!B71:B175)),""),ROWS($A$1:A69))</f>
        <v>#NUM!</v>
      </c>
      <c r="K71" s="68" t="e">
        <f t="array" ref="K71">INDEX('Technology MASTER'!$B$3:$B$107,SMALL(IF(COUNTIFS(Y$4,'Technology MASTER'!$H$3:$H$107),MATCH(ROW('Technology MASTER'!B71:B175),ROW('Technology MASTER'!B71:B175)),""),ROWS($A$1:A69)))</f>
        <v>#NUM!</v>
      </c>
      <c r="M71" s="68">
        <f>COUNTIFS(Y$4,'Technology MASTER'!$I$3:$I$107)</f>
        <v>0</v>
      </c>
      <c r="N71" s="68">
        <v>69</v>
      </c>
      <c r="O71" s="68" t="str">
        <v/>
      </c>
      <c r="P71" s="68" t="e">
        <f t="array" ref="P71">SMALL(IF(COUNTIFS(Y$4,'Technology MASTER'!$I$3:$I$107),MATCH(ROW('Technology MASTER'!B71:B175),ROW('Technology MASTER'!B71:B175)),""),ROWS($A$1:A69))</f>
        <v>#NUM!</v>
      </c>
      <c r="Q71" s="68" t="e">
        <f t="array" ref="Q71">INDEX('Technology MASTER'!$B$3:$B$107,SMALL(IF(COUNTIFS(Y$4,'Technology MASTER'!$I$3:$I$107),MATCH(ROW('Technology MASTER'!B71:B175),ROW('Technology MASTER'!B71:B175)),""),ROWS($A$1:A69)))</f>
        <v>#NUM!</v>
      </c>
    </row>
    <row r="72" spans="1:17">
      <c r="A72" s="68">
        <f>COUNTIFS(Y$4,'Technology MASTER'!$G$3:$G$107)</f>
        <v>0</v>
      </c>
      <c r="B72" s="68">
        <v>70</v>
      </c>
      <c r="C72" s="68" t="str">
        <v/>
      </c>
      <c r="D72" s="68" t="e">
        <f t="array" ref="D72">SMALL(IF(COUNTIFS(Y$4,'Technology MASTER'!$G$3:$G$107),MATCH(ROW('Technology MASTER'!B72:B176),ROW('Technology MASTER'!B72:B176)),""),ROWS($A$1:A70))</f>
        <v>#NUM!</v>
      </c>
      <c r="E72" s="68" t="e">
        <f t="array" ref="E72">INDEX('Technology MASTER'!$B$3:$B$107,SMALL(IF(COUNTIFS(Y$4,'Technology MASTER'!$G$3:$G$107),MATCH(ROW('Technology MASTER'!B72:B176),ROW('Technology MASTER'!B72:B176)),""),ROWS($A$1:A70)))</f>
        <v>#NUM!</v>
      </c>
      <c r="G72" s="68">
        <f>COUNTIFS(Y$4,'Technology MASTER'!$H$3:$H$107)</f>
        <v>0</v>
      </c>
      <c r="H72" s="68">
        <v>70</v>
      </c>
      <c r="I72" s="68" t="str">
        <v/>
      </c>
      <c r="J72" s="68" t="e">
        <f t="array" ref="J72">SMALL(IF(COUNTIFS(Y$4,'Technology MASTER'!$H$3:$H$107),MATCH(ROW('Technology MASTER'!B72:B176),ROW('Technology MASTER'!B72:B176)),""),ROWS($A$1:A70))</f>
        <v>#NUM!</v>
      </c>
      <c r="K72" s="68" t="e">
        <f t="array" ref="K72">INDEX('Technology MASTER'!$B$3:$B$107,SMALL(IF(COUNTIFS(Y$4,'Technology MASTER'!$H$3:$H$107),MATCH(ROW('Technology MASTER'!B72:B176),ROW('Technology MASTER'!B72:B176)),""),ROWS($A$1:A70)))</f>
        <v>#NUM!</v>
      </c>
      <c r="M72" s="68">
        <f>COUNTIFS(Y$4,'Technology MASTER'!$I$3:$I$107)</f>
        <v>0</v>
      </c>
      <c r="N72" s="68">
        <v>70</v>
      </c>
      <c r="O72" s="68" t="str">
        <v/>
      </c>
      <c r="P72" s="68" t="e">
        <f t="array" ref="P72">SMALL(IF(COUNTIFS(Y$4,'Technology MASTER'!$I$3:$I$107),MATCH(ROW('Technology MASTER'!B72:B176),ROW('Technology MASTER'!B72:B176)),""),ROWS($A$1:A70))</f>
        <v>#NUM!</v>
      </c>
      <c r="Q72" s="68" t="e">
        <f t="array" ref="Q72">INDEX('Technology MASTER'!$B$3:$B$107,SMALL(IF(COUNTIFS(Y$4,'Technology MASTER'!$I$3:$I$107),MATCH(ROW('Technology MASTER'!B72:B176),ROW('Technology MASTER'!B72:B176)),""),ROWS($A$1:A70)))</f>
        <v>#NUM!</v>
      </c>
    </row>
    <row r="73" spans="1:17">
      <c r="A73" s="68">
        <f>COUNTIFS(Y$4,'Technology MASTER'!$G$3:$G$107)</f>
        <v>0</v>
      </c>
      <c r="B73" s="68">
        <v>71</v>
      </c>
      <c r="C73" s="68" t="str">
        <v/>
      </c>
      <c r="D73" s="68" t="e">
        <f t="array" ref="D73">SMALL(IF(COUNTIFS(Y$4,'Technology MASTER'!$G$3:$G$107),MATCH(ROW('Technology MASTER'!B73:B177),ROW('Technology MASTER'!B73:B177)),""),ROWS($A$1:A71))</f>
        <v>#NUM!</v>
      </c>
      <c r="E73" s="68" t="e">
        <f t="array" ref="E73">INDEX('Technology MASTER'!$B$3:$B$107,SMALL(IF(COUNTIFS(Y$4,'Technology MASTER'!$G$3:$G$107),MATCH(ROW('Technology MASTER'!B73:B177),ROW('Technology MASTER'!B73:B177)),""),ROWS($A$1:A71)))</f>
        <v>#NUM!</v>
      </c>
      <c r="G73" s="68">
        <f>COUNTIFS(Y$4,'Technology MASTER'!$H$3:$H$107)</f>
        <v>0</v>
      </c>
      <c r="H73" s="68">
        <v>71</v>
      </c>
      <c r="I73" s="68" t="str">
        <v/>
      </c>
      <c r="J73" s="68" t="e">
        <f t="array" ref="J73">SMALL(IF(COUNTIFS(Y$4,'Technology MASTER'!$H$3:$H$107),MATCH(ROW('Technology MASTER'!B73:B177),ROW('Technology MASTER'!B73:B177)),""),ROWS($A$1:A71))</f>
        <v>#NUM!</v>
      </c>
      <c r="K73" s="68" t="e">
        <f t="array" ref="K73">INDEX('Technology MASTER'!$B$3:$B$107,SMALL(IF(COUNTIFS(Y$4,'Technology MASTER'!$H$3:$H$107),MATCH(ROW('Technology MASTER'!B73:B177),ROW('Technology MASTER'!B73:B177)),""),ROWS($A$1:A71)))</f>
        <v>#NUM!</v>
      </c>
      <c r="M73" s="68">
        <f>COUNTIFS(Y$4,'Technology MASTER'!$I$3:$I$107)</f>
        <v>0</v>
      </c>
      <c r="N73" s="68">
        <v>71</v>
      </c>
      <c r="O73" s="68" t="str">
        <v/>
      </c>
      <c r="P73" s="68" t="e">
        <f t="array" ref="P73">SMALL(IF(COUNTIFS(Y$4,'Technology MASTER'!$I$3:$I$107),MATCH(ROW('Technology MASTER'!B73:B177),ROW('Technology MASTER'!B73:B177)),""),ROWS($A$1:A71))</f>
        <v>#NUM!</v>
      </c>
      <c r="Q73" s="68" t="e">
        <f t="array" ref="Q73">INDEX('Technology MASTER'!$B$3:$B$107,SMALL(IF(COUNTIFS(Y$4,'Technology MASTER'!$I$3:$I$107),MATCH(ROW('Technology MASTER'!B73:B177),ROW('Technology MASTER'!B73:B177)),""),ROWS($A$1:A71)))</f>
        <v>#NUM!</v>
      </c>
    </row>
    <row r="74" spans="1:17">
      <c r="A74" s="68">
        <f>COUNTIFS(Y$4,'Technology MASTER'!$G$3:$G$107)</f>
        <v>0</v>
      </c>
      <c r="B74" s="68">
        <v>72</v>
      </c>
      <c r="C74" s="68" t="str">
        <v/>
      </c>
      <c r="D74" s="68" t="e">
        <f t="array" ref="D74">SMALL(IF(COUNTIFS(Y$4,'Technology MASTER'!$G$3:$G$107),MATCH(ROW('Technology MASTER'!B74:B178),ROW('Technology MASTER'!B74:B178)),""),ROWS($A$1:A72))</f>
        <v>#NUM!</v>
      </c>
      <c r="E74" s="68" t="e">
        <f t="array" ref="E74">INDEX('Technology MASTER'!$B$3:$B$107,SMALL(IF(COUNTIFS(Y$4,'Technology MASTER'!$G$3:$G$107),MATCH(ROW('Technology MASTER'!B74:B178),ROW('Technology MASTER'!B74:B178)),""),ROWS($A$1:A72)))</f>
        <v>#NUM!</v>
      </c>
      <c r="G74" s="68">
        <f>COUNTIFS(Y$4,'Technology MASTER'!$H$3:$H$107)</f>
        <v>0</v>
      </c>
      <c r="H74" s="68">
        <v>72</v>
      </c>
      <c r="I74" s="68" t="str">
        <v/>
      </c>
      <c r="J74" s="68" t="e">
        <f t="array" ref="J74">SMALL(IF(COUNTIFS(Y$4,'Technology MASTER'!$H$3:$H$107),MATCH(ROW('Technology MASTER'!B74:B178),ROW('Technology MASTER'!B74:B178)),""),ROWS($A$1:A72))</f>
        <v>#NUM!</v>
      </c>
      <c r="K74" s="68" t="e">
        <f t="array" ref="K74">INDEX('Technology MASTER'!$B$3:$B$107,SMALL(IF(COUNTIFS(Y$4,'Technology MASTER'!$H$3:$H$107),MATCH(ROW('Technology MASTER'!B74:B178),ROW('Technology MASTER'!B74:B178)),""),ROWS($A$1:A72)))</f>
        <v>#NUM!</v>
      </c>
      <c r="M74" s="68">
        <f>COUNTIFS(Y$4,'Technology MASTER'!$I$3:$I$107)</f>
        <v>0</v>
      </c>
      <c r="N74" s="68">
        <v>72</v>
      </c>
      <c r="O74" s="68" t="str">
        <v/>
      </c>
      <c r="P74" s="68" t="e">
        <f t="array" ref="P74">SMALL(IF(COUNTIFS(Y$4,'Technology MASTER'!$I$3:$I$107),MATCH(ROW('Technology MASTER'!B74:B178),ROW('Technology MASTER'!B74:B178)),""),ROWS($A$1:A72))</f>
        <v>#NUM!</v>
      </c>
      <c r="Q74" s="68" t="e">
        <f t="array" ref="Q74">INDEX('Technology MASTER'!$B$3:$B$107,SMALL(IF(COUNTIFS(Y$4,'Technology MASTER'!$I$3:$I$107),MATCH(ROW('Technology MASTER'!B74:B178),ROW('Technology MASTER'!B74:B178)),""),ROWS($A$1:A72)))</f>
        <v>#NUM!</v>
      </c>
    </row>
    <row r="75" spans="1:17">
      <c r="A75" s="68">
        <f>COUNTIFS(Y$4,'Technology MASTER'!$G$3:$G$107)</f>
        <v>0</v>
      </c>
      <c r="B75" s="68">
        <v>73</v>
      </c>
      <c r="C75" s="68" t="str">
        <v/>
      </c>
      <c r="D75" s="68" t="e">
        <f t="array" ref="D75">SMALL(IF(COUNTIFS(Y$4,'Technology MASTER'!$G$3:$G$107),MATCH(ROW('Technology MASTER'!B75:B179),ROW('Technology MASTER'!B75:B179)),""),ROWS($A$1:A73))</f>
        <v>#NUM!</v>
      </c>
      <c r="E75" s="68" t="e">
        <f t="array" ref="E75">INDEX('Technology MASTER'!$B$3:$B$107,SMALL(IF(COUNTIFS(Y$4,'Technology MASTER'!$G$3:$G$107),MATCH(ROW('Technology MASTER'!B75:B179),ROW('Technology MASTER'!B75:B179)),""),ROWS($A$1:A73)))</f>
        <v>#NUM!</v>
      </c>
      <c r="G75" s="68">
        <f>COUNTIFS(Y$4,'Technology MASTER'!$H$3:$H$107)</f>
        <v>0</v>
      </c>
      <c r="H75" s="68">
        <v>73</v>
      </c>
      <c r="I75" s="68" t="str">
        <v/>
      </c>
      <c r="J75" s="68" t="e">
        <f t="array" ref="J75">SMALL(IF(COUNTIFS(Y$4,'Technology MASTER'!$H$3:$H$107),MATCH(ROW('Technology MASTER'!B75:B179),ROW('Technology MASTER'!B75:B179)),""),ROWS($A$1:A73))</f>
        <v>#NUM!</v>
      </c>
      <c r="K75" s="68" t="e">
        <f t="array" ref="K75">INDEX('Technology MASTER'!$B$3:$B$107,SMALL(IF(COUNTIFS(Y$4,'Technology MASTER'!$H$3:$H$107),MATCH(ROW('Technology MASTER'!B75:B179),ROW('Technology MASTER'!B75:B179)),""),ROWS($A$1:A73)))</f>
        <v>#NUM!</v>
      </c>
      <c r="M75" s="68">
        <f>COUNTIFS(Y$4,'Technology MASTER'!$I$3:$I$107)</f>
        <v>0</v>
      </c>
      <c r="N75" s="68">
        <v>73</v>
      </c>
      <c r="O75" s="68" t="str">
        <v/>
      </c>
      <c r="P75" s="68" t="e">
        <f t="array" ref="P75">SMALL(IF(COUNTIFS(Y$4,'Technology MASTER'!$I$3:$I$107),MATCH(ROW('Technology MASTER'!B75:B179),ROW('Technology MASTER'!B75:B179)),""),ROWS($A$1:A73))</f>
        <v>#NUM!</v>
      </c>
      <c r="Q75" s="68" t="e">
        <f t="array" ref="Q75">INDEX('Technology MASTER'!$B$3:$B$107,SMALL(IF(COUNTIFS(Y$4,'Technology MASTER'!$I$3:$I$107),MATCH(ROW('Technology MASTER'!B75:B179),ROW('Technology MASTER'!B75:B179)),""),ROWS($A$1:A73)))</f>
        <v>#NUM!</v>
      </c>
    </row>
    <row r="76" spans="1:17">
      <c r="A76" s="68">
        <f>COUNTIFS(Y$4,'Technology MASTER'!$G$3:$G$107)</f>
        <v>0</v>
      </c>
      <c r="B76" s="68">
        <v>74</v>
      </c>
      <c r="C76" s="68" t="str">
        <v/>
      </c>
      <c r="D76" s="68" t="e">
        <f t="array" ref="D76">SMALL(IF(COUNTIFS(Y$4,'Technology MASTER'!$G$3:$G$107),MATCH(ROW('Technology MASTER'!B76:B180),ROW('Technology MASTER'!B76:B180)),""),ROWS($A$1:A74))</f>
        <v>#NUM!</v>
      </c>
      <c r="E76" s="68" t="e">
        <f t="array" ref="E76">INDEX('Technology MASTER'!$B$3:$B$107,SMALL(IF(COUNTIFS(Y$4,'Technology MASTER'!$G$3:$G$107),MATCH(ROW('Technology MASTER'!B76:B180),ROW('Technology MASTER'!B76:B180)),""),ROWS($A$1:A74)))</f>
        <v>#NUM!</v>
      </c>
      <c r="G76" s="68">
        <f>COUNTIFS(Y$4,'Technology MASTER'!$H$3:$H$107)</f>
        <v>0</v>
      </c>
      <c r="H76" s="68">
        <v>74</v>
      </c>
      <c r="I76" s="68" t="str">
        <v/>
      </c>
      <c r="J76" s="68" t="e">
        <f t="array" ref="J76">SMALL(IF(COUNTIFS(Y$4,'Technology MASTER'!$H$3:$H$107),MATCH(ROW('Technology MASTER'!B76:B180),ROW('Technology MASTER'!B76:B180)),""),ROWS($A$1:A74))</f>
        <v>#NUM!</v>
      </c>
      <c r="K76" s="68" t="e">
        <f t="array" ref="K76">INDEX('Technology MASTER'!$B$3:$B$107,SMALL(IF(COUNTIFS(Y$4,'Technology MASTER'!$H$3:$H$107),MATCH(ROW('Technology MASTER'!B76:B180),ROW('Technology MASTER'!B76:B180)),""),ROWS($A$1:A74)))</f>
        <v>#NUM!</v>
      </c>
      <c r="M76" s="68">
        <f>COUNTIFS(Y$4,'Technology MASTER'!$I$3:$I$107)</f>
        <v>0</v>
      </c>
      <c r="N76" s="68">
        <v>74</v>
      </c>
      <c r="O76" s="68" t="str">
        <v/>
      </c>
      <c r="P76" s="68" t="e">
        <f t="array" ref="P76">SMALL(IF(COUNTIFS(Y$4,'Technology MASTER'!$I$3:$I$107),MATCH(ROW('Technology MASTER'!B76:B180),ROW('Technology MASTER'!B76:B180)),""),ROWS($A$1:A74))</f>
        <v>#NUM!</v>
      </c>
      <c r="Q76" s="68" t="e">
        <f t="array" ref="Q76">INDEX('Technology MASTER'!$B$3:$B$107,SMALL(IF(COUNTIFS(Y$4,'Technology MASTER'!$I$3:$I$107),MATCH(ROW('Technology MASTER'!B76:B180),ROW('Technology MASTER'!B76:B180)),""),ROWS($A$1:A74)))</f>
        <v>#NUM!</v>
      </c>
    </row>
    <row r="77" spans="1:17">
      <c r="A77" s="68">
        <f>COUNTIFS(Y$4,'Technology MASTER'!$G$3:$G$107)</f>
        <v>0</v>
      </c>
      <c r="B77" s="68">
        <v>75</v>
      </c>
      <c r="C77" s="68" t="str">
        <v/>
      </c>
      <c r="D77" s="68" t="e">
        <f t="array" ref="D77">SMALL(IF(COUNTIFS(Y$4,'Technology MASTER'!$G$3:$G$107),MATCH(ROW('Technology MASTER'!B77:B181),ROW('Technology MASTER'!B77:B181)),""),ROWS($A$1:A75))</f>
        <v>#NUM!</v>
      </c>
      <c r="E77" s="68" t="e">
        <f t="array" ref="E77">INDEX('Technology MASTER'!$B$3:$B$107,SMALL(IF(COUNTIFS(Y$4,'Technology MASTER'!$G$3:$G$107),MATCH(ROW('Technology MASTER'!B77:B181),ROW('Technology MASTER'!B77:B181)),""),ROWS($A$1:A75)))</f>
        <v>#NUM!</v>
      </c>
      <c r="G77" s="68">
        <f>COUNTIFS(Y$4,'Technology MASTER'!$H$3:$H$107)</f>
        <v>0</v>
      </c>
      <c r="H77" s="68">
        <v>75</v>
      </c>
      <c r="I77" s="68" t="str">
        <v/>
      </c>
      <c r="J77" s="68" t="e">
        <f t="array" ref="J77">SMALL(IF(COUNTIFS(Y$4,'Technology MASTER'!$H$3:$H$107),MATCH(ROW('Technology MASTER'!B77:B181),ROW('Technology MASTER'!B77:B181)),""),ROWS($A$1:A75))</f>
        <v>#NUM!</v>
      </c>
      <c r="K77" s="68" t="e">
        <f t="array" ref="K77">INDEX('Technology MASTER'!$B$3:$B$107,SMALL(IF(COUNTIFS(Y$4,'Technology MASTER'!$H$3:$H$107),MATCH(ROW('Technology MASTER'!B77:B181),ROW('Technology MASTER'!B77:B181)),""),ROWS($A$1:A75)))</f>
        <v>#NUM!</v>
      </c>
      <c r="M77" s="68">
        <f>COUNTIFS(Y$4,'Technology MASTER'!$I$3:$I$107)</f>
        <v>0</v>
      </c>
      <c r="N77" s="68">
        <v>75</v>
      </c>
      <c r="O77" s="68" t="str">
        <v/>
      </c>
      <c r="P77" s="68" t="e">
        <f t="array" ref="P77">SMALL(IF(COUNTIFS(Y$4,'Technology MASTER'!$I$3:$I$107),MATCH(ROW('Technology MASTER'!B77:B181),ROW('Technology MASTER'!B77:B181)),""),ROWS($A$1:A75))</f>
        <v>#NUM!</v>
      </c>
      <c r="Q77" s="68" t="e">
        <f t="array" ref="Q77">INDEX('Technology MASTER'!$B$3:$B$107,SMALL(IF(COUNTIFS(Y$4,'Technology MASTER'!$I$3:$I$107),MATCH(ROW('Technology MASTER'!B77:B181),ROW('Technology MASTER'!B77:B181)),""),ROWS($A$1:A75)))</f>
        <v>#NUM!</v>
      </c>
    </row>
    <row r="78" spans="1:17">
      <c r="A78" s="68">
        <f>COUNTIFS(Y$4,'Technology MASTER'!$G$3:$G$107)</f>
        <v>0</v>
      </c>
      <c r="B78" s="68">
        <v>76</v>
      </c>
      <c r="C78" s="68" t="str">
        <v/>
      </c>
      <c r="D78" s="68" t="e">
        <f t="array" ref="D78">SMALL(IF(COUNTIFS(Y$4,'Technology MASTER'!$G$3:$G$107),MATCH(ROW('Technology MASTER'!B78:B182),ROW('Technology MASTER'!B78:B182)),""),ROWS($A$1:A76))</f>
        <v>#NUM!</v>
      </c>
      <c r="E78" s="68" t="e">
        <f t="array" ref="E78">INDEX('Technology MASTER'!$B$3:$B$107,SMALL(IF(COUNTIFS(Y$4,'Technology MASTER'!$G$3:$G$107),MATCH(ROW('Technology MASTER'!B78:B182),ROW('Technology MASTER'!B78:B182)),""),ROWS($A$1:A76)))</f>
        <v>#NUM!</v>
      </c>
      <c r="G78" s="68">
        <f>COUNTIFS(Y$4,'Technology MASTER'!$H$3:$H$107)</f>
        <v>0</v>
      </c>
      <c r="H78" s="68">
        <v>76</v>
      </c>
      <c r="I78" s="68" t="str">
        <v/>
      </c>
      <c r="J78" s="68" t="e">
        <f t="array" ref="J78">SMALL(IF(COUNTIFS(Y$4,'Technology MASTER'!$H$3:$H$107),MATCH(ROW('Technology MASTER'!B78:B182),ROW('Technology MASTER'!B78:B182)),""),ROWS($A$1:A76))</f>
        <v>#NUM!</v>
      </c>
      <c r="K78" s="68" t="e">
        <f t="array" ref="K78">INDEX('Technology MASTER'!$B$3:$B$107,SMALL(IF(COUNTIFS(Y$4,'Technology MASTER'!$H$3:$H$107),MATCH(ROW('Technology MASTER'!B78:B182),ROW('Technology MASTER'!B78:B182)),""),ROWS($A$1:A76)))</f>
        <v>#NUM!</v>
      </c>
      <c r="M78" s="68">
        <f>COUNTIFS(Y$4,'Technology MASTER'!$I$3:$I$107)</f>
        <v>0</v>
      </c>
      <c r="N78" s="68">
        <v>76</v>
      </c>
      <c r="O78" s="68" t="str">
        <v/>
      </c>
      <c r="P78" s="68" t="e">
        <f t="array" ref="P78">SMALL(IF(COUNTIFS(Y$4,'Technology MASTER'!$I$3:$I$107),MATCH(ROW('Technology MASTER'!B78:B182),ROW('Technology MASTER'!B78:B182)),""),ROWS($A$1:A76))</f>
        <v>#NUM!</v>
      </c>
      <c r="Q78" s="68" t="e">
        <f t="array" ref="Q78">INDEX('Technology MASTER'!$B$3:$B$107,SMALL(IF(COUNTIFS(Y$4,'Technology MASTER'!$I$3:$I$107),MATCH(ROW('Technology MASTER'!B78:B182),ROW('Technology MASTER'!B78:B182)),""),ROWS($A$1:A76)))</f>
        <v>#NUM!</v>
      </c>
    </row>
    <row r="79" spans="1:17">
      <c r="A79" s="68">
        <f>COUNTIFS(Y$4,'Technology MASTER'!$G$3:$G$107)</f>
        <v>0</v>
      </c>
      <c r="B79" s="68">
        <v>77</v>
      </c>
      <c r="C79" s="68" t="str">
        <v/>
      </c>
      <c r="D79" s="68" t="e">
        <f t="array" ref="D79">SMALL(IF(COUNTIFS(Y$4,'Technology MASTER'!$G$3:$G$107),MATCH(ROW('Technology MASTER'!B79:B183),ROW('Technology MASTER'!B79:B183)),""),ROWS($A$1:A77))</f>
        <v>#NUM!</v>
      </c>
      <c r="E79" s="68" t="e">
        <f t="array" ref="E79">INDEX('Technology MASTER'!$B$3:$B$107,SMALL(IF(COUNTIFS(Y$4,'Technology MASTER'!$G$3:$G$107),MATCH(ROW('Technology MASTER'!B79:B183),ROW('Technology MASTER'!B79:B183)),""),ROWS($A$1:A77)))</f>
        <v>#NUM!</v>
      </c>
      <c r="G79" s="68">
        <f>COUNTIFS(Y$4,'Technology MASTER'!$H$3:$H$107)</f>
        <v>0</v>
      </c>
      <c r="H79" s="68">
        <v>77</v>
      </c>
      <c r="I79" s="68" t="str">
        <v/>
      </c>
      <c r="J79" s="68" t="e">
        <f t="array" ref="J79">SMALL(IF(COUNTIFS(Y$4,'Technology MASTER'!$H$3:$H$107),MATCH(ROW('Technology MASTER'!B79:B183),ROW('Technology MASTER'!B79:B183)),""),ROWS($A$1:A77))</f>
        <v>#NUM!</v>
      </c>
      <c r="K79" s="68" t="e">
        <f t="array" ref="K79">INDEX('Technology MASTER'!$B$3:$B$107,SMALL(IF(COUNTIFS(Y$4,'Technology MASTER'!$H$3:$H$107),MATCH(ROW('Technology MASTER'!B79:B183),ROW('Technology MASTER'!B79:B183)),""),ROWS($A$1:A77)))</f>
        <v>#NUM!</v>
      </c>
      <c r="M79" s="68">
        <f>COUNTIFS(Y$4,'Technology MASTER'!$I$3:$I$107)</f>
        <v>0</v>
      </c>
      <c r="N79" s="68">
        <v>77</v>
      </c>
      <c r="O79" s="68" t="str">
        <v/>
      </c>
      <c r="P79" s="68" t="e">
        <f t="array" ref="P79">SMALL(IF(COUNTIFS(Y$4,'Technology MASTER'!$I$3:$I$107),MATCH(ROW('Technology MASTER'!B79:B183),ROW('Technology MASTER'!B79:B183)),""),ROWS($A$1:A77))</f>
        <v>#NUM!</v>
      </c>
      <c r="Q79" s="68" t="e">
        <f t="array" ref="Q79">INDEX('Technology MASTER'!$B$3:$B$107,SMALL(IF(COUNTIFS(Y$4,'Technology MASTER'!$I$3:$I$107),MATCH(ROW('Technology MASTER'!B79:B183),ROW('Technology MASTER'!B79:B183)),""),ROWS($A$1:A77)))</f>
        <v>#NUM!</v>
      </c>
    </row>
    <row r="80" spans="1:17">
      <c r="A80" s="68">
        <f>COUNTIFS(Y$4,'Technology MASTER'!$G$3:$G$107)</f>
        <v>0</v>
      </c>
      <c r="B80" s="68">
        <v>78</v>
      </c>
      <c r="C80" s="68" t="str">
        <v/>
      </c>
      <c r="D80" s="68" t="e">
        <f t="array" ref="D80">SMALL(IF(COUNTIFS(Y$4,'Technology MASTER'!$G$3:$G$107),MATCH(ROW('Technology MASTER'!B80:B184),ROW('Technology MASTER'!B80:B184)),""),ROWS($A$1:A78))</f>
        <v>#NUM!</v>
      </c>
      <c r="E80" s="68" t="e">
        <f t="array" ref="E80">INDEX('Technology MASTER'!$B$3:$B$107,SMALL(IF(COUNTIFS(Y$4,'Technology MASTER'!$G$3:$G$107),MATCH(ROW('Technology MASTER'!B80:B184),ROW('Technology MASTER'!B80:B184)),""),ROWS($A$1:A78)))</f>
        <v>#NUM!</v>
      </c>
      <c r="G80" s="68">
        <f>COUNTIFS(Y$4,'Technology MASTER'!$H$3:$H$107)</f>
        <v>0</v>
      </c>
      <c r="H80" s="68">
        <v>78</v>
      </c>
      <c r="I80" s="68" t="str">
        <v/>
      </c>
      <c r="J80" s="68" t="e">
        <f t="array" ref="J80">SMALL(IF(COUNTIFS(Y$4,'Technology MASTER'!$H$3:$H$107),MATCH(ROW('Technology MASTER'!B80:B184),ROW('Technology MASTER'!B80:B184)),""),ROWS($A$1:A78))</f>
        <v>#NUM!</v>
      </c>
      <c r="K80" s="68" t="e">
        <f t="array" ref="K80">INDEX('Technology MASTER'!$B$3:$B$107,SMALL(IF(COUNTIFS(Y$4,'Technology MASTER'!$H$3:$H$107),MATCH(ROW('Technology MASTER'!B80:B184),ROW('Technology MASTER'!B80:B184)),""),ROWS($A$1:A78)))</f>
        <v>#NUM!</v>
      </c>
      <c r="M80" s="68">
        <f>COUNTIFS(Y$4,'Technology MASTER'!$I$3:$I$107)</f>
        <v>0</v>
      </c>
      <c r="N80" s="68">
        <v>78</v>
      </c>
      <c r="O80" s="68" t="str">
        <v/>
      </c>
      <c r="P80" s="68" t="e">
        <f t="array" ref="P80">SMALL(IF(COUNTIFS(Y$4,'Technology MASTER'!$I$3:$I$107),MATCH(ROW('Technology MASTER'!B80:B184),ROW('Technology MASTER'!B80:B184)),""),ROWS($A$1:A78))</f>
        <v>#NUM!</v>
      </c>
      <c r="Q80" s="68" t="e">
        <f t="array" ref="Q80">INDEX('Technology MASTER'!$B$3:$B$107,SMALL(IF(COUNTIFS(Y$4,'Technology MASTER'!$I$3:$I$107),MATCH(ROW('Technology MASTER'!B80:B184),ROW('Technology MASTER'!B80:B184)),""),ROWS($A$1:A78)))</f>
        <v>#NUM!</v>
      </c>
    </row>
    <row r="81" spans="1:17">
      <c r="A81" s="68">
        <f>COUNTIFS(Y$4,'Technology MASTER'!$G$3:$G$107)</f>
        <v>0</v>
      </c>
      <c r="B81" s="68">
        <v>79</v>
      </c>
      <c r="C81" s="68" t="str">
        <v/>
      </c>
      <c r="D81" s="68" t="e">
        <f t="array" ref="D81">SMALL(IF(COUNTIFS(Y$4,'Technology MASTER'!$G$3:$G$107),MATCH(ROW('Technology MASTER'!B81:B185),ROW('Technology MASTER'!B81:B185)),""),ROWS($A$1:A79))</f>
        <v>#NUM!</v>
      </c>
      <c r="E81" s="68" t="e">
        <f t="array" ref="E81">INDEX('Technology MASTER'!$B$3:$B$107,SMALL(IF(COUNTIFS(Y$4,'Technology MASTER'!$G$3:$G$107),MATCH(ROW('Technology MASTER'!B81:B185),ROW('Technology MASTER'!B81:B185)),""),ROWS($A$1:A79)))</f>
        <v>#NUM!</v>
      </c>
      <c r="G81" s="68">
        <f>COUNTIFS(Y$4,'Technology MASTER'!$H$3:$H$107)</f>
        <v>0</v>
      </c>
      <c r="H81" s="68">
        <v>79</v>
      </c>
      <c r="I81" s="68" t="str">
        <v/>
      </c>
      <c r="J81" s="68" t="e">
        <f t="array" ref="J81">SMALL(IF(COUNTIFS(Y$4,'Technology MASTER'!$H$3:$H$107),MATCH(ROW('Technology MASTER'!B81:B185),ROW('Technology MASTER'!B81:B185)),""),ROWS($A$1:A79))</f>
        <v>#NUM!</v>
      </c>
      <c r="K81" s="68" t="e">
        <f t="array" ref="K81">INDEX('Technology MASTER'!$B$3:$B$107,SMALL(IF(COUNTIFS(Y$4,'Technology MASTER'!$H$3:$H$107),MATCH(ROW('Technology MASTER'!B81:B185),ROW('Technology MASTER'!B81:B185)),""),ROWS($A$1:A79)))</f>
        <v>#NUM!</v>
      </c>
      <c r="M81" s="68">
        <f>COUNTIFS(Y$4,'Technology MASTER'!$I$3:$I$107)</f>
        <v>0</v>
      </c>
      <c r="N81" s="68">
        <v>79</v>
      </c>
      <c r="O81" s="68" t="str">
        <v/>
      </c>
      <c r="P81" s="68" t="e">
        <f t="array" ref="P81">SMALL(IF(COUNTIFS(Y$4,'Technology MASTER'!$I$3:$I$107),MATCH(ROW('Technology MASTER'!B81:B185),ROW('Technology MASTER'!B81:B185)),""),ROWS($A$1:A79))</f>
        <v>#NUM!</v>
      </c>
      <c r="Q81" s="68" t="e">
        <f t="array" ref="Q81">INDEX('Technology MASTER'!$B$3:$B$107,SMALL(IF(COUNTIFS(Y$4,'Technology MASTER'!$I$3:$I$107),MATCH(ROW('Technology MASTER'!B81:B185),ROW('Technology MASTER'!B81:B185)),""),ROWS($A$1:A79)))</f>
        <v>#NUM!</v>
      </c>
    </row>
    <row r="82" spans="1:17">
      <c r="A82" s="68">
        <f>COUNTIFS(Y$4,'Technology MASTER'!$G$3:$G$107)</f>
        <v>0</v>
      </c>
      <c r="B82" s="68">
        <v>80</v>
      </c>
      <c r="C82" s="68" t="str">
        <v/>
      </c>
      <c r="D82" s="68" t="e">
        <f t="array" ref="D82">SMALL(IF(COUNTIFS(Y$4,'Technology MASTER'!$G$3:$G$107),MATCH(ROW('Technology MASTER'!B82:B186),ROW('Technology MASTER'!B82:B186)),""),ROWS($A$1:A80))</f>
        <v>#NUM!</v>
      </c>
      <c r="E82" s="68" t="e">
        <f t="array" ref="E82">INDEX('Technology MASTER'!$B$3:$B$107,SMALL(IF(COUNTIFS(Y$4,'Technology MASTER'!$G$3:$G$107),MATCH(ROW('Technology MASTER'!B82:B186),ROW('Technology MASTER'!B82:B186)),""),ROWS($A$1:A80)))</f>
        <v>#NUM!</v>
      </c>
      <c r="G82" s="68">
        <f>COUNTIFS(Y$4,'Technology MASTER'!$H$3:$H$107)</f>
        <v>0</v>
      </c>
      <c r="H82" s="68">
        <v>80</v>
      </c>
      <c r="I82" s="68" t="str">
        <v/>
      </c>
      <c r="J82" s="68" t="e">
        <f t="array" ref="J82">SMALL(IF(COUNTIFS(Y$4,'Technology MASTER'!$H$3:$H$107),MATCH(ROW('Technology MASTER'!B82:B186),ROW('Technology MASTER'!B82:B186)),""),ROWS($A$1:A80))</f>
        <v>#NUM!</v>
      </c>
      <c r="K82" s="68" t="e">
        <f t="array" ref="K82">INDEX('Technology MASTER'!$B$3:$B$107,SMALL(IF(COUNTIFS(Y$4,'Technology MASTER'!$H$3:$H$107),MATCH(ROW('Technology MASTER'!B82:B186),ROW('Technology MASTER'!B82:B186)),""),ROWS($A$1:A80)))</f>
        <v>#NUM!</v>
      </c>
      <c r="M82" s="68">
        <f>COUNTIFS(Y$4,'Technology MASTER'!$I$3:$I$107)</f>
        <v>0</v>
      </c>
      <c r="N82" s="68">
        <v>80</v>
      </c>
      <c r="O82" s="68" t="str">
        <v/>
      </c>
      <c r="P82" s="68" t="e">
        <f t="array" ref="P82">SMALL(IF(COUNTIFS(Y$4,'Technology MASTER'!$I$3:$I$107),MATCH(ROW('Technology MASTER'!B82:B186),ROW('Technology MASTER'!B82:B186)),""),ROWS($A$1:A80))</f>
        <v>#NUM!</v>
      </c>
      <c r="Q82" s="68" t="e">
        <f t="array" ref="Q82">INDEX('Technology MASTER'!$B$3:$B$107,SMALL(IF(COUNTIFS(Y$4,'Technology MASTER'!$I$3:$I$107),MATCH(ROW('Technology MASTER'!B82:B186),ROW('Technology MASTER'!B82:B186)),""),ROWS($A$1:A80)))</f>
        <v>#NUM!</v>
      </c>
    </row>
    <row r="83" spans="1:17">
      <c r="A83" s="68">
        <f>COUNTIFS(Y$4,'Technology MASTER'!$G$3:$G$107)</f>
        <v>0</v>
      </c>
      <c r="B83" s="68">
        <v>81</v>
      </c>
      <c r="C83" s="68" t="str">
        <v/>
      </c>
      <c r="D83" s="68" t="e">
        <f t="array" ref="D83">SMALL(IF(COUNTIFS(Y$4,'Technology MASTER'!$G$3:$G$107),MATCH(ROW('Technology MASTER'!B83:B187),ROW('Technology MASTER'!B83:B187)),""),ROWS($A$1:A81))</f>
        <v>#NUM!</v>
      </c>
      <c r="E83" s="68" t="e">
        <f t="array" ref="E83">INDEX('Technology MASTER'!$B$3:$B$107,SMALL(IF(COUNTIFS(Y$4,'Technology MASTER'!$G$3:$G$107),MATCH(ROW('Technology MASTER'!B83:B187),ROW('Technology MASTER'!B83:B187)),""),ROWS($A$1:A81)))</f>
        <v>#NUM!</v>
      </c>
      <c r="G83" s="68">
        <f>COUNTIFS(Y$4,'Technology MASTER'!$H$3:$H$107)</f>
        <v>0</v>
      </c>
      <c r="H83" s="68">
        <v>81</v>
      </c>
      <c r="I83" s="68" t="str">
        <v/>
      </c>
      <c r="J83" s="68" t="e">
        <f t="array" ref="J83">SMALL(IF(COUNTIFS(Y$4,'Technology MASTER'!$H$3:$H$107),MATCH(ROW('Technology MASTER'!B83:B187),ROW('Technology MASTER'!B83:B187)),""),ROWS($A$1:A81))</f>
        <v>#NUM!</v>
      </c>
      <c r="K83" s="68" t="e">
        <f t="array" ref="K83">INDEX('Technology MASTER'!$B$3:$B$107,SMALL(IF(COUNTIFS(Y$4,'Technology MASTER'!$H$3:$H$107),MATCH(ROW('Technology MASTER'!B83:B187),ROW('Technology MASTER'!B83:B187)),""),ROWS($A$1:A81)))</f>
        <v>#NUM!</v>
      </c>
      <c r="M83" s="68">
        <f>COUNTIFS(Y$4,'Technology MASTER'!$I$3:$I$107)</f>
        <v>0</v>
      </c>
      <c r="N83" s="68">
        <v>81</v>
      </c>
      <c r="O83" s="68" t="str">
        <v/>
      </c>
      <c r="P83" s="68" t="e">
        <f t="array" ref="P83">SMALL(IF(COUNTIFS(Y$4,'Technology MASTER'!$I$3:$I$107),MATCH(ROW('Technology MASTER'!B83:B187),ROW('Technology MASTER'!B83:B187)),""),ROWS($A$1:A81))</f>
        <v>#NUM!</v>
      </c>
      <c r="Q83" s="68" t="e">
        <f t="array" ref="Q83">INDEX('Technology MASTER'!$B$3:$B$107,SMALL(IF(COUNTIFS(Y$4,'Technology MASTER'!$I$3:$I$107),MATCH(ROW('Technology MASTER'!B83:B187),ROW('Technology MASTER'!B83:B187)),""),ROWS($A$1:A81)))</f>
        <v>#NUM!</v>
      </c>
    </row>
    <row r="84" spans="1:17">
      <c r="A84" s="68">
        <f>COUNTIFS(Y$4,'Technology MASTER'!$G$3:$G$107)</f>
        <v>0</v>
      </c>
      <c r="B84" s="68">
        <v>82</v>
      </c>
      <c r="C84" s="68" t="str">
        <v/>
      </c>
      <c r="D84" s="68" t="e">
        <f t="array" ref="D84">SMALL(IF(COUNTIFS(Y$4,'Technology MASTER'!$G$3:$G$107),MATCH(ROW('Technology MASTER'!B84:B188),ROW('Technology MASTER'!B84:B188)),""),ROWS($A$1:A82))</f>
        <v>#NUM!</v>
      </c>
      <c r="E84" s="68" t="e">
        <f t="array" ref="E84">INDEX('Technology MASTER'!$B$3:$B$107,SMALL(IF(COUNTIFS(Y$4,'Technology MASTER'!$G$3:$G$107),MATCH(ROW('Technology MASTER'!B84:B188),ROW('Technology MASTER'!B84:B188)),""),ROWS($A$1:A82)))</f>
        <v>#NUM!</v>
      </c>
      <c r="G84" s="68">
        <f>COUNTIFS(Y$4,'Technology MASTER'!$H$3:$H$107)</f>
        <v>0</v>
      </c>
      <c r="H84" s="68">
        <v>82</v>
      </c>
      <c r="I84" s="68" t="str">
        <v/>
      </c>
      <c r="J84" s="68" t="e">
        <f t="array" ref="J84">SMALL(IF(COUNTIFS(Y$4,'Technology MASTER'!$H$3:$H$107),MATCH(ROW('Technology MASTER'!B84:B188),ROW('Technology MASTER'!B84:B188)),""),ROWS($A$1:A82))</f>
        <v>#NUM!</v>
      </c>
      <c r="K84" s="68" t="e">
        <f t="array" ref="K84">INDEX('Technology MASTER'!$B$3:$B$107,SMALL(IF(COUNTIFS(Y$4,'Technology MASTER'!$H$3:$H$107),MATCH(ROW('Technology MASTER'!B84:B188),ROW('Technology MASTER'!B84:B188)),""),ROWS($A$1:A82)))</f>
        <v>#NUM!</v>
      </c>
      <c r="M84" s="68">
        <f>COUNTIFS(Y$4,'Technology MASTER'!$I$3:$I$107)</f>
        <v>0</v>
      </c>
      <c r="N84" s="68">
        <v>82</v>
      </c>
      <c r="O84" s="68" t="str">
        <v/>
      </c>
      <c r="P84" s="68" t="e">
        <f t="array" ref="P84">SMALL(IF(COUNTIFS(Y$4,'Technology MASTER'!$I$3:$I$107),MATCH(ROW('Technology MASTER'!B84:B188),ROW('Technology MASTER'!B84:B188)),""),ROWS($A$1:A82))</f>
        <v>#NUM!</v>
      </c>
      <c r="Q84" s="68" t="e">
        <f t="array" ref="Q84">INDEX('Technology MASTER'!$B$3:$B$107,SMALL(IF(COUNTIFS(Y$4,'Technology MASTER'!$I$3:$I$107),MATCH(ROW('Technology MASTER'!B84:B188),ROW('Technology MASTER'!B84:B188)),""),ROWS($A$1:A82)))</f>
        <v>#NUM!</v>
      </c>
    </row>
    <row r="85" spans="1:17">
      <c r="A85" s="68">
        <f>COUNTIFS(Y$4,'Technology MASTER'!$G$3:$G$107)</f>
        <v>0</v>
      </c>
      <c r="B85" s="68">
        <v>83</v>
      </c>
      <c r="C85" s="68" t="str">
        <v/>
      </c>
      <c r="D85" s="68" t="e">
        <f t="array" ref="D85">SMALL(IF(COUNTIFS(Y$4,'Technology MASTER'!$G$3:$G$107),MATCH(ROW('Technology MASTER'!B85:B189),ROW('Technology MASTER'!B85:B189)),""),ROWS($A$1:A83))</f>
        <v>#NUM!</v>
      </c>
      <c r="E85" s="68" t="e">
        <f t="array" ref="E85">INDEX('Technology MASTER'!$B$3:$B$107,SMALL(IF(COUNTIFS(Y$4,'Technology MASTER'!$G$3:$G$107),MATCH(ROW('Technology MASTER'!B85:B189),ROW('Technology MASTER'!B85:B189)),""),ROWS($A$1:A83)))</f>
        <v>#NUM!</v>
      </c>
      <c r="G85" s="68">
        <f>COUNTIFS(Y$4,'Technology MASTER'!$H$3:$H$107)</f>
        <v>0</v>
      </c>
      <c r="H85" s="68">
        <v>83</v>
      </c>
      <c r="I85" s="68" t="str">
        <v/>
      </c>
      <c r="J85" s="68" t="e">
        <f t="array" ref="J85">SMALL(IF(COUNTIFS(Y$4,'Technology MASTER'!$H$3:$H$107),MATCH(ROW('Technology MASTER'!B85:B189),ROW('Technology MASTER'!B85:B189)),""),ROWS($A$1:A83))</f>
        <v>#NUM!</v>
      </c>
      <c r="K85" s="68" t="e">
        <f t="array" ref="K85">INDEX('Technology MASTER'!$B$3:$B$107,SMALL(IF(COUNTIFS(Y$4,'Technology MASTER'!$H$3:$H$107),MATCH(ROW('Technology MASTER'!B85:B189),ROW('Technology MASTER'!B85:B189)),""),ROWS($A$1:A83)))</f>
        <v>#NUM!</v>
      </c>
      <c r="M85" s="68">
        <f>COUNTIFS(Y$4,'Technology MASTER'!$I$3:$I$107)</f>
        <v>0</v>
      </c>
      <c r="N85" s="68">
        <v>83</v>
      </c>
      <c r="O85" s="68" t="str">
        <v/>
      </c>
      <c r="P85" s="68" t="e">
        <f t="array" ref="P85">SMALL(IF(COUNTIFS(Y$4,'Technology MASTER'!$I$3:$I$107),MATCH(ROW('Technology MASTER'!B85:B189),ROW('Technology MASTER'!B85:B189)),""),ROWS($A$1:A83))</f>
        <v>#NUM!</v>
      </c>
      <c r="Q85" s="68" t="e">
        <f t="array" ref="Q85">INDEX('Technology MASTER'!$B$3:$B$107,SMALL(IF(COUNTIFS(Y$4,'Technology MASTER'!$I$3:$I$107),MATCH(ROW('Technology MASTER'!B85:B189),ROW('Technology MASTER'!B85:B189)),""),ROWS($A$1:A83)))</f>
        <v>#NUM!</v>
      </c>
    </row>
    <row r="86" spans="1:17">
      <c r="A86" s="68">
        <f>COUNTIFS(Y$4,'Technology MASTER'!$G$3:$G$107)</f>
        <v>0</v>
      </c>
      <c r="B86" s="68">
        <v>84</v>
      </c>
      <c r="C86" s="68" t="str">
        <v/>
      </c>
      <c r="D86" s="68" t="e">
        <f t="array" ref="D86">SMALL(IF(COUNTIFS(Y$4,'Technology MASTER'!$G$3:$G$107),MATCH(ROW('Technology MASTER'!B86:B190),ROW('Technology MASTER'!B86:B190)),""),ROWS($A$1:A84))</f>
        <v>#NUM!</v>
      </c>
      <c r="E86" s="68" t="e">
        <f t="array" ref="E86">INDEX('Technology MASTER'!$B$3:$B$107,SMALL(IF(COUNTIFS(Y$4,'Technology MASTER'!$G$3:$G$107),MATCH(ROW('Technology MASTER'!B86:B190),ROW('Technology MASTER'!B86:B190)),""),ROWS($A$1:A84)))</f>
        <v>#NUM!</v>
      </c>
      <c r="G86" s="68">
        <f>COUNTIFS(Y$4,'Technology MASTER'!$H$3:$H$107)</f>
        <v>0</v>
      </c>
      <c r="H86" s="68">
        <v>84</v>
      </c>
      <c r="I86" s="68" t="str">
        <v/>
      </c>
      <c r="J86" s="68" t="e">
        <f t="array" ref="J86">SMALL(IF(COUNTIFS(Y$4,'Technology MASTER'!$H$3:$H$107),MATCH(ROW('Technology MASTER'!B86:B190),ROW('Technology MASTER'!B86:B190)),""),ROWS($A$1:A84))</f>
        <v>#NUM!</v>
      </c>
      <c r="K86" s="68" t="e">
        <f t="array" ref="K86">INDEX('Technology MASTER'!$B$3:$B$107,SMALL(IF(COUNTIFS(Y$4,'Technology MASTER'!$H$3:$H$107),MATCH(ROW('Technology MASTER'!B86:B190),ROW('Technology MASTER'!B86:B190)),""),ROWS($A$1:A84)))</f>
        <v>#NUM!</v>
      </c>
      <c r="M86" s="68">
        <f>COUNTIFS(Y$4,'Technology MASTER'!$I$3:$I$107)</f>
        <v>0</v>
      </c>
      <c r="N86" s="68">
        <v>84</v>
      </c>
      <c r="O86" s="68" t="str">
        <v/>
      </c>
      <c r="P86" s="68" t="e">
        <f t="array" ref="P86">SMALL(IF(COUNTIFS(Y$4,'Technology MASTER'!$I$3:$I$107),MATCH(ROW('Technology MASTER'!B86:B190),ROW('Technology MASTER'!B86:B190)),""),ROWS($A$1:A84))</f>
        <v>#NUM!</v>
      </c>
      <c r="Q86" s="68" t="e">
        <f t="array" ref="Q86">INDEX('Technology MASTER'!$B$3:$B$107,SMALL(IF(COUNTIFS(Y$4,'Technology MASTER'!$I$3:$I$107),MATCH(ROW('Technology MASTER'!B86:B190),ROW('Technology MASTER'!B86:B190)),""),ROWS($A$1:A84)))</f>
        <v>#NUM!</v>
      </c>
    </row>
    <row r="87" spans="1:17">
      <c r="A87" s="68">
        <f>COUNTIFS(Y$4,'Technology MASTER'!$G$3:$G$107)</f>
        <v>0</v>
      </c>
      <c r="B87" s="68">
        <v>85</v>
      </c>
      <c r="C87" s="68" t="str">
        <v/>
      </c>
      <c r="D87" s="68" t="e">
        <f t="array" ref="D87">SMALL(IF(COUNTIFS(Y$4,'Technology MASTER'!$G$3:$G$107),MATCH(ROW('Technology MASTER'!B87:B191),ROW('Technology MASTER'!B87:B191)),""),ROWS($A$1:A85))</f>
        <v>#NUM!</v>
      </c>
      <c r="E87" s="68" t="e">
        <f t="array" ref="E87">INDEX('Technology MASTER'!$B$3:$B$107,SMALL(IF(COUNTIFS(Y$4,'Technology MASTER'!$G$3:$G$107),MATCH(ROW('Technology MASTER'!B87:B191),ROW('Technology MASTER'!B87:B191)),""),ROWS($A$1:A85)))</f>
        <v>#NUM!</v>
      </c>
      <c r="G87" s="68">
        <f>COUNTIFS(Y$4,'Technology MASTER'!$H$3:$H$107)</f>
        <v>0</v>
      </c>
      <c r="H87" s="68">
        <v>85</v>
      </c>
      <c r="I87" s="68" t="str">
        <v/>
      </c>
      <c r="J87" s="68" t="e">
        <f t="array" ref="J87">SMALL(IF(COUNTIFS(Y$4,'Technology MASTER'!$H$3:$H$107),MATCH(ROW('Technology MASTER'!B87:B191),ROW('Technology MASTER'!B87:B191)),""),ROWS($A$1:A85))</f>
        <v>#NUM!</v>
      </c>
      <c r="K87" s="68" t="e">
        <f t="array" ref="K87">INDEX('Technology MASTER'!$B$3:$B$107,SMALL(IF(COUNTIFS(Y$4,'Technology MASTER'!$H$3:$H$107),MATCH(ROW('Technology MASTER'!B87:B191),ROW('Technology MASTER'!B87:B191)),""),ROWS($A$1:A85)))</f>
        <v>#NUM!</v>
      </c>
      <c r="M87" s="68">
        <f>COUNTIFS(Y$4,'Technology MASTER'!$I$3:$I$107)</f>
        <v>0</v>
      </c>
      <c r="N87" s="68">
        <v>85</v>
      </c>
      <c r="O87" s="68" t="str">
        <v/>
      </c>
      <c r="P87" s="68" t="e">
        <f t="array" ref="P87">SMALL(IF(COUNTIFS(Y$4,'Technology MASTER'!$I$3:$I$107),MATCH(ROW('Technology MASTER'!B87:B191),ROW('Technology MASTER'!B87:B191)),""),ROWS($A$1:A85))</f>
        <v>#NUM!</v>
      </c>
      <c r="Q87" s="68" t="e">
        <f t="array" ref="Q87">INDEX('Technology MASTER'!$B$3:$B$107,SMALL(IF(COUNTIFS(Y$4,'Technology MASTER'!$I$3:$I$107),MATCH(ROW('Technology MASTER'!B87:B191),ROW('Technology MASTER'!B87:B191)),""),ROWS($A$1:A85)))</f>
        <v>#NUM!</v>
      </c>
    </row>
    <row r="88" spans="1:17">
      <c r="A88" s="68">
        <f>COUNTIFS(Y$4,'Technology MASTER'!$G$3:$G$107)</f>
        <v>0</v>
      </c>
      <c r="B88" s="68">
        <v>86</v>
      </c>
      <c r="C88" s="68" t="str">
        <v/>
      </c>
      <c r="D88" s="68" t="e">
        <f t="array" ref="D88">SMALL(IF(COUNTIFS(Y$4,'Technology MASTER'!$G$3:$G$107),MATCH(ROW('Technology MASTER'!B88:B192),ROW('Technology MASTER'!B88:B192)),""),ROWS($A$1:A86))</f>
        <v>#NUM!</v>
      </c>
      <c r="E88" s="68" t="e">
        <f t="array" ref="E88">INDEX('Technology MASTER'!$B$3:$B$107,SMALL(IF(COUNTIFS(Y$4,'Technology MASTER'!$G$3:$G$107),MATCH(ROW('Technology MASTER'!B88:B192),ROW('Technology MASTER'!B88:B192)),""),ROWS($A$1:A86)))</f>
        <v>#NUM!</v>
      </c>
      <c r="G88" s="68">
        <f>COUNTIFS(Y$4,'Technology MASTER'!$H$3:$H$107)</f>
        <v>0</v>
      </c>
      <c r="H88" s="68">
        <v>86</v>
      </c>
      <c r="I88" s="68" t="str">
        <v/>
      </c>
      <c r="J88" s="68" t="e">
        <f t="array" ref="J88">SMALL(IF(COUNTIFS(Y$4,'Technology MASTER'!$H$3:$H$107),MATCH(ROW('Technology MASTER'!B88:B192),ROW('Technology MASTER'!B88:B192)),""),ROWS($A$1:A86))</f>
        <v>#NUM!</v>
      </c>
      <c r="K88" s="68" t="e">
        <f t="array" ref="K88">INDEX('Technology MASTER'!$B$3:$B$107,SMALL(IF(COUNTIFS(Y$4,'Technology MASTER'!$H$3:$H$107),MATCH(ROW('Technology MASTER'!B88:B192),ROW('Technology MASTER'!B88:B192)),""),ROWS($A$1:A86)))</f>
        <v>#NUM!</v>
      </c>
      <c r="M88" s="68">
        <f>COUNTIFS(Y$4,'Technology MASTER'!$I$3:$I$107)</f>
        <v>0</v>
      </c>
      <c r="N88" s="68">
        <v>86</v>
      </c>
      <c r="O88" s="68" t="str">
        <v/>
      </c>
      <c r="P88" s="68" t="e">
        <f t="array" ref="P88">SMALL(IF(COUNTIFS(Y$4,'Technology MASTER'!$I$3:$I$107),MATCH(ROW('Technology MASTER'!B88:B192),ROW('Technology MASTER'!B88:B192)),""),ROWS($A$1:A86))</f>
        <v>#NUM!</v>
      </c>
      <c r="Q88" s="68" t="e">
        <f t="array" ref="Q88">INDEX('Technology MASTER'!$B$3:$B$107,SMALL(IF(COUNTIFS(Y$4,'Technology MASTER'!$I$3:$I$107),MATCH(ROW('Technology MASTER'!B88:B192),ROW('Technology MASTER'!B88:B192)),""),ROWS($A$1:A86)))</f>
        <v>#NUM!</v>
      </c>
    </row>
    <row r="89" spans="1:17">
      <c r="A89" s="68">
        <f>COUNTIFS(Y$4,'Technology MASTER'!$G$3:$G$107)</f>
        <v>0</v>
      </c>
      <c r="B89" s="68">
        <v>87</v>
      </c>
      <c r="C89" s="68" t="str">
        <v/>
      </c>
      <c r="D89" s="68" t="e">
        <f t="array" ref="D89">SMALL(IF(COUNTIFS(Y$4,'Technology MASTER'!$G$3:$G$107),MATCH(ROW('Technology MASTER'!B89:B193),ROW('Technology MASTER'!B89:B193)),""),ROWS($A$1:A87))</f>
        <v>#NUM!</v>
      </c>
      <c r="E89" s="68" t="e">
        <f t="array" ref="E89">INDEX('Technology MASTER'!$B$3:$B$107,SMALL(IF(COUNTIFS(Y$4,'Technology MASTER'!$G$3:$G$107),MATCH(ROW('Technology MASTER'!B89:B193),ROW('Technology MASTER'!B89:B193)),""),ROWS($A$1:A87)))</f>
        <v>#NUM!</v>
      </c>
      <c r="G89" s="68">
        <f>COUNTIFS(Y$4,'Technology MASTER'!$H$3:$H$107)</f>
        <v>0</v>
      </c>
      <c r="H89" s="68">
        <v>87</v>
      </c>
      <c r="I89" s="68" t="str">
        <v/>
      </c>
      <c r="J89" s="68" t="e">
        <f t="array" ref="J89">SMALL(IF(COUNTIFS(Y$4,'Technology MASTER'!$H$3:$H$107),MATCH(ROW('Technology MASTER'!B89:B193),ROW('Technology MASTER'!B89:B193)),""),ROWS($A$1:A87))</f>
        <v>#NUM!</v>
      </c>
      <c r="K89" s="68" t="e">
        <f t="array" ref="K89">INDEX('Technology MASTER'!$B$3:$B$107,SMALL(IF(COUNTIFS(Y$4,'Technology MASTER'!$H$3:$H$107),MATCH(ROW('Technology MASTER'!B89:B193),ROW('Technology MASTER'!B89:B193)),""),ROWS($A$1:A87)))</f>
        <v>#NUM!</v>
      </c>
      <c r="M89" s="68">
        <f>COUNTIFS(Y$4,'Technology MASTER'!$I$3:$I$107)</f>
        <v>0</v>
      </c>
      <c r="N89" s="68">
        <v>87</v>
      </c>
      <c r="O89" s="68" t="str">
        <v/>
      </c>
      <c r="P89" s="68" t="e">
        <f t="array" ref="P89">SMALL(IF(COUNTIFS(Y$4,'Technology MASTER'!$I$3:$I$107),MATCH(ROW('Technology MASTER'!B89:B193),ROW('Technology MASTER'!B89:B193)),""),ROWS($A$1:A87))</f>
        <v>#NUM!</v>
      </c>
      <c r="Q89" s="68" t="e">
        <f t="array" ref="Q89">INDEX('Technology MASTER'!$B$3:$B$107,SMALL(IF(COUNTIFS(Y$4,'Technology MASTER'!$I$3:$I$107),MATCH(ROW('Technology MASTER'!B89:B193),ROW('Technology MASTER'!B89:B193)),""),ROWS($A$1:A87)))</f>
        <v>#NUM!</v>
      </c>
    </row>
    <row r="90" spans="1:17">
      <c r="A90" s="68">
        <f>COUNTIFS(Y$4,'Technology MASTER'!$G$3:$G$107)</f>
        <v>0</v>
      </c>
      <c r="B90" s="68">
        <v>88</v>
      </c>
      <c r="C90" s="68" t="str">
        <v/>
      </c>
      <c r="D90" s="68" t="e">
        <f t="array" ref="D90">SMALL(IF(COUNTIFS(Y$4,'Technology MASTER'!$G$3:$G$107),MATCH(ROW('Technology MASTER'!B90:B194),ROW('Technology MASTER'!B90:B194)),""),ROWS($A$1:A88))</f>
        <v>#NUM!</v>
      </c>
      <c r="E90" s="68" t="e">
        <f t="array" ref="E90">INDEX('Technology MASTER'!$B$3:$B$107,SMALL(IF(COUNTIFS(Y$4,'Technology MASTER'!$G$3:$G$107),MATCH(ROW('Technology MASTER'!B90:B194),ROW('Technology MASTER'!B90:B194)),""),ROWS($A$1:A88)))</f>
        <v>#NUM!</v>
      </c>
      <c r="G90" s="68">
        <f>COUNTIFS(Y$4,'Technology MASTER'!$H$3:$H$107)</f>
        <v>0</v>
      </c>
      <c r="H90" s="68">
        <v>88</v>
      </c>
      <c r="I90" s="68" t="str">
        <v/>
      </c>
      <c r="J90" s="68" t="e">
        <f t="array" ref="J90">SMALL(IF(COUNTIFS(Y$4,'Technology MASTER'!$H$3:$H$107),MATCH(ROW('Technology MASTER'!B90:B194),ROW('Technology MASTER'!B90:B194)),""),ROWS($A$1:A88))</f>
        <v>#NUM!</v>
      </c>
      <c r="K90" s="68" t="e">
        <f t="array" ref="K90">INDEX('Technology MASTER'!$B$3:$B$107,SMALL(IF(COUNTIFS(Y$4,'Technology MASTER'!$H$3:$H$107),MATCH(ROW('Technology MASTER'!B90:B194),ROW('Technology MASTER'!B90:B194)),""),ROWS($A$1:A88)))</f>
        <v>#NUM!</v>
      </c>
      <c r="M90" s="68">
        <f>COUNTIFS(Y$4,'Technology MASTER'!$I$3:$I$107)</f>
        <v>0</v>
      </c>
      <c r="N90" s="68">
        <v>88</v>
      </c>
      <c r="O90" s="68" t="str">
        <v/>
      </c>
      <c r="P90" s="68" t="e">
        <f t="array" ref="P90">SMALL(IF(COUNTIFS(Y$4,'Technology MASTER'!$I$3:$I$107),MATCH(ROW('Technology MASTER'!B90:B194),ROW('Technology MASTER'!B90:B194)),""),ROWS($A$1:A88))</f>
        <v>#NUM!</v>
      </c>
      <c r="Q90" s="68" t="e">
        <f t="array" ref="Q90">INDEX('Technology MASTER'!$B$3:$B$107,SMALL(IF(COUNTIFS(Y$4,'Technology MASTER'!$I$3:$I$107),MATCH(ROW('Technology MASTER'!B90:B194),ROW('Technology MASTER'!B90:B194)),""),ROWS($A$1:A88)))</f>
        <v>#NUM!</v>
      </c>
    </row>
    <row r="91" spans="1:17">
      <c r="A91" s="68">
        <f>COUNTIFS(Y$4,'Technology MASTER'!$G$3:$G$107)</f>
        <v>0</v>
      </c>
      <c r="B91" s="68">
        <v>89</v>
      </c>
      <c r="C91" s="68" t="str">
        <v/>
      </c>
      <c r="D91" s="68" t="e">
        <f t="array" ref="D91">SMALL(IF(COUNTIFS(Y$4,'Technology MASTER'!$G$3:$G$107),MATCH(ROW('Technology MASTER'!B91:B195),ROW('Technology MASTER'!B91:B195)),""),ROWS($A$1:A89))</f>
        <v>#NUM!</v>
      </c>
      <c r="E91" s="68" t="e">
        <f t="array" ref="E91">INDEX('Technology MASTER'!$B$3:$B$107,SMALL(IF(COUNTIFS(Y$4,'Technology MASTER'!$G$3:$G$107),MATCH(ROW('Technology MASTER'!B91:B195),ROW('Technology MASTER'!B91:B195)),""),ROWS($A$1:A89)))</f>
        <v>#NUM!</v>
      </c>
      <c r="G91" s="68">
        <f>COUNTIFS(Y$4,'Technology MASTER'!$H$3:$H$107)</f>
        <v>0</v>
      </c>
      <c r="H91" s="68">
        <v>89</v>
      </c>
      <c r="I91" s="68" t="str">
        <v/>
      </c>
      <c r="J91" s="68" t="e">
        <f t="array" ref="J91">SMALL(IF(COUNTIFS(Y$4,'Technology MASTER'!$H$3:$H$107),MATCH(ROW('Technology MASTER'!B91:B195),ROW('Technology MASTER'!B91:B195)),""),ROWS($A$1:A89))</f>
        <v>#NUM!</v>
      </c>
      <c r="K91" s="68" t="e">
        <f t="array" ref="K91">INDEX('Technology MASTER'!$B$3:$B$107,SMALL(IF(COUNTIFS(Y$4,'Technology MASTER'!$H$3:$H$107),MATCH(ROW('Technology MASTER'!B91:B195),ROW('Technology MASTER'!B91:B195)),""),ROWS($A$1:A89)))</f>
        <v>#NUM!</v>
      </c>
      <c r="M91" s="68">
        <f>COUNTIFS(Y$4,'Technology MASTER'!$I$3:$I$107)</f>
        <v>0</v>
      </c>
      <c r="N91" s="68">
        <v>89</v>
      </c>
      <c r="O91" s="68" t="str">
        <v/>
      </c>
      <c r="P91" s="68" t="e">
        <f t="array" ref="P91">SMALL(IF(COUNTIFS(Y$4,'Technology MASTER'!$I$3:$I$107),MATCH(ROW('Technology MASTER'!B91:B195),ROW('Technology MASTER'!B91:B195)),""),ROWS($A$1:A89))</f>
        <v>#NUM!</v>
      </c>
      <c r="Q91" s="68" t="e">
        <f t="array" ref="Q91">INDEX('Technology MASTER'!$B$3:$B$107,SMALL(IF(COUNTIFS(Y$4,'Technology MASTER'!$I$3:$I$107),MATCH(ROW('Technology MASTER'!B91:B195),ROW('Technology MASTER'!B91:B195)),""),ROWS($A$1:A89)))</f>
        <v>#NUM!</v>
      </c>
    </row>
    <row r="92" spans="1:17">
      <c r="A92" s="68">
        <f>COUNTIFS(Y$4,'Technology MASTER'!$G$3:$G$107)</f>
        <v>0</v>
      </c>
      <c r="B92" s="68">
        <v>90</v>
      </c>
      <c r="C92" s="68" t="str">
        <v/>
      </c>
      <c r="D92" s="68" t="e">
        <f t="array" ref="D92">SMALL(IF(COUNTIFS(Y$4,'Technology MASTER'!$G$3:$G$107),MATCH(ROW('Technology MASTER'!B92:B196),ROW('Technology MASTER'!B92:B196)),""),ROWS($A$1:A90))</f>
        <v>#NUM!</v>
      </c>
      <c r="E92" s="68" t="e">
        <f t="array" ref="E92">INDEX('Technology MASTER'!$B$3:$B$107,SMALL(IF(COUNTIFS(Y$4,'Technology MASTER'!$G$3:$G$107),MATCH(ROW('Technology MASTER'!B92:B196),ROW('Technology MASTER'!B92:B196)),""),ROWS($A$1:A90)))</f>
        <v>#NUM!</v>
      </c>
      <c r="G92" s="68">
        <f>COUNTIFS(Y$4,'Technology MASTER'!$H$3:$H$107)</f>
        <v>0</v>
      </c>
      <c r="H92" s="68">
        <v>90</v>
      </c>
      <c r="I92" s="68" t="str">
        <v/>
      </c>
      <c r="J92" s="68" t="e">
        <f t="array" ref="J92">SMALL(IF(COUNTIFS(Y$4,'Technology MASTER'!$H$3:$H$107),MATCH(ROW('Technology MASTER'!B92:B196),ROW('Technology MASTER'!B92:B196)),""),ROWS($A$1:A90))</f>
        <v>#NUM!</v>
      </c>
      <c r="K92" s="68" t="e">
        <f t="array" ref="K92">INDEX('Technology MASTER'!$B$3:$B$107,SMALL(IF(COUNTIFS(Y$4,'Technology MASTER'!$H$3:$H$107),MATCH(ROW('Technology MASTER'!B92:B196),ROW('Technology MASTER'!B92:B196)),""),ROWS($A$1:A90)))</f>
        <v>#NUM!</v>
      </c>
      <c r="M92" s="68">
        <f>COUNTIFS(Y$4,'Technology MASTER'!$I$3:$I$107)</f>
        <v>0</v>
      </c>
      <c r="N92" s="68">
        <v>90</v>
      </c>
      <c r="O92" s="68" t="str">
        <v/>
      </c>
      <c r="P92" s="68" t="e">
        <f t="array" ref="P92">SMALL(IF(COUNTIFS(Y$4,'Technology MASTER'!$I$3:$I$107),MATCH(ROW('Technology MASTER'!B92:B196),ROW('Technology MASTER'!B92:B196)),""),ROWS($A$1:A90))</f>
        <v>#NUM!</v>
      </c>
      <c r="Q92" s="68" t="e">
        <f t="array" ref="Q92">INDEX('Technology MASTER'!$B$3:$B$107,SMALL(IF(COUNTIFS(Y$4,'Technology MASTER'!$I$3:$I$107),MATCH(ROW('Technology MASTER'!B92:B196),ROW('Technology MASTER'!B92:B196)),""),ROWS($A$1:A90)))</f>
        <v>#NUM!</v>
      </c>
    </row>
    <row r="93" spans="1:17">
      <c r="A93" s="68">
        <f>COUNTIFS(Y$4,'Technology MASTER'!$G$3:$G$107)</f>
        <v>0</v>
      </c>
      <c r="B93" s="68">
        <v>91</v>
      </c>
      <c r="C93" s="68" t="str">
        <v/>
      </c>
      <c r="D93" s="68" t="e">
        <f t="array" ref="D93">SMALL(IF(COUNTIFS(Y$4,'Technology MASTER'!$G$3:$G$107),MATCH(ROW('Technology MASTER'!B93:B197),ROW('Technology MASTER'!B93:B197)),""),ROWS($A$1:A91))</f>
        <v>#NUM!</v>
      </c>
      <c r="E93" s="68" t="e">
        <f t="array" ref="E93">INDEX('Technology MASTER'!$B$3:$B$107,SMALL(IF(COUNTIFS(Y$4,'Technology MASTER'!$G$3:$G$107),MATCH(ROW('Technology MASTER'!B93:B197),ROW('Technology MASTER'!B93:B197)),""),ROWS($A$1:A91)))</f>
        <v>#NUM!</v>
      </c>
      <c r="G93" s="68">
        <f>COUNTIFS(Y$4,'Technology MASTER'!$H$3:$H$107)</f>
        <v>0</v>
      </c>
      <c r="H93" s="68">
        <v>91</v>
      </c>
      <c r="I93" s="68" t="str">
        <v/>
      </c>
      <c r="J93" s="68" t="e">
        <f t="array" ref="J93">SMALL(IF(COUNTIFS(Y$4,'Technology MASTER'!$H$3:$H$107),MATCH(ROW('Technology MASTER'!B93:B197),ROW('Technology MASTER'!B93:B197)),""),ROWS($A$1:A91))</f>
        <v>#NUM!</v>
      </c>
      <c r="K93" s="68" t="e">
        <f t="array" ref="K93">INDEX('Technology MASTER'!$B$3:$B$107,SMALL(IF(COUNTIFS(Y$4,'Technology MASTER'!$H$3:$H$107),MATCH(ROW('Technology MASTER'!B93:B197),ROW('Technology MASTER'!B93:B197)),""),ROWS($A$1:A91)))</f>
        <v>#NUM!</v>
      </c>
      <c r="M93" s="68">
        <f>COUNTIFS(Y$4,'Technology MASTER'!$I$3:$I$107)</f>
        <v>0</v>
      </c>
      <c r="N93" s="68">
        <v>91</v>
      </c>
      <c r="O93" s="68" t="str">
        <v/>
      </c>
      <c r="P93" s="68" t="e">
        <f t="array" ref="P93">SMALL(IF(COUNTIFS(Y$4,'Technology MASTER'!$I$3:$I$107),MATCH(ROW('Technology MASTER'!B93:B197),ROW('Technology MASTER'!B93:B197)),""),ROWS($A$1:A91))</f>
        <v>#NUM!</v>
      </c>
      <c r="Q93" s="68" t="e">
        <f t="array" ref="Q93">INDEX('Technology MASTER'!$B$3:$B$107,SMALL(IF(COUNTIFS(Y$4,'Technology MASTER'!$I$3:$I$107),MATCH(ROW('Technology MASTER'!B93:B197),ROW('Technology MASTER'!B93:B197)),""),ROWS($A$1:A91)))</f>
        <v>#NUM!</v>
      </c>
    </row>
    <row r="94" spans="1:17">
      <c r="A94" s="68">
        <f>COUNTIFS(Y$4,'Technology MASTER'!$G$3:$G$107)</f>
        <v>0</v>
      </c>
      <c r="B94" s="68">
        <v>92</v>
      </c>
      <c r="C94" s="68" t="str">
        <v/>
      </c>
      <c r="D94" s="68" t="e">
        <f t="array" ref="D94">SMALL(IF(COUNTIFS(Y$4,'Technology MASTER'!$G$3:$G$107),MATCH(ROW('Technology MASTER'!B94:B198),ROW('Technology MASTER'!B94:B198)),""),ROWS($A$1:A92))</f>
        <v>#NUM!</v>
      </c>
      <c r="E94" s="68" t="e">
        <f t="array" ref="E94">INDEX('Technology MASTER'!$B$3:$B$107,SMALL(IF(COUNTIFS(Y$4,'Technology MASTER'!$G$3:$G$107),MATCH(ROW('Technology MASTER'!B94:B198),ROW('Technology MASTER'!B94:B198)),""),ROWS($A$1:A92)))</f>
        <v>#NUM!</v>
      </c>
      <c r="G94" s="68">
        <f>COUNTIFS(Y$4,'Technology MASTER'!$H$3:$H$107)</f>
        <v>0</v>
      </c>
      <c r="H94" s="68">
        <v>92</v>
      </c>
      <c r="I94" s="68" t="str">
        <v/>
      </c>
      <c r="J94" s="68" t="e">
        <f t="array" ref="J94">SMALL(IF(COUNTIFS(Y$4,'Technology MASTER'!$H$3:$H$107),MATCH(ROW('Technology MASTER'!B94:B198),ROW('Technology MASTER'!B94:B198)),""),ROWS($A$1:A92))</f>
        <v>#NUM!</v>
      </c>
      <c r="K94" s="68" t="e">
        <f t="array" ref="K94">INDEX('Technology MASTER'!$B$3:$B$107,SMALL(IF(COUNTIFS(Y$4,'Technology MASTER'!$H$3:$H$107),MATCH(ROW('Technology MASTER'!B94:B198),ROW('Technology MASTER'!B94:B198)),""),ROWS($A$1:A92)))</f>
        <v>#NUM!</v>
      </c>
      <c r="M94" s="68">
        <f>COUNTIFS(Y$4,'Technology MASTER'!$I$3:$I$107)</f>
        <v>0</v>
      </c>
      <c r="N94" s="68">
        <v>92</v>
      </c>
      <c r="O94" s="68" t="str">
        <v/>
      </c>
      <c r="P94" s="68" t="e">
        <f t="array" ref="P94">SMALL(IF(COUNTIFS(Y$4,'Technology MASTER'!$I$3:$I$107),MATCH(ROW('Technology MASTER'!B94:B198),ROW('Technology MASTER'!B94:B198)),""),ROWS($A$1:A92))</f>
        <v>#NUM!</v>
      </c>
      <c r="Q94" s="68" t="e">
        <f t="array" ref="Q94">INDEX('Technology MASTER'!$B$3:$B$107,SMALL(IF(COUNTIFS(Y$4,'Technology MASTER'!$I$3:$I$107),MATCH(ROW('Technology MASTER'!B94:B198),ROW('Technology MASTER'!B94:B198)),""),ROWS($A$1:A92)))</f>
        <v>#NUM!</v>
      </c>
    </row>
    <row r="95" spans="1:17">
      <c r="A95" s="68">
        <f>COUNTIFS(Y$4,'Technology MASTER'!$G$3:$G$107)</f>
        <v>0</v>
      </c>
      <c r="B95" s="68">
        <v>93</v>
      </c>
      <c r="C95" s="68" t="str">
        <v/>
      </c>
      <c r="D95" s="68" t="e">
        <f t="array" ref="D95">SMALL(IF(COUNTIFS(Y$4,'Technology MASTER'!$G$3:$G$107),MATCH(ROW('Technology MASTER'!B95:B199),ROW('Technology MASTER'!B95:B199)),""),ROWS($A$1:A93))</f>
        <v>#NUM!</v>
      </c>
      <c r="E95" s="68" t="e">
        <f t="array" ref="E95">INDEX('Technology MASTER'!$B$3:$B$107,SMALL(IF(COUNTIFS(Y$4,'Technology MASTER'!$G$3:$G$107),MATCH(ROW('Technology MASTER'!B95:B199),ROW('Technology MASTER'!B95:B199)),""),ROWS($A$1:A93)))</f>
        <v>#NUM!</v>
      </c>
      <c r="G95" s="68">
        <f>COUNTIFS(Y$4,'Technology MASTER'!$H$3:$H$107)</f>
        <v>0</v>
      </c>
      <c r="H95" s="68">
        <v>93</v>
      </c>
      <c r="I95" s="68" t="str">
        <v/>
      </c>
      <c r="J95" s="68" t="e">
        <f t="array" ref="J95">SMALL(IF(COUNTIFS(Y$4,'Technology MASTER'!$H$3:$H$107),MATCH(ROW('Technology MASTER'!B95:B199),ROW('Technology MASTER'!B95:B199)),""),ROWS($A$1:A93))</f>
        <v>#NUM!</v>
      </c>
      <c r="K95" s="68" t="e">
        <f t="array" ref="K95">INDEX('Technology MASTER'!$B$3:$B$107,SMALL(IF(COUNTIFS(Y$4,'Technology MASTER'!$H$3:$H$107),MATCH(ROW('Technology MASTER'!B95:B199),ROW('Technology MASTER'!B95:B199)),""),ROWS($A$1:A93)))</f>
        <v>#NUM!</v>
      </c>
      <c r="M95" s="68">
        <f>COUNTIFS(Y$4,'Technology MASTER'!$I$3:$I$107)</f>
        <v>0</v>
      </c>
      <c r="N95" s="68">
        <v>93</v>
      </c>
      <c r="O95" s="68" t="str">
        <v/>
      </c>
      <c r="P95" s="68" t="e">
        <f t="array" ref="P95">SMALL(IF(COUNTIFS(Y$4,'Technology MASTER'!$I$3:$I$107),MATCH(ROW('Technology MASTER'!B95:B199),ROW('Technology MASTER'!B95:B199)),""),ROWS($A$1:A93))</f>
        <v>#NUM!</v>
      </c>
      <c r="Q95" s="68" t="e">
        <f t="array" ref="Q95">INDEX('Technology MASTER'!$B$3:$B$107,SMALL(IF(COUNTIFS(Y$4,'Technology MASTER'!$I$3:$I$107),MATCH(ROW('Technology MASTER'!B95:B199),ROW('Technology MASTER'!B95:B199)),""),ROWS($A$1:A93)))</f>
        <v>#NUM!</v>
      </c>
    </row>
    <row r="96" spans="1:17">
      <c r="A96" s="68">
        <f>COUNTIFS(Y$4,'Technology MASTER'!$G$3:$G$107)</f>
        <v>0</v>
      </c>
      <c r="B96" s="68">
        <v>94</v>
      </c>
      <c r="C96" s="68" t="str">
        <v/>
      </c>
      <c r="D96" s="68" t="e">
        <f t="array" ref="D96">SMALL(IF(COUNTIFS(Y$4,'Technology MASTER'!$G$3:$G$107),MATCH(ROW('Technology MASTER'!B96:B200),ROW('Technology MASTER'!B96:B200)),""),ROWS($A$1:A94))</f>
        <v>#NUM!</v>
      </c>
      <c r="E96" s="68" t="e">
        <f t="array" ref="E96">INDEX('Technology MASTER'!$B$3:$B$107,SMALL(IF(COUNTIFS(Y$4,'Technology MASTER'!$G$3:$G$107),MATCH(ROW('Technology MASTER'!B96:B200),ROW('Technology MASTER'!B96:B200)),""),ROWS($A$1:A94)))</f>
        <v>#NUM!</v>
      </c>
      <c r="G96" s="68">
        <f>COUNTIFS(Y$4,'Technology MASTER'!$H$3:$H$107)</f>
        <v>0</v>
      </c>
      <c r="H96" s="68">
        <v>94</v>
      </c>
      <c r="I96" s="68" t="str">
        <v/>
      </c>
      <c r="J96" s="68" t="e">
        <f t="array" ref="J96">SMALL(IF(COUNTIFS(Y$4,'Technology MASTER'!$H$3:$H$107),MATCH(ROW('Technology MASTER'!B96:B200),ROW('Technology MASTER'!B96:B200)),""),ROWS($A$1:A94))</f>
        <v>#NUM!</v>
      </c>
      <c r="K96" s="68" t="e">
        <f t="array" ref="K96">INDEX('Technology MASTER'!$B$3:$B$107,SMALL(IF(COUNTIFS(Y$4,'Technology MASTER'!$H$3:$H$107),MATCH(ROW('Technology MASTER'!B96:B200),ROW('Technology MASTER'!B96:B200)),""),ROWS($A$1:A94)))</f>
        <v>#NUM!</v>
      </c>
      <c r="M96" s="68">
        <f>COUNTIFS(Y$4,'Technology MASTER'!$I$3:$I$107)</f>
        <v>0</v>
      </c>
      <c r="N96" s="68">
        <v>94</v>
      </c>
      <c r="O96" s="68" t="str">
        <v/>
      </c>
      <c r="P96" s="68" t="e">
        <f t="array" ref="P96">SMALL(IF(COUNTIFS(Y$4,'Technology MASTER'!$I$3:$I$107),MATCH(ROW('Technology MASTER'!B96:B200),ROW('Technology MASTER'!B96:B200)),""),ROWS($A$1:A94))</f>
        <v>#NUM!</v>
      </c>
      <c r="Q96" s="68" t="e">
        <f t="array" ref="Q96">INDEX('Technology MASTER'!$B$3:$B$107,SMALL(IF(COUNTIFS(Y$4,'Technology MASTER'!$I$3:$I$107),MATCH(ROW('Technology MASTER'!B96:B200),ROW('Technology MASTER'!B96:B200)),""),ROWS($A$1:A94)))</f>
        <v>#NUM!</v>
      </c>
    </row>
    <row r="97" spans="1:17">
      <c r="A97" s="68">
        <f>COUNTIFS(Y$4,'Technology MASTER'!$G$3:$G$107)</f>
        <v>0</v>
      </c>
      <c r="B97" s="68">
        <v>95</v>
      </c>
      <c r="C97" s="68" t="str">
        <v/>
      </c>
      <c r="D97" s="68" t="e">
        <f t="array" ref="D97">SMALL(IF(COUNTIFS(Y$4,'Technology MASTER'!$G$3:$G$107),MATCH(ROW('Technology MASTER'!B97:B201),ROW('Technology MASTER'!B97:B201)),""),ROWS($A$1:A95))</f>
        <v>#NUM!</v>
      </c>
      <c r="E97" s="68" t="e">
        <f t="array" ref="E97">INDEX('Technology MASTER'!$B$3:$B$107,SMALL(IF(COUNTIFS(Y$4,'Technology MASTER'!$G$3:$G$107),MATCH(ROW('Technology MASTER'!B97:B201),ROW('Technology MASTER'!B97:B201)),""),ROWS($A$1:A95)))</f>
        <v>#NUM!</v>
      </c>
      <c r="G97" s="68">
        <f>COUNTIFS(Y$4,'Technology MASTER'!$H$3:$H$107)</f>
        <v>0</v>
      </c>
      <c r="H97" s="68">
        <v>95</v>
      </c>
      <c r="I97" s="68" t="str">
        <v/>
      </c>
      <c r="J97" s="68" t="e">
        <f t="array" ref="J97">SMALL(IF(COUNTIFS(Y$4,'Technology MASTER'!$H$3:$H$107),MATCH(ROW('Technology MASTER'!B97:B201),ROW('Technology MASTER'!B97:B201)),""),ROWS($A$1:A95))</f>
        <v>#NUM!</v>
      </c>
      <c r="K97" s="68" t="e">
        <f t="array" ref="K97">INDEX('Technology MASTER'!$B$3:$B$107,SMALL(IF(COUNTIFS(Y$4,'Technology MASTER'!$H$3:$H$107),MATCH(ROW('Technology MASTER'!B97:B201),ROW('Technology MASTER'!B97:B201)),""),ROWS($A$1:A95)))</f>
        <v>#NUM!</v>
      </c>
      <c r="M97" s="68">
        <f>COUNTIFS(Y$4,'Technology MASTER'!$I$3:$I$107)</f>
        <v>0</v>
      </c>
      <c r="N97" s="68">
        <v>95</v>
      </c>
      <c r="O97" s="68" t="str">
        <v/>
      </c>
      <c r="P97" s="68" t="e">
        <f t="array" ref="P97">SMALL(IF(COUNTIFS(Y$4,'Technology MASTER'!$I$3:$I$107),MATCH(ROW('Technology MASTER'!B97:B201),ROW('Technology MASTER'!B97:B201)),""),ROWS($A$1:A95))</f>
        <v>#NUM!</v>
      </c>
      <c r="Q97" s="68" t="e">
        <f t="array" ref="Q97">INDEX('Technology MASTER'!$B$3:$B$107,SMALL(IF(COUNTIFS(Y$4,'Technology MASTER'!$I$3:$I$107),MATCH(ROW('Technology MASTER'!B97:B201),ROW('Technology MASTER'!B97:B201)),""),ROWS($A$1:A95)))</f>
        <v>#NUM!</v>
      </c>
    </row>
    <row r="98" spans="1:17">
      <c r="A98" s="68">
        <f>COUNTIFS(Y$4,'Technology MASTER'!$G$3:$G$107)</f>
        <v>0</v>
      </c>
      <c r="B98" s="68">
        <v>96</v>
      </c>
      <c r="C98" s="68" t="str">
        <v/>
      </c>
      <c r="D98" s="68" t="e">
        <f t="array" ref="D98">SMALL(IF(COUNTIFS(Y$4,'Technology MASTER'!$G$3:$G$107),MATCH(ROW('Technology MASTER'!B98:B202),ROW('Technology MASTER'!B98:B202)),""),ROWS($A$1:A96))</f>
        <v>#NUM!</v>
      </c>
      <c r="E98" s="68" t="e">
        <f t="array" ref="E98">INDEX('Technology MASTER'!$B$3:$B$107,SMALL(IF(COUNTIFS(Y$4,'Technology MASTER'!$G$3:$G$107),MATCH(ROW('Technology MASTER'!B98:B202),ROW('Technology MASTER'!B98:B202)),""),ROWS($A$1:A96)))</f>
        <v>#NUM!</v>
      </c>
      <c r="G98" s="68">
        <f>COUNTIFS(Y$4,'Technology MASTER'!$H$3:$H$107)</f>
        <v>0</v>
      </c>
      <c r="H98" s="68">
        <v>96</v>
      </c>
      <c r="I98" s="68" t="str">
        <v/>
      </c>
      <c r="J98" s="68" t="e">
        <f t="array" ref="J98">SMALL(IF(COUNTIFS(Y$4,'Technology MASTER'!$H$3:$H$107),MATCH(ROW('Technology MASTER'!B98:B202),ROW('Technology MASTER'!B98:B202)),""),ROWS($A$1:A96))</f>
        <v>#NUM!</v>
      </c>
      <c r="K98" s="68" t="e">
        <f t="array" ref="K98">INDEX('Technology MASTER'!$B$3:$B$107,SMALL(IF(COUNTIFS(Y$4,'Technology MASTER'!$H$3:$H$107),MATCH(ROW('Technology MASTER'!B98:B202),ROW('Technology MASTER'!B98:B202)),""),ROWS($A$1:A96)))</f>
        <v>#NUM!</v>
      </c>
      <c r="M98" s="68">
        <f>COUNTIFS(Y$4,'Technology MASTER'!$I$3:$I$107)</f>
        <v>0</v>
      </c>
      <c r="N98" s="68">
        <v>96</v>
      </c>
      <c r="O98" s="68" t="str">
        <v/>
      </c>
      <c r="P98" s="68" t="e">
        <f t="array" ref="P98">SMALL(IF(COUNTIFS(Y$4,'Technology MASTER'!$I$3:$I$107),MATCH(ROW('Technology MASTER'!B98:B202),ROW('Technology MASTER'!B98:B202)),""),ROWS($A$1:A96))</f>
        <v>#NUM!</v>
      </c>
      <c r="Q98" s="68" t="e">
        <f t="array" ref="Q98">INDEX('Technology MASTER'!$B$3:$B$107,SMALL(IF(COUNTIFS(Y$4,'Technology MASTER'!$I$3:$I$107),MATCH(ROW('Technology MASTER'!B98:B202),ROW('Technology MASTER'!B98:B202)),""),ROWS($A$1:A96)))</f>
        <v>#NUM!</v>
      </c>
    </row>
    <row r="99" spans="1:17">
      <c r="A99" s="68">
        <f>COUNTIFS(Y$4,'Technology MASTER'!$G$3:$G$107)</f>
        <v>0</v>
      </c>
      <c r="B99" s="68">
        <v>97</v>
      </c>
      <c r="C99" s="68" t="str">
        <v/>
      </c>
      <c r="D99" s="68" t="e">
        <f t="array" ref="D99">SMALL(IF(COUNTIFS(Y$4,'Technology MASTER'!$G$3:$G$107),MATCH(ROW('Technology MASTER'!B99:B203),ROW('Technology MASTER'!B99:B203)),""),ROWS($A$1:A97))</f>
        <v>#NUM!</v>
      </c>
      <c r="E99" s="68" t="e">
        <f t="array" ref="E99">INDEX('Technology MASTER'!$B$3:$B$107,SMALL(IF(COUNTIFS(Y$4,'Technology MASTER'!$G$3:$G$107),MATCH(ROW('Technology MASTER'!B99:B203),ROW('Technology MASTER'!B99:B203)),""),ROWS($A$1:A97)))</f>
        <v>#NUM!</v>
      </c>
      <c r="G99" s="68">
        <f>COUNTIFS(Y$4,'Technology MASTER'!$H$3:$H$107)</f>
        <v>0</v>
      </c>
      <c r="H99" s="68">
        <v>97</v>
      </c>
      <c r="I99" s="68" t="str">
        <v/>
      </c>
      <c r="J99" s="68" t="e">
        <f t="array" ref="J99">SMALL(IF(COUNTIFS(Y$4,'Technology MASTER'!$H$3:$H$107),MATCH(ROW('Technology MASTER'!B99:B203),ROW('Technology MASTER'!B99:B203)),""),ROWS($A$1:A97))</f>
        <v>#NUM!</v>
      </c>
      <c r="K99" s="68" t="e">
        <f t="array" ref="K99">INDEX('Technology MASTER'!$B$3:$B$107,SMALL(IF(COUNTIFS(Y$4,'Technology MASTER'!$H$3:$H$107),MATCH(ROW('Technology MASTER'!B99:B203),ROW('Technology MASTER'!B99:B203)),""),ROWS($A$1:A97)))</f>
        <v>#NUM!</v>
      </c>
      <c r="M99" s="68">
        <f>COUNTIFS(Y$4,'Technology MASTER'!$I$3:$I$107)</f>
        <v>0</v>
      </c>
      <c r="N99" s="68">
        <v>97</v>
      </c>
      <c r="O99" s="68" t="str">
        <v/>
      </c>
      <c r="P99" s="68" t="e">
        <f t="array" ref="P99">SMALL(IF(COUNTIFS(Y$4,'Technology MASTER'!$I$3:$I$107),MATCH(ROW('Technology MASTER'!B99:B203),ROW('Technology MASTER'!B99:B203)),""),ROWS($A$1:A97))</f>
        <v>#NUM!</v>
      </c>
      <c r="Q99" s="68" t="e">
        <f t="array" ref="Q99">INDEX('Technology MASTER'!$B$3:$B$107,SMALL(IF(COUNTIFS(Y$4,'Technology MASTER'!$I$3:$I$107),MATCH(ROW('Technology MASTER'!B99:B203),ROW('Technology MASTER'!B99:B203)),""),ROWS($A$1:A97)))</f>
        <v>#NUM!</v>
      </c>
    </row>
    <row r="100" spans="1:17">
      <c r="A100" s="68">
        <f>COUNTIFS(Y$4,'Technology MASTER'!$G$3:$G$107)</f>
        <v>0</v>
      </c>
      <c r="B100" s="68">
        <v>98</v>
      </c>
      <c r="C100" s="68" t="str">
        <v/>
      </c>
      <c r="D100" s="68" t="e">
        <f t="array" ref="D100">SMALL(IF(COUNTIFS(Y$4,'Technology MASTER'!$G$3:$G$107),MATCH(ROW('Technology MASTER'!B100:B204),ROW('Technology MASTER'!B100:B204)),""),ROWS($A$1:A98))</f>
        <v>#NUM!</v>
      </c>
      <c r="E100" s="68" t="e">
        <f t="array" ref="E100">INDEX('Technology MASTER'!$B$3:$B$107,SMALL(IF(COUNTIFS(Y$4,'Technology MASTER'!$G$3:$G$107),MATCH(ROW('Technology MASTER'!B100:B204),ROW('Technology MASTER'!B100:B204)),""),ROWS($A$1:A98)))</f>
        <v>#NUM!</v>
      </c>
      <c r="G100" s="68">
        <f>COUNTIFS(Y$4,'Technology MASTER'!$H$3:$H$107)</f>
        <v>0</v>
      </c>
      <c r="H100" s="68">
        <v>98</v>
      </c>
      <c r="I100" s="68" t="str">
        <v/>
      </c>
      <c r="J100" s="68" t="e">
        <f t="array" ref="J100">SMALL(IF(COUNTIFS(Y$4,'Technology MASTER'!$H$3:$H$107),MATCH(ROW('Technology MASTER'!B100:B204),ROW('Technology MASTER'!B100:B204)),""),ROWS($A$1:A98))</f>
        <v>#NUM!</v>
      </c>
      <c r="K100" s="68" t="e">
        <f t="array" ref="K100">INDEX('Technology MASTER'!$B$3:$B$107,SMALL(IF(COUNTIFS(Y$4,'Technology MASTER'!$H$3:$H$107),MATCH(ROW('Technology MASTER'!B100:B204),ROW('Technology MASTER'!B100:B204)),""),ROWS($A$1:A98)))</f>
        <v>#NUM!</v>
      </c>
      <c r="M100" s="68">
        <f>COUNTIFS(Y$4,'Technology MASTER'!$I$3:$I$107)</f>
        <v>0</v>
      </c>
      <c r="N100" s="68">
        <v>98</v>
      </c>
      <c r="O100" s="68" t="str">
        <v/>
      </c>
      <c r="P100" s="68" t="e">
        <f t="array" ref="P100">SMALL(IF(COUNTIFS(Y$4,'Technology MASTER'!$I$3:$I$107),MATCH(ROW('Technology MASTER'!B100:B204),ROW('Technology MASTER'!B100:B204)),""),ROWS($A$1:A98))</f>
        <v>#NUM!</v>
      </c>
      <c r="Q100" s="68" t="e">
        <f t="array" ref="Q100">INDEX('Technology MASTER'!$B$3:$B$107,SMALL(IF(COUNTIFS(Y$4,'Technology MASTER'!$I$3:$I$107),MATCH(ROW('Technology MASTER'!B100:B204),ROW('Technology MASTER'!B100:B204)),""),ROWS($A$1:A98)))</f>
        <v>#NUM!</v>
      </c>
    </row>
    <row r="101" spans="1:17">
      <c r="A101" s="68">
        <f>COUNTIFS(Y$4,'Technology MASTER'!$G$3:$G$107)</f>
        <v>0</v>
      </c>
      <c r="B101" s="68">
        <v>99</v>
      </c>
      <c r="C101" s="68" t="str">
        <v/>
      </c>
      <c r="D101" s="68" t="e">
        <f t="array" ref="D101">SMALL(IF(COUNTIFS(Y$4,'Technology MASTER'!$G$3:$G$107),MATCH(ROW('Technology MASTER'!B101:B205),ROW('Technology MASTER'!B101:B205)),""),ROWS($A$1:A99))</f>
        <v>#NUM!</v>
      </c>
      <c r="E101" s="68" t="e">
        <f t="array" ref="E101">INDEX('Technology MASTER'!$B$3:$B$107,SMALL(IF(COUNTIFS(Y$4,'Technology MASTER'!$G$3:$G$107),MATCH(ROW('Technology MASTER'!B101:B205),ROW('Technology MASTER'!B101:B205)),""),ROWS($A$1:A99)))</f>
        <v>#NUM!</v>
      </c>
      <c r="G101" s="68">
        <f>COUNTIFS(Y$4,'Technology MASTER'!$H$3:$H$107)</f>
        <v>0</v>
      </c>
      <c r="H101" s="68">
        <v>99</v>
      </c>
      <c r="I101" s="68" t="str">
        <v/>
      </c>
      <c r="J101" s="68" t="e">
        <f t="array" ref="J101">SMALL(IF(COUNTIFS(Y$4,'Technology MASTER'!$H$3:$H$107),MATCH(ROW('Technology MASTER'!B101:B205),ROW('Technology MASTER'!B101:B205)),""),ROWS($A$1:A99))</f>
        <v>#NUM!</v>
      </c>
      <c r="K101" s="68" t="e">
        <f t="array" ref="K101">INDEX('Technology MASTER'!$B$3:$B$107,SMALL(IF(COUNTIFS(Y$4,'Technology MASTER'!$H$3:$H$107),MATCH(ROW('Technology MASTER'!B101:B205),ROW('Technology MASTER'!B101:B205)),""),ROWS($A$1:A99)))</f>
        <v>#NUM!</v>
      </c>
      <c r="M101" s="68">
        <f>COUNTIFS(Y$4,'Technology MASTER'!$I$3:$I$107)</f>
        <v>0</v>
      </c>
      <c r="N101" s="68">
        <v>99</v>
      </c>
      <c r="O101" s="68" t="str">
        <v/>
      </c>
      <c r="P101" s="68" t="e">
        <f t="array" ref="P101">SMALL(IF(COUNTIFS(Y$4,'Technology MASTER'!$I$3:$I$107),MATCH(ROW('Technology MASTER'!B101:B205),ROW('Technology MASTER'!B101:B205)),""),ROWS($A$1:A99))</f>
        <v>#NUM!</v>
      </c>
      <c r="Q101" s="68" t="e">
        <f t="array" ref="Q101">INDEX('Technology MASTER'!$B$3:$B$107,SMALL(IF(COUNTIFS(Y$4,'Technology MASTER'!$I$3:$I$107),MATCH(ROW('Technology MASTER'!B101:B205),ROW('Technology MASTER'!B101:B205)),""),ROWS($A$1:A99)))</f>
        <v>#NUM!</v>
      </c>
    </row>
    <row r="102" spans="1:17">
      <c r="A102" s="68">
        <f>COUNTIFS(Y$4,'Technology MASTER'!$G$3:$G$107)</f>
        <v>0</v>
      </c>
      <c r="B102" s="68">
        <v>100</v>
      </c>
      <c r="C102" s="68" t="str">
        <v/>
      </c>
      <c r="D102" s="68" t="e">
        <f t="array" ref="D102">SMALL(IF(COUNTIFS(Y$4,'Technology MASTER'!$G$3:$G$107),MATCH(ROW('Technology MASTER'!B102:B206),ROW('Technology MASTER'!B102:B206)),""),ROWS($A$1:A100))</f>
        <v>#NUM!</v>
      </c>
      <c r="E102" s="68" t="e">
        <f t="array" ref="E102">INDEX('Technology MASTER'!$B$3:$B$107,SMALL(IF(COUNTIFS(Y$4,'Technology MASTER'!$G$3:$G$107),MATCH(ROW('Technology MASTER'!B102:B206),ROW('Technology MASTER'!B102:B206)),""),ROWS($A$1:A100)))</f>
        <v>#NUM!</v>
      </c>
      <c r="G102" s="68">
        <f>COUNTIFS(Y$4,'Technology MASTER'!$H$3:$H$107)</f>
        <v>0</v>
      </c>
      <c r="H102" s="68">
        <v>100</v>
      </c>
      <c r="I102" s="68" t="str">
        <v/>
      </c>
      <c r="J102" s="68" t="e">
        <f t="array" ref="J102">SMALL(IF(COUNTIFS(Y$4,'Technology MASTER'!$H$3:$H$107),MATCH(ROW('Technology MASTER'!B102:B206),ROW('Technology MASTER'!B102:B206)),""),ROWS($A$1:A100))</f>
        <v>#NUM!</v>
      </c>
      <c r="K102" s="68" t="e">
        <f t="array" ref="K102">INDEX('Technology MASTER'!$B$3:$B$107,SMALL(IF(COUNTIFS(Y$4,'Technology MASTER'!$H$3:$H$107),MATCH(ROW('Technology MASTER'!B102:B206),ROW('Technology MASTER'!B102:B206)),""),ROWS($A$1:A100)))</f>
        <v>#NUM!</v>
      </c>
      <c r="M102" s="68">
        <f>COUNTIFS(Y$4,'Technology MASTER'!$I$3:$I$107)</f>
        <v>0</v>
      </c>
      <c r="N102" s="68">
        <v>100</v>
      </c>
      <c r="O102" s="68" t="str">
        <v/>
      </c>
      <c r="P102" s="68" t="e">
        <f t="array" ref="P102">SMALL(IF(COUNTIFS(Y$4,'Technology MASTER'!$I$3:$I$107),MATCH(ROW('Technology MASTER'!B102:B206),ROW('Technology MASTER'!B102:B206)),""),ROWS($A$1:A100))</f>
        <v>#NUM!</v>
      </c>
      <c r="Q102" s="68" t="e">
        <f t="array" ref="Q102">INDEX('Technology MASTER'!$B$3:$B$107,SMALL(IF(COUNTIFS(Y$4,'Technology MASTER'!$I$3:$I$107),MATCH(ROW('Technology MASTER'!B102:B206),ROW('Technology MASTER'!B102:B206)),""),ROWS($A$1:A100)))</f>
        <v>#NUM!</v>
      </c>
    </row>
    <row r="103" spans="1:17">
      <c r="A103" s="68">
        <f>COUNTIFS(Y$4,'Technology MASTER'!$G$3:$G$107)</f>
        <v>0</v>
      </c>
      <c r="B103" s="68">
        <v>101</v>
      </c>
      <c r="C103" s="68" t="str">
        <v/>
      </c>
      <c r="D103" s="68" t="e">
        <f t="array" ref="D103">SMALL(IF(COUNTIFS(Y$4,'Technology MASTER'!$G$3:$G$107),MATCH(ROW('Technology MASTER'!B103:B207),ROW('Technology MASTER'!B103:B207)),""),ROWS($A$1:A101))</f>
        <v>#NUM!</v>
      </c>
      <c r="E103" s="68" t="e">
        <f t="array" ref="E103">INDEX('Technology MASTER'!$B$3:$B$107,SMALL(IF(COUNTIFS(Y$4,'Technology MASTER'!$G$3:$G$107),MATCH(ROW('Technology MASTER'!B103:B207),ROW('Technology MASTER'!B103:B207)),""),ROWS($A$1:A101)))</f>
        <v>#NUM!</v>
      </c>
      <c r="G103" s="68">
        <f>COUNTIFS(Y$4,'Technology MASTER'!$H$3:$H$107)</f>
        <v>0</v>
      </c>
      <c r="H103" s="68">
        <v>101</v>
      </c>
      <c r="I103" s="68" t="str">
        <v/>
      </c>
      <c r="J103" s="68" t="e">
        <f t="array" ref="J103">SMALL(IF(COUNTIFS(Y$4,'Technology MASTER'!$H$3:$H$107),MATCH(ROW('Technology MASTER'!B103:B207),ROW('Technology MASTER'!B103:B207)),""),ROWS($A$1:A101))</f>
        <v>#NUM!</v>
      </c>
      <c r="K103" s="68" t="e">
        <f t="array" ref="K103">INDEX('Technology MASTER'!$B$3:$B$107,SMALL(IF(COUNTIFS(Y$4,'Technology MASTER'!$H$3:$H$107),MATCH(ROW('Technology MASTER'!B103:B207),ROW('Technology MASTER'!B103:B207)),""),ROWS($A$1:A101)))</f>
        <v>#NUM!</v>
      </c>
      <c r="M103" s="68">
        <f>COUNTIFS(Y$4,'Technology MASTER'!$I$3:$I$107)</f>
        <v>0</v>
      </c>
      <c r="N103" s="68">
        <v>101</v>
      </c>
      <c r="O103" s="68" t="str">
        <v/>
      </c>
      <c r="P103" s="68" t="e">
        <f t="array" ref="P103">SMALL(IF(COUNTIFS(Y$4,'Technology MASTER'!$I$3:$I$107),MATCH(ROW('Technology MASTER'!B103:B207),ROW('Technology MASTER'!B103:B207)),""),ROWS($A$1:A101))</f>
        <v>#NUM!</v>
      </c>
      <c r="Q103" s="68" t="e">
        <f t="array" ref="Q103">INDEX('Technology MASTER'!$B$3:$B$107,SMALL(IF(COUNTIFS(Y$4,'Technology MASTER'!$I$3:$I$107),MATCH(ROW('Technology MASTER'!B103:B207),ROW('Technology MASTER'!B103:B207)),""),ROWS($A$1:A101)))</f>
        <v>#NUM!</v>
      </c>
    </row>
    <row r="104" spans="1:17">
      <c r="A104" s="68">
        <f>COUNTIFS(Y$4,'Technology MASTER'!$G$3:$G$107)</f>
        <v>0</v>
      </c>
      <c r="B104" s="68">
        <v>102</v>
      </c>
      <c r="C104" s="68" t="str">
        <v/>
      </c>
      <c r="D104" s="68" t="e">
        <f t="array" ref="D104">SMALL(IF(COUNTIFS(Y$4,'Technology MASTER'!$G$3:$G$107),MATCH(ROW('Technology MASTER'!B104:B208),ROW('Technology MASTER'!B104:B208)),""),ROWS($A$1:A102))</f>
        <v>#NUM!</v>
      </c>
      <c r="E104" s="68" t="e">
        <f t="array" ref="E104">INDEX('Technology MASTER'!$B$3:$B$107,SMALL(IF(COUNTIFS(Y$4,'Technology MASTER'!$G$3:$G$107),MATCH(ROW('Technology MASTER'!B104:B208),ROW('Technology MASTER'!B104:B208)),""),ROWS($A$1:A102)))</f>
        <v>#NUM!</v>
      </c>
      <c r="G104" s="68">
        <f>COUNTIFS(Y$4,'Technology MASTER'!$H$3:$H$107)</f>
        <v>0</v>
      </c>
      <c r="H104" s="68">
        <v>102</v>
      </c>
      <c r="I104" s="68" t="str">
        <v/>
      </c>
      <c r="J104" s="68" t="e">
        <f t="array" ref="J104">SMALL(IF(COUNTIFS(Y$4,'Technology MASTER'!$H$3:$H$107),MATCH(ROW('Technology MASTER'!B104:B208),ROW('Technology MASTER'!B104:B208)),""),ROWS($A$1:A102))</f>
        <v>#NUM!</v>
      </c>
      <c r="K104" s="68" t="e">
        <f t="array" ref="K104">INDEX('Technology MASTER'!$B$3:$B$107,SMALL(IF(COUNTIFS(Y$4,'Technology MASTER'!$H$3:$H$107),MATCH(ROW('Technology MASTER'!B104:B208),ROW('Technology MASTER'!B104:B208)),""),ROWS($A$1:A102)))</f>
        <v>#NUM!</v>
      </c>
      <c r="M104" s="68">
        <f>COUNTIFS(Y$4,'Technology MASTER'!$I$3:$I$107)</f>
        <v>0</v>
      </c>
      <c r="N104" s="68">
        <v>102</v>
      </c>
      <c r="O104" s="68" t="str">
        <v/>
      </c>
      <c r="P104" s="68" t="e">
        <f t="array" ref="P104">SMALL(IF(COUNTIFS(Y$4,'Technology MASTER'!$I$3:$I$107),MATCH(ROW('Technology MASTER'!B104:B208),ROW('Technology MASTER'!B104:B208)),""),ROWS($A$1:A102))</f>
        <v>#NUM!</v>
      </c>
      <c r="Q104" s="68" t="e">
        <f t="array" ref="Q104">INDEX('Technology MASTER'!$B$3:$B$107,SMALL(IF(COUNTIFS(Y$4,'Technology MASTER'!$I$3:$I$107),MATCH(ROW('Technology MASTER'!B104:B208),ROW('Technology MASTER'!B104:B208)),""),ROWS($A$1:A102)))</f>
        <v>#NUM!</v>
      </c>
    </row>
    <row r="105" spans="1:17">
      <c r="A105" s="68">
        <f>COUNTIFS(Y$4,'Technology MASTER'!$G$3:$G$107)</f>
        <v>0</v>
      </c>
      <c r="B105" s="68">
        <v>103</v>
      </c>
      <c r="C105" s="68" t="str">
        <v/>
      </c>
      <c r="D105" s="68" t="e">
        <f t="array" ref="D105">SMALL(IF(COUNTIFS(Y$4,'Technology MASTER'!$G$3:$G$107),MATCH(ROW('Technology MASTER'!B105:B209),ROW('Technology MASTER'!B105:B209)),""),ROWS($A$1:A103))</f>
        <v>#NUM!</v>
      </c>
      <c r="E105" s="68" t="e">
        <f t="array" ref="E105">INDEX('Technology MASTER'!$B$3:$B$107,SMALL(IF(COUNTIFS(Y$4,'Technology MASTER'!$G$3:$G$107),MATCH(ROW('Technology MASTER'!B105:B209),ROW('Technology MASTER'!B105:B209)),""),ROWS($A$1:A103)))</f>
        <v>#NUM!</v>
      </c>
      <c r="G105" s="68">
        <f>COUNTIFS(Y$4,'Technology MASTER'!$H$3:$H$107)</f>
        <v>0</v>
      </c>
      <c r="H105" s="68">
        <v>103</v>
      </c>
      <c r="I105" s="68" t="str">
        <v/>
      </c>
      <c r="J105" s="68" t="e">
        <f t="array" ref="J105">SMALL(IF(COUNTIFS(Y$4,'Technology MASTER'!$H$3:$H$107),MATCH(ROW('Technology MASTER'!B105:B209),ROW('Technology MASTER'!B105:B209)),""),ROWS($A$1:A103))</f>
        <v>#NUM!</v>
      </c>
      <c r="K105" s="68" t="e">
        <f t="array" ref="K105">INDEX('Technology MASTER'!$B$3:$B$107,SMALL(IF(COUNTIFS(Y$4,'Technology MASTER'!$H$3:$H$107),MATCH(ROW('Technology MASTER'!B105:B209),ROW('Technology MASTER'!B105:B209)),""),ROWS($A$1:A103)))</f>
        <v>#NUM!</v>
      </c>
      <c r="M105" s="68">
        <f>COUNTIFS(Y$4,'Technology MASTER'!$I$3:$I$107)</f>
        <v>0</v>
      </c>
      <c r="N105" s="68">
        <v>103</v>
      </c>
      <c r="O105" s="68" t="str">
        <v/>
      </c>
      <c r="P105" s="68" t="e">
        <f t="array" ref="P105">SMALL(IF(COUNTIFS(Y$4,'Technology MASTER'!$I$3:$I$107),MATCH(ROW('Technology MASTER'!B105:B209),ROW('Technology MASTER'!B105:B209)),""),ROWS($A$1:A103))</f>
        <v>#NUM!</v>
      </c>
      <c r="Q105" s="68" t="e">
        <f t="array" ref="Q105">INDEX('Technology MASTER'!$B$3:$B$107,SMALL(IF(COUNTIFS(Y$4,'Technology MASTER'!$I$3:$I$107),MATCH(ROW('Technology MASTER'!B105:B209),ROW('Technology MASTER'!B105:B209)),""),ROWS($A$1:A103)))</f>
        <v>#NUM!</v>
      </c>
    </row>
    <row r="106" spans="1:17">
      <c r="A106" s="68">
        <f>COUNTIFS(Y$4,'Technology MASTER'!$G$3:$G$107)</f>
        <v>0</v>
      </c>
      <c r="B106" s="68">
        <v>104</v>
      </c>
      <c r="C106" s="68" t="str">
        <v/>
      </c>
      <c r="D106" s="68" t="e">
        <f t="array" ref="D106">SMALL(IF(COUNTIFS(Y$4,'Technology MASTER'!$G$3:$G$107),MATCH(ROW('Technology MASTER'!B106:B210),ROW('Technology MASTER'!B106:B210)),""),ROWS($A$1:A104))</f>
        <v>#NUM!</v>
      </c>
      <c r="E106" s="68" t="e">
        <f t="array" ref="E106">INDEX('Technology MASTER'!$B$3:$B$107,SMALL(IF(COUNTIFS(Y$4,'Technology MASTER'!$G$3:$G$107),MATCH(ROW('Technology MASTER'!B106:B210),ROW('Technology MASTER'!B106:B210)),""),ROWS($A$1:A104)))</f>
        <v>#NUM!</v>
      </c>
      <c r="G106" s="68">
        <f>COUNTIFS(Y$4,'Technology MASTER'!$H$3:$H$107)</f>
        <v>0</v>
      </c>
      <c r="H106" s="68">
        <v>104</v>
      </c>
      <c r="I106" s="68" t="str">
        <v/>
      </c>
      <c r="J106" s="68" t="e">
        <f t="array" ref="J106">SMALL(IF(COUNTIFS(Y$4,'Technology MASTER'!$H$3:$H$107),MATCH(ROW('Technology MASTER'!B106:B210),ROW('Technology MASTER'!B106:B210)),""),ROWS($A$1:A104))</f>
        <v>#NUM!</v>
      </c>
      <c r="K106" s="68" t="e">
        <f t="array" ref="K106">INDEX('Technology MASTER'!$B$3:$B$107,SMALL(IF(COUNTIFS(Y$4,'Technology MASTER'!$H$3:$H$107),MATCH(ROW('Technology MASTER'!B106:B210),ROW('Technology MASTER'!B106:B210)),""),ROWS($A$1:A104)))</f>
        <v>#NUM!</v>
      </c>
      <c r="M106" s="68">
        <f>COUNTIFS(Y$4,'Technology MASTER'!$I$3:$I$107)</f>
        <v>0</v>
      </c>
      <c r="N106" s="68">
        <v>104</v>
      </c>
      <c r="O106" s="68" t="str">
        <v/>
      </c>
      <c r="P106" s="68" t="e">
        <f t="array" ref="P106">SMALL(IF(COUNTIFS(Y$4,'Technology MASTER'!$I$3:$I$107),MATCH(ROW('Technology MASTER'!B106:B210),ROW('Technology MASTER'!B106:B210)),""),ROWS($A$1:A104))</f>
        <v>#NUM!</v>
      </c>
      <c r="Q106" s="68" t="e">
        <f t="array" ref="Q106">INDEX('Technology MASTER'!$B$3:$B$107,SMALL(IF(COUNTIFS(Y$4,'Technology MASTER'!$I$3:$I$107),MATCH(ROW('Technology MASTER'!B106:B210),ROW('Technology MASTER'!B106:B210)),""),ROWS($A$1:A104)))</f>
        <v>#NUM!</v>
      </c>
    </row>
    <row r="107" spans="1:17">
      <c r="A107" s="68">
        <f>COUNTIFS(Y$4,'Technology MASTER'!$G$3:$G$107)</f>
        <v>0</v>
      </c>
      <c r="B107" s="68">
        <v>105</v>
      </c>
      <c r="C107" s="68" t="str">
        <v/>
      </c>
      <c r="D107" s="68" t="e">
        <f t="array" ref="D107">SMALL(IF(COUNTIFS(Y$4,'Technology MASTER'!$G$3:$G$107),MATCH(ROW('Technology MASTER'!B107:B211),ROW('Technology MASTER'!B107:B211)),""),ROWS($A$1:A105))</f>
        <v>#NUM!</v>
      </c>
      <c r="E107" s="68" t="e">
        <f t="array" ref="E107">INDEX('Technology MASTER'!$B$3:$B$107,SMALL(IF(COUNTIFS(Y$4,'Technology MASTER'!$G$3:$G$107),MATCH(ROW('Technology MASTER'!B107:B211),ROW('Technology MASTER'!B107:B211)),""),ROWS($A$1:A105)))</f>
        <v>#NUM!</v>
      </c>
      <c r="G107" s="68">
        <f>COUNTIFS(Y$4,'Technology MASTER'!$H$3:$H$107)</f>
        <v>0</v>
      </c>
      <c r="H107" s="68">
        <v>105</v>
      </c>
      <c r="I107" s="68" t="str">
        <v/>
      </c>
      <c r="J107" s="68" t="e">
        <f t="array" ref="J107">SMALL(IF(COUNTIFS(Y$4,'Technology MASTER'!$H$3:$H$107),MATCH(ROW('Technology MASTER'!B107:B211),ROW('Technology MASTER'!B107:B211)),""),ROWS($A$1:A105))</f>
        <v>#NUM!</v>
      </c>
      <c r="K107" s="68" t="e">
        <f t="array" ref="K107">INDEX('Technology MASTER'!$B$3:$B$107,SMALL(IF(COUNTIFS(Y$4,'Technology MASTER'!$H$3:$H$107),MATCH(ROW('Technology MASTER'!B107:B211),ROW('Technology MASTER'!B107:B211)),""),ROWS($A$1:A105)))</f>
        <v>#NUM!</v>
      </c>
      <c r="M107" s="68">
        <f>COUNTIFS(Y$4,'Technology MASTER'!$I$3:$I$107)</f>
        <v>0</v>
      </c>
      <c r="N107" s="68">
        <v>105</v>
      </c>
      <c r="O107" s="68" t="str">
        <v/>
      </c>
      <c r="P107" s="68" t="e">
        <f t="array" ref="P107">SMALL(IF(COUNTIFS(Y$4,'Technology MASTER'!$I$3:$I$107),MATCH(ROW('Technology MASTER'!B107:B211),ROW('Technology MASTER'!B107:B211)),""),ROWS($A$1:A105))</f>
        <v>#NUM!</v>
      </c>
      <c r="Q107" s="68" t="e">
        <f t="array" ref="Q107">INDEX('Technology MASTER'!$B$3:$B$107,SMALL(IF(COUNTIFS(Y$4,'Technology MASTER'!$I$3:$I$107),MATCH(ROW('Technology MASTER'!B107:B211),ROW('Technology MASTER'!B107:B211)),""),ROWS($A$1:A105)))</f>
        <v>#NUM!</v>
      </c>
    </row>
  </sheetData>
  <mergeCells count="3">
    <mergeCell ref="A1:E1"/>
    <mergeCell ref="G1:K1"/>
    <mergeCell ref="M1:Q1"/>
  </mergeCell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B1C3-5385-4DC9-BE22-4D9F628CEA85}">
  <sheetPr>
    <tabColor theme="6" tint="-0.249977111117893"/>
  </sheetPr>
  <dimension ref="A1:D21"/>
  <sheetViews>
    <sheetView showGridLines="0" zoomScale="70" zoomScaleNormal="70" workbookViewId="0"/>
  </sheetViews>
  <sheetFormatPr baseColWidth="10" defaultColWidth="8.83203125" defaultRowHeight="16"/>
  <cols>
    <col min="1" max="1" width="56.33203125" style="3" customWidth="1"/>
    <col min="2" max="2" width="22.5" style="2" bestFit="1" customWidth="1"/>
    <col min="3" max="4" width="95.6640625" style="3" customWidth="1"/>
  </cols>
  <sheetData>
    <row r="1" spans="1:4" s="62" customFormat="1" ht="22">
      <c r="A1" s="63" t="s">
        <v>1226</v>
      </c>
      <c r="B1" s="63" t="s">
        <v>1225</v>
      </c>
      <c r="C1" s="63" t="s">
        <v>1224</v>
      </c>
      <c r="D1" s="63" t="s">
        <v>1114</v>
      </c>
    </row>
    <row r="2" spans="1:4" ht="68">
      <c r="A2" s="3" t="s">
        <v>9</v>
      </c>
      <c r="B2" s="2" t="s">
        <v>23</v>
      </c>
      <c r="C2" s="3" t="s">
        <v>1205</v>
      </c>
      <c r="D2" s="3" t="s">
        <v>1115</v>
      </c>
    </row>
    <row r="3" spans="1:4" ht="68">
      <c r="A3" s="3" t="s">
        <v>10</v>
      </c>
      <c r="B3" s="2" t="s">
        <v>23</v>
      </c>
      <c r="C3" s="3" t="s">
        <v>1484</v>
      </c>
      <c r="D3" s="3" t="s">
        <v>1116</v>
      </c>
    </row>
    <row r="4" spans="1:4" ht="68">
      <c r="A4" s="3" t="s">
        <v>11</v>
      </c>
      <c r="B4" s="2" t="s">
        <v>23</v>
      </c>
      <c r="C4" s="3" t="s">
        <v>1206</v>
      </c>
      <c r="D4" s="3" t="s">
        <v>1118</v>
      </c>
    </row>
    <row r="5" spans="1:4" ht="85">
      <c r="A5" s="3" t="s">
        <v>12</v>
      </c>
      <c r="B5" s="2" t="s">
        <v>23</v>
      </c>
      <c r="C5" s="3" t="s">
        <v>1207</v>
      </c>
      <c r="D5" s="3" t="s">
        <v>1119</v>
      </c>
    </row>
    <row r="6" spans="1:4" ht="68">
      <c r="A6" s="3" t="s">
        <v>16</v>
      </c>
      <c r="B6" s="2" t="s">
        <v>23</v>
      </c>
      <c r="C6" s="3" t="s">
        <v>1208</v>
      </c>
      <c r="D6" s="3" t="s">
        <v>1117</v>
      </c>
    </row>
    <row r="7" spans="1:4" ht="68">
      <c r="A7" s="3" t="s">
        <v>17</v>
      </c>
      <c r="B7" s="2" t="s">
        <v>23</v>
      </c>
      <c r="C7" s="3" t="s">
        <v>1209</v>
      </c>
      <c r="D7" s="3" t="s">
        <v>1120</v>
      </c>
    </row>
    <row r="8" spans="1:4" ht="51">
      <c r="A8" s="3" t="s">
        <v>18</v>
      </c>
      <c r="B8" s="2" t="s">
        <v>1204</v>
      </c>
      <c r="C8" s="3" t="s">
        <v>1210</v>
      </c>
      <c r="D8" s="3" t="s">
        <v>1121</v>
      </c>
    </row>
    <row r="9" spans="1:4" ht="51">
      <c r="A9" s="3" t="s">
        <v>21</v>
      </c>
      <c r="B9" s="2" t="s">
        <v>1204</v>
      </c>
      <c r="C9" s="3" t="s">
        <v>1211</v>
      </c>
      <c r="D9" s="3" t="s">
        <v>1122</v>
      </c>
    </row>
    <row r="10" spans="1:4" ht="68">
      <c r="A10" s="3" t="s">
        <v>22</v>
      </c>
      <c r="B10" s="2" t="s">
        <v>1204</v>
      </c>
      <c r="C10" s="3" t="s">
        <v>1212</v>
      </c>
      <c r="D10" s="3" t="s">
        <v>1123</v>
      </c>
    </row>
    <row r="11" spans="1:4" ht="51">
      <c r="A11" s="3" t="s">
        <v>28</v>
      </c>
      <c r="B11" s="2" t="s">
        <v>1204</v>
      </c>
      <c r="C11" s="3" t="s">
        <v>1213</v>
      </c>
      <c r="D11" s="3" t="s">
        <v>1124</v>
      </c>
    </row>
    <row r="12" spans="1:4" ht="68">
      <c r="A12" s="3" t="s">
        <v>29</v>
      </c>
      <c r="B12" s="2" t="s">
        <v>1204</v>
      </c>
      <c r="C12" s="3" t="s">
        <v>1214</v>
      </c>
      <c r="D12" s="3" t="s">
        <v>1125</v>
      </c>
    </row>
    <row r="13" spans="1:4" ht="51">
      <c r="A13" s="3" t="s">
        <v>32</v>
      </c>
      <c r="B13" s="2" t="s">
        <v>1204</v>
      </c>
      <c r="C13" s="3" t="s">
        <v>1215</v>
      </c>
      <c r="D13" s="3" t="s">
        <v>1126</v>
      </c>
    </row>
    <row r="14" spans="1:4" ht="51">
      <c r="A14" s="3" t="s">
        <v>33</v>
      </c>
      <c r="B14" s="2" t="s">
        <v>1204</v>
      </c>
      <c r="C14" s="3" t="s">
        <v>1216</v>
      </c>
      <c r="D14" s="3" t="s">
        <v>1127</v>
      </c>
    </row>
    <row r="15" spans="1:4" ht="68">
      <c r="A15" s="3" t="s">
        <v>34</v>
      </c>
      <c r="B15" s="2" t="s">
        <v>1204</v>
      </c>
      <c r="C15" s="3" t="s">
        <v>1217</v>
      </c>
      <c r="D15" s="3" t="s">
        <v>1128</v>
      </c>
    </row>
    <row r="16" spans="1:4" ht="68">
      <c r="A16" s="3" t="s">
        <v>35</v>
      </c>
      <c r="B16" s="2" t="s">
        <v>1204</v>
      </c>
      <c r="C16" s="3" t="s">
        <v>1218</v>
      </c>
      <c r="D16" s="3" t="s">
        <v>1129</v>
      </c>
    </row>
    <row r="17" spans="1:4" ht="51">
      <c r="A17" s="3" t="s">
        <v>36</v>
      </c>
      <c r="B17" s="2" t="s">
        <v>1204</v>
      </c>
      <c r="C17" s="3" t="s">
        <v>1219</v>
      </c>
      <c r="D17" s="3" t="s">
        <v>1130</v>
      </c>
    </row>
    <row r="18" spans="1:4" ht="85">
      <c r="A18" s="3" t="s">
        <v>37</v>
      </c>
      <c r="B18" s="2" t="s">
        <v>47</v>
      </c>
      <c r="C18" s="3" t="s">
        <v>1220</v>
      </c>
      <c r="D18" s="3" t="s">
        <v>1131</v>
      </c>
    </row>
    <row r="19" spans="1:4" ht="51">
      <c r="A19" s="3" t="s">
        <v>38</v>
      </c>
      <c r="B19" s="2" t="s">
        <v>47</v>
      </c>
      <c r="C19" s="3" t="s">
        <v>1221</v>
      </c>
      <c r="D19" s="3" t="s">
        <v>1132</v>
      </c>
    </row>
    <row r="20" spans="1:4" ht="85">
      <c r="A20" s="3" t="s">
        <v>39</v>
      </c>
      <c r="B20" s="2" t="s">
        <v>47</v>
      </c>
      <c r="C20" s="3" t="s">
        <v>1222</v>
      </c>
      <c r="D20" s="3" t="s">
        <v>1133</v>
      </c>
    </row>
    <row r="21" spans="1:4" ht="68">
      <c r="A21" s="3" t="s">
        <v>40</v>
      </c>
      <c r="B21" s="2" t="s">
        <v>47</v>
      </c>
      <c r="C21" s="3" t="s">
        <v>1223</v>
      </c>
      <c r="D21" s="3" t="s">
        <v>1134</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A32E-3557-C94E-8496-7D78328D49BF}">
  <sheetPr>
    <tabColor theme="6" tint="-0.249977111117893"/>
  </sheetPr>
  <dimension ref="A1:W258"/>
  <sheetViews>
    <sheetView zoomScale="70" zoomScaleNormal="70" workbookViewId="0"/>
  </sheetViews>
  <sheetFormatPr baseColWidth="10" defaultColWidth="11" defaultRowHeight="16"/>
  <cols>
    <col min="1" max="1" width="10.83203125" style="40"/>
    <col min="2" max="2" width="63.33203125" style="41" bestFit="1" customWidth="1"/>
    <col min="3" max="3" width="10.83203125" style="40"/>
    <col min="4" max="23" width="30.83203125" style="43" customWidth="1"/>
  </cols>
  <sheetData>
    <row r="1" spans="1:23" ht="51">
      <c r="A1" s="44"/>
      <c r="B1" s="45"/>
      <c r="C1" s="44"/>
      <c r="D1" s="42" t="s">
        <v>526</v>
      </c>
      <c r="E1" s="42" t="s">
        <v>527</v>
      </c>
      <c r="F1" s="42" t="s">
        <v>11</v>
      </c>
      <c r="G1" s="42" t="s">
        <v>12</v>
      </c>
      <c r="H1" s="42" t="s">
        <v>16</v>
      </c>
      <c r="I1" s="42" t="s">
        <v>17</v>
      </c>
      <c r="J1" s="42" t="s">
        <v>18</v>
      </c>
      <c r="K1" s="42" t="s">
        <v>21</v>
      </c>
      <c r="L1" s="42" t="s">
        <v>22</v>
      </c>
      <c r="M1" s="42" t="s">
        <v>28</v>
      </c>
      <c r="N1" s="42" t="s">
        <v>528</v>
      </c>
      <c r="O1" s="42" t="s">
        <v>529</v>
      </c>
      <c r="P1" s="42" t="s">
        <v>33</v>
      </c>
      <c r="Q1" s="42" t="s">
        <v>34</v>
      </c>
      <c r="R1" s="42" t="s">
        <v>530</v>
      </c>
      <c r="S1" s="42" t="s">
        <v>531</v>
      </c>
      <c r="T1" s="42" t="s">
        <v>37</v>
      </c>
      <c r="U1" s="42" t="s">
        <v>38</v>
      </c>
      <c r="V1" s="42" t="s">
        <v>39</v>
      </c>
      <c r="W1" s="42" t="s">
        <v>40</v>
      </c>
    </row>
    <row r="2" spans="1:23">
      <c r="A2" s="44" t="s">
        <v>532</v>
      </c>
      <c r="B2" s="45" t="s">
        <v>533</v>
      </c>
      <c r="C2" s="44" t="s">
        <v>534</v>
      </c>
      <c r="D2" s="43" t="s">
        <v>535</v>
      </c>
      <c r="E2" s="43" t="s">
        <v>536</v>
      </c>
      <c r="F2" s="43" t="s">
        <v>537</v>
      </c>
      <c r="G2" s="43" t="s">
        <v>538</v>
      </c>
      <c r="H2" s="43" t="s">
        <v>539</v>
      </c>
      <c r="I2" s="43" t="s">
        <v>540</v>
      </c>
      <c r="J2" s="43" t="s">
        <v>541</v>
      </c>
      <c r="K2" s="43" t="s">
        <v>542</v>
      </c>
      <c r="L2" s="43" t="s">
        <v>543</v>
      </c>
      <c r="M2" s="43" t="s">
        <v>544</v>
      </c>
      <c r="N2" s="43" t="s">
        <v>545</v>
      </c>
      <c r="O2" s="43" t="s">
        <v>546</v>
      </c>
      <c r="P2" s="43" t="s">
        <v>547</v>
      </c>
      <c r="Q2" s="43" t="s">
        <v>548</v>
      </c>
      <c r="R2" s="43" t="s">
        <v>549</v>
      </c>
      <c r="S2" s="43" t="s">
        <v>550</v>
      </c>
      <c r="T2" s="43" t="s">
        <v>551</v>
      </c>
      <c r="U2" s="43" t="s">
        <v>552</v>
      </c>
      <c r="V2" s="43" t="s">
        <v>553</v>
      </c>
      <c r="W2" s="43" t="s">
        <v>554</v>
      </c>
    </row>
    <row r="3" spans="1:23">
      <c r="A3" s="46" t="s">
        <v>555</v>
      </c>
      <c r="B3" s="47" t="s">
        <v>556</v>
      </c>
      <c r="C3" s="46" t="s">
        <v>557</v>
      </c>
      <c r="Q3" s="43" t="s">
        <v>371</v>
      </c>
    </row>
    <row r="4" spans="1:23">
      <c r="A4" s="46" t="s">
        <v>558</v>
      </c>
      <c r="B4" s="47" t="s">
        <v>559</v>
      </c>
      <c r="C4" s="46" t="s">
        <v>557</v>
      </c>
      <c r="G4" s="43" t="s">
        <v>371</v>
      </c>
      <c r="Q4" s="43" t="s">
        <v>371</v>
      </c>
      <c r="S4" s="43" t="s">
        <v>371</v>
      </c>
    </row>
    <row r="5" spans="1:23">
      <c r="A5" s="46" t="s">
        <v>560</v>
      </c>
      <c r="B5" s="47" t="s">
        <v>561</v>
      </c>
      <c r="C5" s="46" t="s">
        <v>557</v>
      </c>
      <c r="P5" s="43" t="s">
        <v>371</v>
      </c>
      <c r="Q5" s="43" t="s">
        <v>371</v>
      </c>
      <c r="S5" s="43" t="s">
        <v>371</v>
      </c>
    </row>
    <row r="6" spans="1:23">
      <c r="A6" s="46" t="s">
        <v>562</v>
      </c>
      <c r="B6" s="47" t="s">
        <v>563</v>
      </c>
      <c r="C6" s="46" t="s">
        <v>557</v>
      </c>
      <c r="L6" s="43" t="s">
        <v>371</v>
      </c>
      <c r="N6" s="43" t="s">
        <v>371</v>
      </c>
      <c r="O6" s="43" t="s">
        <v>371</v>
      </c>
      <c r="P6" s="43" t="s">
        <v>371</v>
      </c>
    </row>
    <row r="7" spans="1:23">
      <c r="A7" s="46" t="s">
        <v>564</v>
      </c>
      <c r="B7" s="47" t="s">
        <v>565</v>
      </c>
      <c r="C7" s="46" t="s">
        <v>557</v>
      </c>
    </row>
    <row r="8" spans="1:23">
      <c r="A8" s="46" t="s">
        <v>566</v>
      </c>
      <c r="B8" s="47" t="s">
        <v>567</v>
      </c>
      <c r="C8" s="46" t="s">
        <v>557</v>
      </c>
      <c r="G8" s="43" t="s">
        <v>371</v>
      </c>
      <c r="Q8" s="43" t="s">
        <v>371</v>
      </c>
    </row>
    <row r="9" spans="1:23">
      <c r="A9" s="46" t="s">
        <v>568</v>
      </c>
      <c r="B9" s="47" t="s">
        <v>569</v>
      </c>
      <c r="C9" s="46" t="s">
        <v>570</v>
      </c>
      <c r="S9" s="43" t="s">
        <v>371</v>
      </c>
    </row>
    <row r="10" spans="1:23">
      <c r="A10" s="46" t="s">
        <v>571</v>
      </c>
      <c r="B10" s="47" t="s">
        <v>572</v>
      </c>
      <c r="C10" s="46" t="s">
        <v>557</v>
      </c>
    </row>
    <row r="11" spans="1:23">
      <c r="A11" s="46" t="s">
        <v>573</v>
      </c>
      <c r="B11" s="47" t="s">
        <v>574</v>
      </c>
      <c r="C11" s="46" t="s">
        <v>575</v>
      </c>
    </row>
    <row r="12" spans="1:23">
      <c r="A12" s="46" t="s">
        <v>576</v>
      </c>
      <c r="B12" s="47" t="s">
        <v>577</v>
      </c>
      <c r="C12" s="46" t="s">
        <v>570</v>
      </c>
    </row>
    <row r="13" spans="1:23">
      <c r="A13" s="46" t="s">
        <v>578</v>
      </c>
      <c r="B13" s="47" t="s">
        <v>579</v>
      </c>
      <c r="C13" s="46" t="s">
        <v>580</v>
      </c>
      <c r="S13" s="43" t="s">
        <v>371</v>
      </c>
    </row>
    <row r="14" spans="1:23">
      <c r="A14" s="46" t="s">
        <v>581</v>
      </c>
      <c r="B14" s="47" t="s">
        <v>582</v>
      </c>
      <c r="C14" s="46" t="s">
        <v>570</v>
      </c>
      <c r="S14" s="43" t="s">
        <v>371</v>
      </c>
    </row>
    <row r="15" spans="1:23">
      <c r="A15" s="46" t="s">
        <v>583</v>
      </c>
      <c r="B15" s="47" t="s">
        <v>584</v>
      </c>
      <c r="C15" s="46" t="s">
        <v>585</v>
      </c>
    </row>
    <row r="16" spans="1:23">
      <c r="A16" s="46" t="s">
        <v>586</v>
      </c>
      <c r="B16" s="47" t="s">
        <v>587</v>
      </c>
      <c r="C16" s="46" t="s">
        <v>557</v>
      </c>
    </row>
    <row r="17" spans="1:20" customFormat="1">
      <c r="A17" s="46" t="s">
        <v>588</v>
      </c>
      <c r="B17" s="47" t="s">
        <v>584</v>
      </c>
      <c r="C17" s="46" t="s">
        <v>585</v>
      </c>
      <c r="D17" s="43"/>
      <c r="E17" s="43"/>
      <c r="F17" s="43"/>
      <c r="G17" s="43"/>
      <c r="H17" s="43"/>
      <c r="I17" s="43"/>
      <c r="J17" s="43"/>
      <c r="K17" s="43"/>
      <c r="L17" s="43"/>
      <c r="M17" s="43"/>
      <c r="N17" s="43"/>
      <c r="O17" s="43"/>
      <c r="P17" s="43"/>
      <c r="Q17" s="43"/>
      <c r="R17" s="43"/>
      <c r="S17" s="43"/>
      <c r="T17" s="43"/>
    </row>
    <row r="18" spans="1:20" customFormat="1">
      <c r="A18" s="46" t="s">
        <v>589</v>
      </c>
      <c r="B18" s="47" t="s">
        <v>590</v>
      </c>
      <c r="C18" s="46" t="s">
        <v>575</v>
      </c>
      <c r="D18" s="43"/>
      <c r="E18" s="43"/>
      <c r="F18" s="43"/>
      <c r="G18" s="43"/>
      <c r="H18" s="43"/>
      <c r="I18" s="43"/>
      <c r="J18" s="43"/>
      <c r="K18" s="43"/>
      <c r="L18" s="43"/>
      <c r="M18" s="43"/>
      <c r="N18" s="43"/>
      <c r="O18" s="43"/>
      <c r="P18" s="43"/>
      <c r="Q18" s="43"/>
      <c r="R18" s="43"/>
      <c r="S18" s="43"/>
      <c r="T18" s="43"/>
    </row>
    <row r="19" spans="1:20" customFormat="1">
      <c r="A19" s="46" t="s">
        <v>591</v>
      </c>
      <c r="B19" s="47" t="s">
        <v>592</v>
      </c>
      <c r="C19" s="46" t="s">
        <v>557</v>
      </c>
      <c r="D19" s="43"/>
      <c r="E19" s="43"/>
      <c r="F19" s="43"/>
      <c r="G19" s="43" t="s">
        <v>371</v>
      </c>
      <c r="H19" s="43"/>
      <c r="I19" s="43"/>
      <c r="J19" s="43"/>
      <c r="K19" s="43"/>
      <c r="L19" s="43"/>
      <c r="M19" s="43"/>
      <c r="N19" s="43"/>
      <c r="O19" s="43" t="s">
        <v>371</v>
      </c>
      <c r="P19" s="43"/>
      <c r="Q19" s="43"/>
      <c r="R19" s="43"/>
      <c r="S19" s="43"/>
      <c r="T19" s="43"/>
    </row>
    <row r="20" spans="1:20" customFormat="1">
      <c r="A20" s="46" t="s">
        <v>593</v>
      </c>
      <c r="B20" s="47" t="s">
        <v>594</v>
      </c>
      <c r="C20" s="46" t="s">
        <v>557</v>
      </c>
      <c r="D20" s="43"/>
      <c r="E20" s="43"/>
      <c r="F20" s="43"/>
      <c r="G20" s="43"/>
      <c r="H20" s="43"/>
      <c r="I20" s="43"/>
      <c r="J20" s="43"/>
      <c r="K20" s="43"/>
      <c r="L20" s="43"/>
      <c r="M20" s="43"/>
      <c r="N20" s="43"/>
      <c r="O20" s="43"/>
      <c r="P20" s="43"/>
      <c r="Q20" s="43"/>
      <c r="R20" s="43" t="s">
        <v>371</v>
      </c>
      <c r="S20" s="43"/>
      <c r="T20" s="43"/>
    </row>
    <row r="21" spans="1:20" customFormat="1">
      <c r="A21" s="46" t="s">
        <v>595</v>
      </c>
      <c r="B21" s="47" t="s">
        <v>596</v>
      </c>
      <c r="C21" s="46" t="s">
        <v>557</v>
      </c>
      <c r="D21" s="43"/>
      <c r="E21" s="43"/>
      <c r="F21" s="43"/>
      <c r="G21" s="43" t="s">
        <v>371</v>
      </c>
      <c r="H21" s="43"/>
      <c r="I21" s="43"/>
      <c r="J21" s="43"/>
      <c r="K21" s="43"/>
      <c r="L21" s="43"/>
      <c r="M21" s="43"/>
      <c r="N21" s="43"/>
      <c r="O21" s="43"/>
      <c r="P21" s="43"/>
      <c r="Q21" s="43"/>
      <c r="R21" s="43" t="s">
        <v>371</v>
      </c>
      <c r="S21" s="43"/>
      <c r="T21" s="43"/>
    </row>
    <row r="22" spans="1:20" customFormat="1">
      <c r="A22" s="46" t="s">
        <v>597</v>
      </c>
      <c r="B22" s="47" t="s">
        <v>598</v>
      </c>
      <c r="C22" s="46" t="s">
        <v>557</v>
      </c>
      <c r="D22" s="43"/>
      <c r="E22" s="43"/>
      <c r="F22" s="43"/>
      <c r="G22" s="43"/>
      <c r="H22" s="43"/>
      <c r="I22" s="43"/>
      <c r="J22" s="43"/>
      <c r="K22" s="43"/>
      <c r="L22" s="43"/>
      <c r="M22" s="43"/>
      <c r="N22" s="43"/>
      <c r="O22" s="43" t="s">
        <v>371</v>
      </c>
      <c r="P22" s="43"/>
      <c r="Q22" s="43"/>
      <c r="R22" s="43"/>
      <c r="S22" s="43"/>
      <c r="T22" s="43"/>
    </row>
    <row r="23" spans="1:20" customFormat="1">
      <c r="A23" s="46" t="s">
        <v>599</v>
      </c>
      <c r="B23" s="47" t="s">
        <v>600</v>
      </c>
      <c r="C23" s="46" t="s">
        <v>570</v>
      </c>
      <c r="D23" s="43"/>
      <c r="E23" s="43"/>
      <c r="F23" s="43"/>
      <c r="G23" s="43"/>
      <c r="H23" s="43"/>
      <c r="I23" s="43"/>
      <c r="J23" s="43"/>
      <c r="K23" s="43"/>
      <c r="L23" s="43"/>
      <c r="M23" s="43"/>
      <c r="N23" s="43"/>
      <c r="O23" s="43"/>
      <c r="P23" s="43"/>
      <c r="Q23" s="43"/>
      <c r="R23" s="43"/>
      <c r="S23" s="43"/>
      <c r="T23" s="43"/>
    </row>
    <row r="24" spans="1:20" customFormat="1">
      <c r="A24" s="46" t="s">
        <v>601</v>
      </c>
      <c r="B24" s="47" t="s">
        <v>602</v>
      </c>
      <c r="C24" s="46" t="s">
        <v>570</v>
      </c>
      <c r="D24" s="43"/>
      <c r="E24" s="43"/>
      <c r="F24" s="43"/>
      <c r="G24" s="43"/>
      <c r="H24" s="43"/>
      <c r="I24" s="43"/>
      <c r="J24" s="43"/>
      <c r="K24" s="43"/>
      <c r="L24" s="43"/>
      <c r="M24" s="43"/>
      <c r="N24" s="43"/>
      <c r="O24" s="43"/>
      <c r="P24" s="43"/>
      <c r="Q24" s="43"/>
      <c r="R24" s="43"/>
      <c r="S24" s="43"/>
      <c r="T24" s="43"/>
    </row>
    <row r="25" spans="1:20" customFormat="1">
      <c r="A25" s="46" t="s">
        <v>603</v>
      </c>
      <c r="B25" s="47" t="s">
        <v>604</v>
      </c>
      <c r="C25" s="46" t="s">
        <v>575</v>
      </c>
      <c r="D25" s="43"/>
      <c r="E25" s="43"/>
      <c r="F25" s="43"/>
      <c r="G25" s="43"/>
      <c r="H25" s="43"/>
      <c r="I25" s="43" t="s">
        <v>371</v>
      </c>
      <c r="J25" s="43"/>
      <c r="K25" s="43"/>
      <c r="L25" s="43"/>
      <c r="M25" s="43"/>
      <c r="N25" s="43"/>
      <c r="O25" s="43"/>
      <c r="P25" s="43" t="s">
        <v>371</v>
      </c>
      <c r="Q25" s="43"/>
      <c r="R25" s="43"/>
      <c r="S25" s="43"/>
      <c r="T25" s="43"/>
    </row>
    <row r="26" spans="1:20" customFormat="1">
      <c r="A26" s="46" t="s">
        <v>605</v>
      </c>
      <c r="B26" s="47" t="s">
        <v>606</v>
      </c>
      <c r="C26" s="46" t="s">
        <v>575</v>
      </c>
      <c r="D26" s="43"/>
      <c r="E26" s="43"/>
      <c r="F26" s="43"/>
      <c r="G26" s="43"/>
      <c r="H26" s="43"/>
      <c r="I26" s="43"/>
      <c r="J26" s="43"/>
      <c r="K26" s="43"/>
      <c r="L26" s="43"/>
      <c r="M26" s="43"/>
      <c r="N26" s="43"/>
      <c r="O26" s="43"/>
      <c r="P26" s="43"/>
      <c r="Q26" s="43" t="s">
        <v>371</v>
      </c>
      <c r="R26" s="43"/>
      <c r="S26" s="43"/>
      <c r="T26" s="43"/>
    </row>
    <row r="27" spans="1:20" customFormat="1">
      <c r="A27" s="46" t="s">
        <v>607</v>
      </c>
      <c r="B27" s="47" t="s">
        <v>608</v>
      </c>
      <c r="C27" s="46" t="s">
        <v>575</v>
      </c>
      <c r="D27" s="43"/>
      <c r="E27" s="43"/>
      <c r="F27" s="43"/>
      <c r="G27" s="43"/>
      <c r="H27" s="43"/>
      <c r="I27" s="43"/>
      <c r="J27" s="43"/>
      <c r="K27" s="43"/>
      <c r="L27" s="43"/>
      <c r="M27" s="43"/>
      <c r="N27" s="43"/>
      <c r="O27" s="43"/>
      <c r="P27" s="43"/>
      <c r="Q27" s="43"/>
      <c r="R27" s="43"/>
      <c r="S27" s="43"/>
      <c r="T27" s="43"/>
    </row>
    <row r="28" spans="1:20" customFormat="1">
      <c r="A28" s="46" t="s">
        <v>609</v>
      </c>
      <c r="B28" s="47" t="s">
        <v>610</v>
      </c>
      <c r="C28" s="46" t="s">
        <v>557</v>
      </c>
      <c r="D28" s="43"/>
      <c r="E28" s="43"/>
      <c r="F28" s="43"/>
      <c r="G28" s="43"/>
      <c r="H28" s="43"/>
      <c r="I28" s="43"/>
      <c r="J28" s="43"/>
      <c r="K28" s="43"/>
      <c r="L28" s="43"/>
      <c r="M28" s="43"/>
      <c r="N28" s="43"/>
      <c r="O28" s="43"/>
      <c r="P28" s="43"/>
      <c r="Q28" s="43"/>
      <c r="R28" s="43"/>
      <c r="S28" s="43"/>
      <c r="T28" s="43" t="s">
        <v>371</v>
      </c>
    </row>
    <row r="29" spans="1:20" customFormat="1">
      <c r="A29" s="46" t="s">
        <v>611</v>
      </c>
      <c r="B29" s="47" t="s">
        <v>612</v>
      </c>
      <c r="C29" s="46" t="s">
        <v>557</v>
      </c>
      <c r="D29" s="43"/>
      <c r="E29" s="43"/>
      <c r="F29" s="43"/>
      <c r="G29" s="43"/>
      <c r="H29" s="43"/>
      <c r="I29" s="43"/>
      <c r="J29" s="43"/>
      <c r="K29" s="43"/>
      <c r="L29" s="43"/>
      <c r="M29" s="43"/>
      <c r="N29" s="43"/>
      <c r="O29" s="43"/>
      <c r="P29" s="43"/>
      <c r="Q29" s="43"/>
      <c r="R29" s="43"/>
      <c r="S29" s="43"/>
      <c r="T29" s="43" t="s">
        <v>371</v>
      </c>
    </row>
    <row r="30" spans="1:20" customFormat="1">
      <c r="A30" s="46" t="s">
        <v>613</v>
      </c>
      <c r="B30" s="47" t="s">
        <v>614</v>
      </c>
      <c r="C30" s="46" t="s">
        <v>557</v>
      </c>
      <c r="D30" s="43"/>
      <c r="E30" s="43"/>
      <c r="F30" s="43"/>
      <c r="G30" s="43"/>
      <c r="H30" s="43"/>
      <c r="I30" s="43"/>
      <c r="J30" s="43"/>
      <c r="K30" s="43"/>
      <c r="L30" s="43"/>
      <c r="M30" s="43"/>
      <c r="N30" s="43"/>
      <c r="O30" s="43"/>
      <c r="P30" s="43"/>
      <c r="Q30" s="43"/>
      <c r="R30" s="43"/>
      <c r="S30" s="43"/>
      <c r="T30" s="43" t="s">
        <v>371</v>
      </c>
    </row>
    <row r="31" spans="1:20" customFormat="1">
      <c r="A31" s="46" t="s">
        <v>615</v>
      </c>
      <c r="B31" s="47" t="s">
        <v>616</v>
      </c>
      <c r="C31" s="46" t="s">
        <v>580</v>
      </c>
      <c r="D31" s="43"/>
      <c r="E31" s="43"/>
      <c r="F31" s="43"/>
      <c r="G31" s="43"/>
      <c r="H31" s="43"/>
      <c r="I31" s="43"/>
      <c r="J31" s="43"/>
      <c r="K31" s="43"/>
      <c r="L31" s="43"/>
      <c r="M31" s="43"/>
      <c r="N31" s="43"/>
      <c r="O31" s="43"/>
      <c r="P31" s="43"/>
      <c r="Q31" s="43"/>
      <c r="R31" s="43"/>
      <c r="S31" s="43"/>
      <c r="T31" s="43" t="s">
        <v>371</v>
      </c>
    </row>
    <row r="32" spans="1:20" customFormat="1">
      <c r="A32" s="46" t="s">
        <v>617</v>
      </c>
      <c r="B32" s="47" t="s">
        <v>584</v>
      </c>
      <c r="C32" s="46" t="s">
        <v>585</v>
      </c>
      <c r="D32" s="43"/>
      <c r="E32" s="43"/>
      <c r="F32" s="43"/>
      <c r="G32" s="43"/>
      <c r="H32" s="43"/>
      <c r="I32" s="43"/>
      <c r="J32" s="43"/>
      <c r="K32" s="43"/>
      <c r="L32" s="43"/>
      <c r="M32" s="43"/>
      <c r="N32" s="43"/>
      <c r="O32" s="43"/>
      <c r="P32" s="43"/>
      <c r="Q32" s="43"/>
      <c r="R32" s="43"/>
      <c r="S32" s="43"/>
      <c r="T32" s="43"/>
    </row>
    <row r="33" spans="1:9" customFormat="1">
      <c r="A33" s="46" t="s">
        <v>618</v>
      </c>
      <c r="B33" s="47" t="s">
        <v>619</v>
      </c>
      <c r="C33" s="46" t="s">
        <v>557</v>
      </c>
      <c r="D33" s="43"/>
      <c r="E33" s="43"/>
      <c r="F33" s="43"/>
      <c r="G33" s="43"/>
      <c r="H33" s="43"/>
      <c r="I33" s="43"/>
    </row>
    <row r="34" spans="1:9" customFormat="1">
      <c r="A34" s="46" t="s">
        <v>620</v>
      </c>
      <c r="B34" s="47" t="s">
        <v>621</v>
      </c>
      <c r="C34" s="46" t="s">
        <v>557</v>
      </c>
      <c r="D34" s="43"/>
      <c r="E34" s="43"/>
      <c r="F34" s="43"/>
      <c r="G34" s="43"/>
      <c r="H34" s="43"/>
      <c r="I34" s="43" t="s">
        <v>371</v>
      </c>
    </row>
    <row r="35" spans="1:9" customFormat="1">
      <c r="A35" s="46" t="s">
        <v>622</v>
      </c>
      <c r="B35" s="47" t="s">
        <v>623</v>
      </c>
      <c r="C35" s="46" t="s">
        <v>557</v>
      </c>
      <c r="D35" s="43"/>
      <c r="E35" s="43"/>
      <c r="F35" s="43"/>
      <c r="G35" s="43"/>
      <c r="H35" s="43"/>
      <c r="I35" s="43" t="s">
        <v>371</v>
      </c>
    </row>
    <row r="36" spans="1:9" customFormat="1">
      <c r="A36" s="46" t="s">
        <v>624</v>
      </c>
      <c r="B36" s="47" t="s">
        <v>625</v>
      </c>
      <c r="C36" s="46" t="s">
        <v>557</v>
      </c>
      <c r="D36" s="43"/>
      <c r="E36" s="43"/>
      <c r="F36" s="43"/>
      <c r="G36" s="43"/>
      <c r="H36" s="43"/>
      <c r="I36" s="43" t="s">
        <v>371</v>
      </c>
    </row>
    <row r="37" spans="1:9" customFormat="1">
      <c r="A37" s="46" t="s">
        <v>626</v>
      </c>
      <c r="B37" s="47" t="s">
        <v>627</v>
      </c>
      <c r="C37" s="46" t="s">
        <v>557</v>
      </c>
      <c r="D37" s="43"/>
      <c r="E37" s="43"/>
      <c r="F37" s="43"/>
      <c r="G37" s="43"/>
      <c r="H37" s="43"/>
      <c r="I37" s="43" t="s">
        <v>371</v>
      </c>
    </row>
    <row r="38" spans="1:9" customFormat="1">
      <c r="A38" s="46" t="s">
        <v>628</v>
      </c>
      <c r="B38" s="47" t="s">
        <v>629</v>
      </c>
      <c r="C38" s="46" t="s">
        <v>557</v>
      </c>
      <c r="D38" s="43"/>
      <c r="E38" s="43"/>
      <c r="F38" s="43"/>
      <c r="G38" s="43"/>
      <c r="H38" s="43"/>
      <c r="I38" s="43" t="s">
        <v>371</v>
      </c>
    </row>
    <row r="39" spans="1:9" customFormat="1">
      <c r="A39" s="46" t="s">
        <v>630</v>
      </c>
      <c r="B39" s="47" t="s">
        <v>631</v>
      </c>
      <c r="C39" s="46" t="s">
        <v>570</v>
      </c>
      <c r="D39" s="43"/>
      <c r="E39" s="43"/>
      <c r="F39" s="43"/>
      <c r="G39" s="43"/>
      <c r="H39" s="43"/>
      <c r="I39" s="43" t="s">
        <v>371</v>
      </c>
    </row>
    <row r="40" spans="1:9" customFormat="1">
      <c r="A40" s="46" t="s">
        <v>632</v>
      </c>
      <c r="B40" s="47" t="s">
        <v>633</v>
      </c>
      <c r="C40" s="46" t="s">
        <v>557</v>
      </c>
      <c r="D40" s="43"/>
      <c r="E40" s="43"/>
      <c r="F40" s="43"/>
      <c r="G40" s="43"/>
      <c r="H40" s="43"/>
      <c r="I40" s="43" t="s">
        <v>371</v>
      </c>
    </row>
    <row r="41" spans="1:9" customFormat="1">
      <c r="A41" s="46" t="s">
        <v>634</v>
      </c>
      <c r="B41" s="47" t="s">
        <v>635</v>
      </c>
      <c r="C41" s="46" t="s">
        <v>557</v>
      </c>
      <c r="D41" s="43"/>
      <c r="E41" s="43"/>
      <c r="F41" s="43"/>
      <c r="G41" s="43"/>
      <c r="H41" s="43"/>
      <c r="I41" s="43" t="s">
        <v>371</v>
      </c>
    </row>
    <row r="42" spans="1:9" customFormat="1">
      <c r="A42" s="46" t="s">
        <v>636</v>
      </c>
      <c r="B42" s="47" t="s">
        <v>637</v>
      </c>
      <c r="C42" s="46" t="s">
        <v>557</v>
      </c>
      <c r="D42" s="43"/>
      <c r="E42" s="43"/>
      <c r="F42" s="43"/>
      <c r="G42" s="43"/>
      <c r="H42" s="43"/>
      <c r="I42" s="43" t="s">
        <v>371</v>
      </c>
    </row>
    <row r="43" spans="1:9" customFormat="1">
      <c r="A43" s="46" t="s">
        <v>638</v>
      </c>
      <c r="B43" s="47" t="s">
        <v>639</v>
      </c>
      <c r="C43" s="46" t="s">
        <v>580</v>
      </c>
      <c r="D43" s="43"/>
      <c r="E43" s="43"/>
      <c r="F43" s="43"/>
      <c r="G43" s="43"/>
      <c r="H43" s="43"/>
      <c r="I43" s="43" t="s">
        <v>371</v>
      </c>
    </row>
    <row r="44" spans="1:9" customFormat="1">
      <c r="A44" s="46" t="s">
        <v>640</v>
      </c>
      <c r="B44" s="47" t="s">
        <v>641</v>
      </c>
      <c r="C44" s="46" t="s">
        <v>557</v>
      </c>
      <c r="D44" s="43"/>
      <c r="E44" s="43"/>
      <c r="F44" s="43"/>
      <c r="G44" s="43"/>
      <c r="H44" s="43"/>
      <c r="I44" s="43" t="s">
        <v>371</v>
      </c>
    </row>
    <row r="45" spans="1:9" customFormat="1">
      <c r="A45" s="46" t="s">
        <v>642</v>
      </c>
      <c r="B45" s="47" t="s">
        <v>643</v>
      </c>
      <c r="C45" s="46" t="s">
        <v>575</v>
      </c>
      <c r="D45" s="43"/>
      <c r="E45" s="43"/>
      <c r="F45" s="43"/>
      <c r="G45" s="43"/>
      <c r="H45" s="43"/>
      <c r="I45" s="43" t="s">
        <v>371</v>
      </c>
    </row>
    <row r="46" spans="1:9" customFormat="1">
      <c r="A46" s="46" t="s">
        <v>644</v>
      </c>
      <c r="B46" s="47" t="s">
        <v>645</v>
      </c>
      <c r="C46" s="46" t="s">
        <v>575</v>
      </c>
      <c r="D46" s="43"/>
      <c r="E46" s="43"/>
      <c r="F46" s="43"/>
      <c r="G46" s="43"/>
      <c r="H46" s="43"/>
      <c r="I46" s="43" t="s">
        <v>371</v>
      </c>
    </row>
    <row r="47" spans="1:9" customFormat="1">
      <c r="A47" s="46" t="s">
        <v>646</v>
      </c>
      <c r="B47" s="47" t="s">
        <v>647</v>
      </c>
      <c r="C47" s="46" t="s">
        <v>575</v>
      </c>
      <c r="D47" s="43"/>
      <c r="E47" s="43"/>
      <c r="F47" s="43"/>
      <c r="G47" s="43"/>
      <c r="H47" s="43"/>
      <c r="I47" s="43"/>
    </row>
    <row r="48" spans="1:9" customFormat="1">
      <c r="A48" s="46" t="s">
        <v>648</v>
      </c>
      <c r="B48" s="47" t="s">
        <v>649</v>
      </c>
      <c r="C48" s="46" t="s">
        <v>575</v>
      </c>
      <c r="D48" s="43"/>
      <c r="E48" s="43"/>
      <c r="F48" s="43"/>
      <c r="G48" s="43"/>
      <c r="H48" s="43"/>
      <c r="I48" s="43"/>
    </row>
    <row r="49" spans="1:23">
      <c r="A49" s="46" t="s">
        <v>650</v>
      </c>
      <c r="B49" s="47" t="s">
        <v>651</v>
      </c>
      <c r="C49" s="46" t="s">
        <v>557</v>
      </c>
    </row>
    <row r="50" spans="1:23">
      <c r="A50" s="46" t="s">
        <v>652</v>
      </c>
      <c r="B50" s="47" t="s">
        <v>653</v>
      </c>
      <c r="C50" s="46" t="s">
        <v>570</v>
      </c>
      <c r="F50" s="43" t="s">
        <v>371</v>
      </c>
      <c r="W50" s="43" t="s">
        <v>371</v>
      </c>
    </row>
    <row r="51" spans="1:23">
      <c r="A51" s="46" t="s">
        <v>654</v>
      </c>
      <c r="B51" s="47" t="s">
        <v>655</v>
      </c>
      <c r="C51" s="46" t="s">
        <v>557</v>
      </c>
      <c r="N51" s="43" t="s">
        <v>371</v>
      </c>
      <c r="O51" s="43" t="s">
        <v>371</v>
      </c>
      <c r="R51" s="43" t="s">
        <v>371</v>
      </c>
    </row>
    <row r="52" spans="1:23">
      <c r="A52" s="46" t="s">
        <v>656</v>
      </c>
      <c r="B52" s="47" t="s">
        <v>584</v>
      </c>
      <c r="C52" s="46" t="s">
        <v>585</v>
      </c>
    </row>
    <row r="53" spans="1:23">
      <c r="A53" s="46" t="s">
        <v>657</v>
      </c>
      <c r="B53" s="47" t="s">
        <v>658</v>
      </c>
      <c r="C53" s="46" t="s">
        <v>580</v>
      </c>
      <c r="W53" s="43" t="s">
        <v>371</v>
      </c>
    </row>
    <row r="54" spans="1:23">
      <c r="A54" s="46" t="s">
        <v>659</v>
      </c>
      <c r="B54" s="47" t="s">
        <v>660</v>
      </c>
      <c r="C54" s="46" t="s">
        <v>580</v>
      </c>
      <c r="W54" s="43" t="s">
        <v>371</v>
      </c>
    </row>
    <row r="55" spans="1:23">
      <c r="A55" s="46" t="s">
        <v>661</v>
      </c>
      <c r="B55" s="47" t="s">
        <v>662</v>
      </c>
      <c r="C55" s="46" t="s">
        <v>580</v>
      </c>
      <c r="D55" s="43" t="s">
        <v>371</v>
      </c>
      <c r="E55" s="43" t="s">
        <v>371</v>
      </c>
      <c r="F55" s="43" t="s">
        <v>371</v>
      </c>
      <c r="G55" s="43" t="s">
        <v>371</v>
      </c>
      <c r="H55" s="43" t="s">
        <v>371</v>
      </c>
      <c r="I55" s="43" t="s">
        <v>371</v>
      </c>
      <c r="J55" s="43" t="s">
        <v>371</v>
      </c>
      <c r="L55" s="43" t="s">
        <v>371</v>
      </c>
      <c r="N55" s="43" t="s">
        <v>371</v>
      </c>
      <c r="O55" s="43" t="s">
        <v>371</v>
      </c>
      <c r="P55" s="43" t="s">
        <v>371</v>
      </c>
      <c r="Q55" s="43" t="s">
        <v>371</v>
      </c>
      <c r="R55" s="43" t="s">
        <v>371</v>
      </c>
      <c r="S55" s="43" t="s">
        <v>371</v>
      </c>
    </row>
    <row r="56" spans="1:23">
      <c r="A56" s="46" t="s">
        <v>663</v>
      </c>
      <c r="B56" s="47" t="s">
        <v>664</v>
      </c>
      <c r="C56" s="46" t="s">
        <v>557</v>
      </c>
      <c r="W56" s="43" t="s">
        <v>371</v>
      </c>
    </row>
    <row r="57" spans="1:23">
      <c r="A57" s="46" t="s">
        <v>665</v>
      </c>
      <c r="B57" s="47" t="s">
        <v>666</v>
      </c>
      <c r="C57" s="46" t="s">
        <v>570</v>
      </c>
      <c r="L57" s="43" t="s">
        <v>371</v>
      </c>
      <c r="N57" s="43" t="s">
        <v>371</v>
      </c>
      <c r="O57" s="43" t="s">
        <v>371</v>
      </c>
      <c r="P57" s="43" t="s">
        <v>371</v>
      </c>
    </row>
    <row r="58" spans="1:23">
      <c r="A58" s="46" t="s">
        <v>667</v>
      </c>
      <c r="B58" s="47" t="s">
        <v>668</v>
      </c>
      <c r="C58" s="46" t="s">
        <v>557</v>
      </c>
    </row>
    <row r="59" spans="1:23">
      <c r="A59" s="46" t="s">
        <v>669</v>
      </c>
      <c r="B59" s="47" t="s">
        <v>670</v>
      </c>
      <c r="C59" s="46" t="s">
        <v>557</v>
      </c>
      <c r="E59" s="43" t="s">
        <v>371</v>
      </c>
      <c r="H59" s="43" t="s">
        <v>371</v>
      </c>
      <c r="J59" s="43" t="s">
        <v>371</v>
      </c>
      <c r="L59" s="43" t="s">
        <v>371</v>
      </c>
      <c r="N59" s="43" t="s">
        <v>371</v>
      </c>
      <c r="O59" s="43" t="s">
        <v>371</v>
      </c>
      <c r="R59" s="43" t="s">
        <v>371</v>
      </c>
    </row>
    <row r="60" spans="1:23">
      <c r="A60" s="46" t="s">
        <v>671</v>
      </c>
      <c r="B60" s="47" t="s">
        <v>672</v>
      </c>
      <c r="C60" s="46" t="s">
        <v>557</v>
      </c>
      <c r="H60" s="43" t="s">
        <v>371</v>
      </c>
      <c r="J60" s="43" t="s">
        <v>371</v>
      </c>
      <c r="N60" s="43" t="s">
        <v>371</v>
      </c>
    </row>
    <row r="61" spans="1:23">
      <c r="A61" s="46" t="s">
        <v>673</v>
      </c>
      <c r="B61" s="47" t="s">
        <v>674</v>
      </c>
      <c r="C61" s="46" t="s">
        <v>570</v>
      </c>
    </row>
    <row r="62" spans="1:23">
      <c r="A62" s="46" t="s">
        <v>675</v>
      </c>
      <c r="B62" s="47" t="s">
        <v>676</v>
      </c>
      <c r="C62" s="46" t="s">
        <v>557</v>
      </c>
      <c r="H62" s="43" t="s">
        <v>371</v>
      </c>
      <c r="J62" s="43" t="s">
        <v>371</v>
      </c>
      <c r="N62" s="43" t="s">
        <v>371</v>
      </c>
    </row>
    <row r="63" spans="1:23">
      <c r="A63" s="46" t="s">
        <v>677</v>
      </c>
      <c r="B63" s="47" t="s">
        <v>678</v>
      </c>
      <c r="C63" s="46" t="s">
        <v>557</v>
      </c>
      <c r="H63" s="43" t="s">
        <v>371</v>
      </c>
      <c r="J63" s="43" t="s">
        <v>371</v>
      </c>
      <c r="L63" s="43" t="s">
        <v>371</v>
      </c>
      <c r="N63" s="43" t="s">
        <v>371</v>
      </c>
    </row>
    <row r="64" spans="1:23">
      <c r="A64" s="46" t="s">
        <v>679</v>
      </c>
      <c r="B64" s="47" t="s">
        <v>680</v>
      </c>
      <c r="C64" s="46" t="s">
        <v>557</v>
      </c>
      <c r="H64" s="43" t="s">
        <v>371</v>
      </c>
      <c r="J64" s="43" t="s">
        <v>371</v>
      </c>
    </row>
    <row r="65" spans="1:14" customFormat="1">
      <c r="A65" s="46" t="s">
        <v>63</v>
      </c>
      <c r="B65" s="47" t="s">
        <v>681</v>
      </c>
      <c r="C65" s="46" t="s">
        <v>557</v>
      </c>
      <c r="D65" s="43" t="s">
        <v>371</v>
      </c>
      <c r="E65" s="43" t="s">
        <v>371</v>
      </c>
      <c r="F65" s="43"/>
      <c r="G65" s="43"/>
      <c r="H65" s="43" t="s">
        <v>371</v>
      </c>
      <c r="I65" s="43"/>
      <c r="J65" s="43" t="s">
        <v>371</v>
      </c>
      <c r="K65" s="43"/>
      <c r="L65" s="43" t="s">
        <v>371</v>
      </c>
      <c r="M65" s="43"/>
      <c r="N65" s="43" t="s">
        <v>371</v>
      </c>
    </row>
    <row r="66" spans="1:14" customFormat="1">
      <c r="A66" s="46" t="s">
        <v>682</v>
      </c>
      <c r="B66" s="47" t="s">
        <v>683</v>
      </c>
      <c r="C66" s="46" t="s">
        <v>557</v>
      </c>
      <c r="D66" s="43"/>
      <c r="E66" s="43"/>
      <c r="F66" s="43"/>
      <c r="G66" s="43"/>
      <c r="H66" s="43" t="s">
        <v>371</v>
      </c>
      <c r="I66" s="43"/>
      <c r="J66" s="43" t="s">
        <v>371</v>
      </c>
      <c r="K66" s="43"/>
      <c r="L66" s="43"/>
      <c r="M66" s="43"/>
      <c r="N66" s="43"/>
    </row>
    <row r="67" spans="1:14" customFormat="1">
      <c r="A67" s="46" t="s">
        <v>684</v>
      </c>
      <c r="B67" s="47" t="s">
        <v>685</v>
      </c>
      <c r="C67" s="46" t="s">
        <v>570</v>
      </c>
      <c r="D67" s="43"/>
      <c r="E67" s="43" t="s">
        <v>371</v>
      </c>
      <c r="F67" s="43"/>
      <c r="G67" s="43"/>
      <c r="H67" s="43"/>
      <c r="I67" s="43"/>
      <c r="J67" s="43"/>
      <c r="K67" s="43"/>
      <c r="L67" s="43"/>
      <c r="M67" s="43"/>
      <c r="N67" s="43"/>
    </row>
    <row r="68" spans="1:14" customFormat="1">
      <c r="A68" s="46" t="s">
        <v>686</v>
      </c>
      <c r="B68" s="47" t="s">
        <v>687</v>
      </c>
      <c r="C68" s="46" t="s">
        <v>557</v>
      </c>
      <c r="D68" s="43"/>
      <c r="E68" s="43" t="s">
        <v>371</v>
      </c>
      <c r="F68" s="43"/>
      <c r="G68" s="43"/>
      <c r="H68" s="43" t="s">
        <v>371</v>
      </c>
      <c r="I68" s="43"/>
      <c r="J68" s="43" t="s">
        <v>371</v>
      </c>
      <c r="K68" s="43"/>
      <c r="L68" s="43"/>
      <c r="M68" s="43"/>
      <c r="N68" s="43"/>
    </row>
    <row r="69" spans="1:14" customFormat="1">
      <c r="A69" s="46" t="s">
        <v>688</v>
      </c>
      <c r="B69" s="47" t="s">
        <v>689</v>
      </c>
      <c r="C69" s="46" t="s">
        <v>557</v>
      </c>
      <c r="D69" s="43"/>
      <c r="E69" s="43"/>
      <c r="F69" s="43"/>
      <c r="G69" s="43"/>
      <c r="H69" s="43"/>
      <c r="I69" s="43"/>
      <c r="J69" s="43"/>
      <c r="K69" s="43"/>
      <c r="L69" s="43"/>
      <c r="M69" s="43"/>
      <c r="N69" s="43"/>
    </row>
    <row r="70" spans="1:14" customFormat="1">
      <c r="A70" s="46" t="s">
        <v>690</v>
      </c>
      <c r="B70" s="47" t="s">
        <v>691</v>
      </c>
      <c r="C70" s="46" t="s">
        <v>557</v>
      </c>
      <c r="D70" s="43"/>
      <c r="E70" s="43"/>
      <c r="F70" s="43"/>
      <c r="G70" s="43"/>
      <c r="H70" s="43"/>
      <c r="I70" s="43"/>
      <c r="J70" s="43"/>
      <c r="K70" s="43"/>
      <c r="L70" s="43"/>
      <c r="M70" s="43"/>
      <c r="N70" s="43"/>
    </row>
    <row r="71" spans="1:14" customFormat="1">
      <c r="A71" s="46" t="s">
        <v>692</v>
      </c>
      <c r="B71" s="47" t="s">
        <v>693</v>
      </c>
      <c r="C71" s="46" t="s">
        <v>570</v>
      </c>
      <c r="D71" s="43"/>
      <c r="E71" s="43"/>
      <c r="F71" s="43"/>
      <c r="G71" s="43"/>
      <c r="H71" s="43"/>
      <c r="I71" s="43"/>
      <c r="J71" s="43"/>
      <c r="K71" s="43"/>
      <c r="L71" s="43"/>
      <c r="M71" s="43"/>
      <c r="N71" s="43"/>
    </row>
    <row r="72" spans="1:14" customFormat="1">
      <c r="A72" s="46" t="s">
        <v>694</v>
      </c>
      <c r="B72" s="47" t="s">
        <v>695</v>
      </c>
      <c r="C72" s="46" t="s">
        <v>570</v>
      </c>
      <c r="D72" s="43"/>
      <c r="E72" s="43"/>
      <c r="F72" s="43"/>
      <c r="G72" s="43"/>
      <c r="H72" s="43"/>
      <c r="I72" s="43"/>
      <c r="J72" s="43"/>
      <c r="K72" s="43"/>
      <c r="L72" s="43"/>
      <c r="M72" s="43"/>
      <c r="N72" s="43"/>
    </row>
    <row r="73" spans="1:14" customFormat="1">
      <c r="A73" s="46" t="s">
        <v>696</v>
      </c>
      <c r="B73" s="47" t="s">
        <v>584</v>
      </c>
      <c r="C73" s="46" t="s">
        <v>585</v>
      </c>
      <c r="D73" s="43"/>
      <c r="E73" s="43"/>
      <c r="F73" s="43"/>
      <c r="G73" s="43"/>
      <c r="H73" s="43"/>
      <c r="I73" s="43"/>
      <c r="J73" s="43"/>
      <c r="K73" s="43"/>
      <c r="L73" s="43"/>
      <c r="M73" s="43"/>
      <c r="N73" s="43"/>
    </row>
    <row r="74" spans="1:14" customFormat="1">
      <c r="A74" s="46" t="s">
        <v>697</v>
      </c>
      <c r="B74" s="47" t="s">
        <v>698</v>
      </c>
      <c r="C74" s="46" t="s">
        <v>557</v>
      </c>
      <c r="D74" s="43"/>
      <c r="E74" s="43"/>
      <c r="F74" s="43"/>
      <c r="G74" s="43"/>
      <c r="H74" s="43"/>
      <c r="I74" s="43"/>
      <c r="J74" s="43"/>
      <c r="K74" s="43"/>
      <c r="L74" s="43"/>
      <c r="M74" s="43"/>
      <c r="N74" s="43"/>
    </row>
    <row r="75" spans="1:14" customFormat="1">
      <c r="A75" s="46" t="s">
        <v>699</v>
      </c>
      <c r="B75" s="47" t="s">
        <v>700</v>
      </c>
      <c r="C75" s="46" t="s">
        <v>557</v>
      </c>
      <c r="D75" s="43"/>
      <c r="E75" s="43"/>
      <c r="F75" s="43"/>
      <c r="G75" s="43"/>
      <c r="H75" s="43"/>
      <c r="I75" s="43"/>
      <c r="J75" s="43"/>
      <c r="K75" s="43"/>
      <c r="L75" s="43"/>
      <c r="M75" s="43"/>
      <c r="N75" s="43"/>
    </row>
    <row r="76" spans="1:14" customFormat="1">
      <c r="A76" s="46" t="s">
        <v>701</v>
      </c>
      <c r="B76" s="47" t="s">
        <v>702</v>
      </c>
      <c r="C76" s="46" t="s">
        <v>557</v>
      </c>
      <c r="D76" s="43"/>
      <c r="E76" s="43"/>
      <c r="F76" s="43"/>
      <c r="G76" s="43"/>
      <c r="H76" s="43"/>
      <c r="I76" s="43"/>
      <c r="J76" s="43"/>
      <c r="K76" s="43"/>
      <c r="L76" s="43"/>
      <c r="M76" s="43"/>
      <c r="N76" s="43"/>
    </row>
    <row r="77" spans="1:14" customFormat="1">
      <c r="A77" s="46" t="s">
        <v>703</v>
      </c>
      <c r="B77" s="47" t="s">
        <v>704</v>
      </c>
      <c r="C77" s="46" t="s">
        <v>557</v>
      </c>
      <c r="D77" s="43"/>
      <c r="E77" s="43"/>
      <c r="F77" s="43"/>
      <c r="G77" s="43"/>
      <c r="H77" s="43"/>
      <c r="I77" s="43"/>
      <c r="J77" s="43"/>
      <c r="K77" s="43" t="s">
        <v>371</v>
      </c>
      <c r="L77" s="43"/>
      <c r="M77" s="43" t="s">
        <v>371</v>
      </c>
      <c r="N77" s="43"/>
    </row>
    <row r="78" spans="1:14" customFormat="1">
      <c r="A78" s="46" t="s">
        <v>705</v>
      </c>
      <c r="B78" s="47" t="s">
        <v>706</v>
      </c>
      <c r="C78" s="46" t="s">
        <v>557</v>
      </c>
      <c r="D78" s="43"/>
      <c r="E78" s="43"/>
      <c r="F78" s="43"/>
      <c r="G78" s="43"/>
      <c r="H78" s="43"/>
      <c r="I78" s="43"/>
      <c r="J78" s="43"/>
      <c r="K78" s="43" t="s">
        <v>371</v>
      </c>
      <c r="L78" s="43"/>
      <c r="M78" s="43" t="s">
        <v>371</v>
      </c>
      <c r="N78" s="43"/>
    </row>
    <row r="79" spans="1:14" customFormat="1">
      <c r="A79" s="46" t="s">
        <v>707</v>
      </c>
      <c r="B79" s="47" t="s">
        <v>708</v>
      </c>
      <c r="C79" s="46" t="s">
        <v>575</v>
      </c>
      <c r="D79" s="43"/>
      <c r="E79" s="43"/>
      <c r="F79" s="43"/>
      <c r="G79" s="43"/>
      <c r="H79" s="43"/>
      <c r="I79" s="43"/>
      <c r="J79" s="43"/>
      <c r="K79" s="43"/>
      <c r="L79" s="43"/>
      <c r="M79" s="43"/>
      <c r="N79" s="43"/>
    </row>
    <row r="80" spans="1:14" customFormat="1">
      <c r="A80" s="46" t="s">
        <v>709</v>
      </c>
      <c r="B80" s="47" t="s">
        <v>710</v>
      </c>
      <c r="C80" s="46" t="s">
        <v>575</v>
      </c>
      <c r="D80" s="43"/>
      <c r="E80" s="43"/>
      <c r="F80" s="43"/>
      <c r="G80" s="43"/>
      <c r="H80" s="43"/>
      <c r="I80" s="43"/>
      <c r="J80" s="43"/>
      <c r="K80" s="43"/>
      <c r="L80" s="43"/>
      <c r="M80" s="43"/>
      <c r="N80" s="43"/>
    </row>
    <row r="81" spans="1:22" customFormat="1">
      <c r="A81" s="46" t="s">
        <v>711</v>
      </c>
      <c r="B81" s="47" t="s">
        <v>712</v>
      </c>
      <c r="C81" s="46" t="s">
        <v>575</v>
      </c>
      <c r="D81" s="43"/>
      <c r="E81" s="43"/>
      <c r="F81" s="43"/>
      <c r="G81" s="43"/>
      <c r="H81" s="43"/>
      <c r="I81" s="43"/>
      <c r="J81" s="43"/>
      <c r="K81" s="43"/>
      <c r="L81" s="43"/>
      <c r="M81" s="43"/>
      <c r="N81" s="43"/>
      <c r="O81" s="43"/>
      <c r="P81" s="43"/>
      <c r="Q81" s="43"/>
      <c r="R81" s="43"/>
      <c r="S81" s="43"/>
      <c r="T81" s="43"/>
      <c r="U81" s="43"/>
      <c r="V81" s="43"/>
    </row>
    <row r="82" spans="1:22" customFormat="1">
      <c r="A82" s="46" t="s">
        <v>713</v>
      </c>
      <c r="B82" s="47" t="s">
        <v>714</v>
      </c>
      <c r="C82" s="46" t="s">
        <v>557</v>
      </c>
      <c r="D82" s="43"/>
      <c r="E82" s="43"/>
      <c r="F82" s="43"/>
      <c r="G82" s="43"/>
      <c r="H82" s="43"/>
      <c r="I82" s="43"/>
      <c r="J82" s="43"/>
      <c r="K82" s="43"/>
      <c r="L82" s="43"/>
      <c r="M82" s="43"/>
      <c r="N82" s="43"/>
      <c r="O82" s="43"/>
      <c r="P82" s="43"/>
      <c r="Q82" s="43"/>
      <c r="R82" s="43"/>
      <c r="S82" s="43"/>
      <c r="T82" s="43"/>
      <c r="U82" s="43"/>
      <c r="V82" s="43"/>
    </row>
    <row r="83" spans="1:22" customFormat="1">
      <c r="A83" s="46" t="s">
        <v>715</v>
      </c>
      <c r="B83" s="47" t="s">
        <v>716</v>
      </c>
      <c r="C83" s="46" t="s">
        <v>557</v>
      </c>
      <c r="D83" s="43"/>
      <c r="E83" s="43"/>
      <c r="F83" s="43"/>
      <c r="G83" s="43" t="s">
        <v>371</v>
      </c>
      <c r="H83" s="43"/>
      <c r="I83" s="43"/>
      <c r="J83" s="43"/>
      <c r="K83" s="43"/>
      <c r="L83" s="43"/>
      <c r="M83" s="43"/>
      <c r="N83" s="43"/>
      <c r="O83" s="43"/>
      <c r="P83" s="43"/>
      <c r="Q83" s="43"/>
      <c r="R83" s="43"/>
      <c r="S83" s="43"/>
      <c r="T83" s="43"/>
      <c r="U83" s="43"/>
      <c r="V83" s="43"/>
    </row>
    <row r="84" spans="1:22" customFormat="1">
      <c r="A84" s="46" t="s">
        <v>717</v>
      </c>
      <c r="B84" s="47" t="s">
        <v>718</v>
      </c>
      <c r="C84" s="46" t="s">
        <v>557</v>
      </c>
      <c r="D84" s="43" t="s">
        <v>371</v>
      </c>
      <c r="E84" s="43"/>
      <c r="F84" s="43"/>
      <c r="G84" s="43"/>
      <c r="H84" s="43"/>
      <c r="I84" s="43"/>
      <c r="J84" s="43"/>
      <c r="K84" s="43"/>
      <c r="L84" s="43"/>
      <c r="M84" s="43"/>
      <c r="N84" s="43"/>
      <c r="O84" s="43"/>
      <c r="P84" s="43"/>
      <c r="Q84" s="43"/>
      <c r="R84" s="43" t="s">
        <v>371</v>
      </c>
      <c r="S84" s="43"/>
      <c r="T84" s="43"/>
      <c r="U84" s="43"/>
      <c r="V84" s="43"/>
    </row>
    <row r="85" spans="1:22" customFormat="1">
      <c r="A85" s="46" t="s">
        <v>719</v>
      </c>
      <c r="B85" s="47" t="s">
        <v>720</v>
      </c>
      <c r="C85" s="46" t="s">
        <v>557</v>
      </c>
      <c r="D85" s="43"/>
      <c r="E85" s="43"/>
      <c r="F85" s="43"/>
      <c r="G85" s="43" t="s">
        <v>371</v>
      </c>
      <c r="H85" s="43"/>
      <c r="I85" s="43"/>
      <c r="J85" s="43"/>
      <c r="K85" s="43"/>
      <c r="L85" s="43"/>
      <c r="M85" s="43"/>
      <c r="N85" s="43"/>
      <c r="O85" s="43"/>
      <c r="P85" s="43"/>
      <c r="Q85" s="43"/>
      <c r="R85" s="43"/>
      <c r="S85" s="43"/>
      <c r="T85" s="43"/>
      <c r="U85" s="43"/>
      <c r="V85" s="43"/>
    </row>
    <row r="86" spans="1:22" customFormat="1">
      <c r="A86" s="46" t="s">
        <v>721</v>
      </c>
      <c r="B86" s="47" t="s">
        <v>722</v>
      </c>
      <c r="C86" s="46" t="s">
        <v>557</v>
      </c>
      <c r="D86" s="43"/>
      <c r="E86" s="43"/>
      <c r="F86" s="43"/>
      <c r="G86" s="43" t="s">
        <v>371</v>
      </c>
      <c r="H86" s="43"/>
      <c r="I86" s="43"/>
      <c r="J86" s="43"/>
      <c r="K86" s="43"/>
      <c r="L86" s="43"/>
      <c r="M86" s="43"/>
      <c r="N86" s="43"/>
      <c r="O86" s="43"/>
      <c r="P86" s="43"/>
      <c r="Q86" s="43"/>
      <c r="R86" s="43"/>
      <c r="S86" s="43" t="s">
        <v>371</v>
      </c>
      <c r="T86" s="43"/>
      <c r="U86" s="43"/>
      <c r="V86" s="43"/>
    </row>
    <row r="87" spans="1:22" customFormat="1">
      <c r="A87" s="46" t="s">
        <v>723</v>
      </c>
      <c r="B87" s="47" t="s">
        <v>724</v>
      </c>
      <c r="C87" s="46" t="s">
        <v>557</v>
      </c>
      <c r="D87" s="43"/>
      <c r="E87" s="43"/>
      <c r="F87" s="43"/>
      <c r="G87" s="43"/>
      <c r="H87" s="43"/>
      <c r="I87" s="43"/>
      <c r="J87" s="43"/>
      <c r="K87" s="43"/>
      <c r="L87" s="43"/>
      <c r="M87" s="43"/>
      <c r="N87" s="43"/>
      <c r="O87" s="43"/>
      <c r="P87" s="43"/>
      <c r="Q87" s="43"/>
      <c r="R87" s="43"/>
      <c r="S87" s="43"/>
      <c r="T87" s="43"/>
      <c r="U87" s="43"/>
      <c r="V87" s="43"/>
    </row>
    <row r="88" spans="1:22" customFormat="1">
      <c r="A88" s="46" t="s">
        <v>725</v>
      </c>
      <c r="B88" s="47" t="s">
        <v>726</v>
      </c>
      <c r="C88" s="46" t="s">
        <v>557</v>
      </c>
      <c r="D88" s="43"/>
      <c r="E88" s="43"/>
      <c r="F88" s="43"/>
      <c r="G88" s="43"/>
      <c r="H88" s="43"/>
      <c r="I88" s="43"/>
      <c r="J88" s="43"/>
      <c r="K88" s="43"/>
      <c r="L88" s="43"/>
      <c r="M88" s="43"/>
      <c r="N88" s="43"/>
      <c r="O88" s="43"/>
      <c r="P88" s="43"/>
      <c r="Q88" s="43"/>
      <c r="R88" s="43"/>
      <c r="S88" s="43"/>
      <c r="T88" s="43"/>
      <c r="U88" s="43"/>
      <c r="V88" s="43"/>
    </row>
    <row r="89" spans="1:22" customFormat="1">
      <c r="A89" s="46" t="s">
        <v>727</v>
      </c>
      <c r="B89" s="47" t="s">
        <v>728</v>
      </c>
      <c r="C89" s="46" t="s">
        <v>557</v>
      </c>
      <c r="D89" s="43"/>
      <c r="E89" s="43"/>
      <c r="F89" s="43"/>
      <c r="G89" s="43"/>
      <c r="H89" s="43"/>
      <c r="I89" s="43"/>
      <c r="J89" s="43"/>
      <c r="K89" s="43"/>
      <c r="L89" s="43"/>
      <c r="M89" s="43"/>
      <c r="N89" s="43"/>
      <c r="O89" s="43"/>
      <c r="P89" s="43"/>
      <c r="Q89" s="43"/>
      <c r="R89" s="43"/>
      <c r="S89" s="43"/>
      <c r="T89" s="43"/>
      <c r="U89" s="43"/>
      <c r="V89" s="43"/>
    </row>
    <row r="90" spans="1:22" customFormat="1">
      <c r="A90" s="46" t="s">
        <v>729</v>
      </c>
      <c r="B90" s="47" t="s">
        <v>730</v>
      </c>
      <c r="C90" s="46" t="s">
        <v>575</v>
      </c>
      <c r="D90" s="43"/>
      <c r="E90" s="43"/>
      <c r="F90" s="43"/>
      <c r="G90" s="43"/>
      <c r="H90" s="43"/>
      <c r="I90" s="43"/>
      <c r="J90" s="43"/>
      <c r="K90" s="43"/>
      <c r="L90" s="43"/>
      <c r="M90" s="43"/>
      <c r="N90" s="43"/>
      <c r="O90" s="43"/>
      <c r="P90" s="43"/>
      <c r="Q90" s="43"/>
      <c r="R90" s="43"/>
      <c r="S90" s="43"/>
      <c r="T90" s="43"/>
      <c r="U90" s="43"/>
      <c r="V90" s="43"/>
    </row>
    <row r="91" spans="1:22" customFormat="1">
      <c r="A91" s="46" t="s">
        <v>731</v>
      </c>
      <c r="B91" s="47" t="s">
        <v>732</v>
      </c>
      <c r="C91" s="46" t="s">
        <v>575</v>
      </c>
      <c r="D91" s="43"/>
      <c r="E91" s="43"/>
      <c r="F91" s="43"/>
      <c r="G91" s="43"/>
      <c r="H91" s="43"/>
      <c r="I91" s="43" t="s">
        <v>371</v>
      </c>
      <c r="J91" s="43"/>
      <c r="K91" s="43"/>
      <c r="L91" s="43"/>
      <c r="M91" s="43"/>
      <c r="N91" s="43"/>
      <c r="O91" s="43"/>
      <c r="P91" s="43"/>
      <c r="Q91" s="43"/>
      <c r="R91" s="43"/>
      <c r="S91" s="43" t="s">
        <v>371</v>
      </c>
      <c r="T91" s="43"/>
      <c r="U91" s="43"/>
      <c r="V91" s="43"/>
    </row>
    <row r="92" spans="1:22" customFormat="1">
      <c r="A92" s="46" t="s">
        <v>733</v>
      </c>
      <c r="B92" s="47" t="s">
        <v>734</v>
      </c>
      <c r="C92" s="46" t="s">
        <v>575</v>
      </c>
      <c r="D92" s="43"/>
      <c r="E92" s="43"/>
      <c r="F92" s="43"/>
      <c r="G92" s="43"/>
      <c r="H92" s="43"/>
      <c r="I92" s="43"/>
      <c r="J92" s="43"/>
      <c r="K92" s="43"/>
      <c r="L92" s="43"/>
      <c r="M92" s="43"/>
      <c r="N92" s="43"/>
      <c r="O92" s="43"/>
      <c r="P92" s="43"/>
      <c r="Q92" s="43"/>
      <c r="R92" s="43"/>
      <c r="S92" s="43"/>
      <c r="T92" s="43"/>
      <c r="U92" s="43"/>
      <c r="V92" s="43"/>
    </row>
    <row r="93" spans="1:22" customFormat="1">
      <c r="A93" s="46" t="s">
        <v>735</v>
      </c>
      <c r="B93" s="47" t="s">
        <v>736</v>
      </c>
      <c r="C93" s="46" t="s">
        <v>557</v>
      </c>
      <c r="D93" s="43"/>
      <c r="E93" s="43"/>
      <c r="F93" s="43"/>
      <c r="G93" s="43"/>
      <c r="H93" s="43"/>
      <c r="I93" s="43"/>
      <c r="J93" s="43"/>
      <c r="K93" s="43"/>
      <c r="L93" s="43"/>
      <c r="M93" s="43"/>
      <c r="N93" s="43"/>
      <c r="O93" s="43"/>
      <c r="P93" s="43"/>
      <c r="Q93" s="43"/>
      <c r="R93" s="43"/>
      <c r="S93" s="43"/>
      <c r="T93" s="43"/>
      <c r="U93" s="43"/>
      <c r="V93" s="43" t="s">
        <v>371</v>
      </c>
    </row>
    <row r="94" spans="1:22" customFormat="1">
      <c r="A94" s="46" t="s">
        <v>737</v>
      </c>
      <c r="B94" s="47" t="s">
        <v>738</v>
      </c>
      <c r="C94" s="46" t="s">
        <v>570</v>
      </c>
      <c r="D94" s="43"/>
      <c r="E94" s="43"/>
      <c r="F94" s="43"/>
      <c r="G94" s="43"/>
      <c r="H94" s="43"/>
      <c r="I94" s="43"/>
      <c r="J94" s="43"/>
      <c r="K94" s="43"/>
      <c r="L94" s="43"/>
      <c r="M94" s="43"/>
      <c r="N94" s="43"/>
      <c r="O94" s="43"/>
      <c r="P94" s="43"/>
      <c r="Q94" s="43"/>
      <c r="R94" s="43"/>
      <c r="S94" s="43"/>
      <c r="T94" s="43"/>
      <c r="U94" s="43"/>
      <c r="V94" s="43" t="s">
        <v>371</v>
      </c>
    </row>
    <row r="95" spans="1:22" customFormat="1">
      <c r="A95" s="46" t="s">
        <v>739</v>
      </c>
      <c r="B95" s="47" t="s">
        <v>740</v>
      </c>
      <c r="C95" s="46" t="s">
        <v>570</v>
      </c>
      <c r="D95" s="43"/>
      <c r="E95" s="43"/>
      <c r="F95" s="43"/>
      <c r="G95" s="43"/>
      <c r="H95" s="43"/>
      <c r="I95" s="43"/>
      <c r="J95" s="43"/>
      <c r="K95" s="43"/>
      <c r="L95" s="43"/>
      <c r="M95" s="43"/>
      <c r="N95" s="43"/>
      <c r="O95" s="43"/>
      <c r="P95" s="43"/>
      <c r="Q95" s="43"/>
      <c r="R95" s="43"/>
      <c r="S95" s="43"/>
      <c r="T95" s="43"/>
      <c r="U95" s="43"/>
      <c r="V95" s="43" t="s">
        <v>371</v>
      </c>
    </row>
    <row r="96" spans="1:22" customFormat="1">
      <c r="A96" s="46" t="s">
        <v>741</v>
      </c>
      <c r="B96" s="47" t="s">
        <v>742</v>
      </c>
      <c r="C96" s="46" t="s">
        <v>557</v>
      </c>
      <c r="D96" s="43"/>
      <c r="E96" s="43"/>
      <c r="F96" s="43"/>
      <c r="G96" s="43"/>
      <c r="H96" s="43"/>
      <c r="I96" s="43"/>
      <c r="J96" s="43"/>
      <c r="K96" s="43"/>
      <c r="L96" s="43"/>
      <c r="M96" s="43"/>
      <c r="N96" s="43"/>
      <c r="O96" s="43"/>
      <c r="P96" s="43"/>
      <c r="Q96" s="43"/>
      <c r="R96" s="43"/>
      <c r="S96" s="43"/>
      <c r="T96" s="43"/>
      <c r="U96" s="43"/>
      <c r="V96" s="43" t="s">
        <v>371</v>
      </c>
    </row>
    <row r="97" spans="1:22" customFormat="1">
      <c r="A97" s="46" t="s">
        <v>743</v>
      </c>
      <c r="B97" s="47" t="s">
        <v>744</v>
      </c>
      <c r="C97" s="46" t="s">
        <v>557</v>
      </c>
      <c r="D97" s="43"/>
      <c r="E97" s="43"/>
      <c r="F97" s="43"/>
      <c r="G97" s="43"/>
      <c r="H97" s="43"/>
      <c r="I97" s="43"/>
      <c r="J97" s="43"/>
      <c r="K97" s="43"/>
      <c r="L97" s="43"/>
      <c r="M97" s="43"/>
      <c r="N97" s="43"/>
      <c r="O97" s="43"/>
      <c r="P97" s="43"/>
      <c r="Q97" s="43"/>
      <c r="R97" s="43"/>
      <c r="S97" s="43"/>
      <c r="T97" s="43"/>
      <c r="U97" s="43"/>
      <c r="V97" s="43" t="s">
        <v>371</v>
      </c>
    </row>
    <row r="98" spans="1:22" customFormat="1">
      <c r="A98" s="46" t="s">
        <v>745</v>
      </c>
      <c r="B98" s="47" t="s">
        <v>746</v>
      </c>
      <c r="C98" s="46" t="s">
        <v>557</v>
      </c>
      <c r="D98" s="43"/>
      <c r="E98" s="43"/>
      <c r="F98" s="43"/>
      <c r="G98" s="43"/>
      <c r="H98" s="43"/>
      <c r="I98" s="43"/>
      <c r="J98" s="43"/>
      <c r="K98" s="43"/>
      <c r="L98" s="43"/>
      <c r="M98" s="43"/>
      <c r="N98" s="43"/>
      <c r="O98" s="43"/>
      <c r="P98" s="43"/>
      <c r="Q98" s="43"/>
      <c r="R98" s="43"/>
      <c r="S98" s="43"/>
      <c r="T98" s="43"/>
      <c r="U98" s="43"/>
      <c r="V98" s="43" t="s">
        <v>371</v>
      </c>
    </row>
    <row r="99" spans="1:22" customFormat="1">
      <c r="A99" s="46" t="s">
        <v>747</v>
      </c>
      <c r="B99" s="47" t="s">
        <v>748</v>
      </c>
      <c r="C99" s="46" t="s">
        <v>580</v>
      </c>
      <c r="D99" s="43"/>
      <c r="E99" s="43"/>
      <c r="F99" s="43"/>
      <c r="G99" s="43"/>
      <c r="H99" s="43"/>
      <c r="I99" s="43"/>
      <c r="J99" s="43"/>
      <c r="K99" s="43"/>
      <c r="L99" s="43"/>
      <c r="M99" s="43"/>
      <c r="N99" s="43"/>
      <c r="O99" s="43"/>
      <c r="P99" s="43"/>
      <c r="Q99" s="43"/>
      <c r="R99" s="43"/>
      <c r="S99" s="43"/>
      <c r="T99" s="43"/>
      <c r="U99" s="43"/>
      <c r="V99" s="43" t="s">
        <v>371</v>
      </c>
    </row>
    <row r="100" spans="1:22" customFormat="1">
      <c r="A100" s="46" t="s">
        <v>749</v>
      </c>
      <c r="B100" s="47" t="s">
        <v>750</v>
      </c>
      <c r="C100" s="46" t="s">
        <v>557</v>
      </c>
      <c r="D100" s="43"/>
      <c r="E100" s="43"/>
      <c r="F100" s="43"/>
      <c r="G100" s="43"/>
      <c r="H100" s="43"/>
      <c r="I100" s="43"/>
      <c r="J100" s="43"/>
      <c r="K100" s="43"/>
      <c r="L100" s="43"/>
      <c r="M100" s="43"/>
      <c r="N100" s="43"/>
      <c r="O100" s="43"/>
      <c r="P100" s="43"/>
      <c r="Q100" s="43"/>
      <c r="R100" s="43"/>
      <c r="S100" s="43"/>
      <c r="T100" s="43"/>
      <c r="U100" s="43"/>
      <c r="V100" s="43" t="s">
        <v>371</v>
      </c>
    </row>
    <row r="101" spans="1:22" customFormat="1">
      <c r="A101" s="46" t="s">
        <v>751</v>
      </c>
      <c r="B101" s="47" t="s">
        <v>752</v>
      </c>
      <c r="C101" s="46" t="s">
        <v>575</v>
      </c>
      <c r="D101" s="43"/>
      <c r="E101" s="43"/>
      <c r="F101" s="43"/>
      <c r="G101" s="43"/>
      <c r="H101" s="43"/>
      <c r="I101" s="43"/>
      <c r="J101" s="43"/>
      <c r="K101" s="43"/>
      <c r="L101" s="43"/>
      <c r="M101" s="43"/>
      <c r="N101" s="43"/>
      <c r="O101" s="43"/>
      <c r="P101" s="43" t="s">
        <v>371</v>
      </c>
      <c r="Q101" s="43"/>
      <c r="R101" s="43"/>
      <c r="S101" s="43"/>
      <c r="T101" s="43"/>
      <c r="U101" s="43"/>
      <c r="V101" s="43"/>
    </row>
    <row r="102" spans="1:22" customFormat="1">
      <c r="A102" s="46" t="s">
        <v>753</v>
      </c>
      <c r="B102" s="47" t="s">
        <v>754</v>
      </c>
      <c r="C102" s="46" t="s">
        <v>575</v>
      </c>
      <c r="D102" s="43"/>
      <c r="E102" s="43"/>
      <c r="F102" s="43"/>
      <c r="G102" s="43"/>
      <c r="H102" s="43"/>
      <c r="I102" s="43"/>
      <c r="J102" s="43"/>
      <c r="K102" s="43"/>
      <c r="L102" s="43"/>
      <c r="M102" s="43"/>
      <c r="N102" s="43"/>
      <c r="O102" s="43"/>
      <c r="P102" s="43"/>
      <c r="Q102" s="43"/>
      <c r="R102" s="43"/>
      <c r="S102" s="43"/>
      <c r="T102" s="43"/>
      <c r="U102" s="43"/>
      <c r="V102" s="43" t="s">
        <v>371</v>
      </c>
    </row>
    <row r="103" spans="1:22" customFormat="1">
      <c r="A103" s="46" t="s">
        <v>755</v>
      </c>
      <c r="B103" s="47" t="s">
        <v>756</v>
      </c>
      <c r="C103" s="46" t="s">
        <v>557</v>
      </c>
      <c r="D103" s="43"/>
      <c r="E103" s="43"/>
      <c r="F103" s="43"/>
      <c r="G103" s="43"/>
      <c r="H103" s="43"/>
      <c r="I103" s="43"/>
      <c r="J103" s="43"/>
      <c r="K103" s="43"/>
      <c r="L103" s="43"/>
      <c r="M103" s="43"/>
      <c r="N103" s="43"/>
      <c r="O103" s="43"/>
      <c r="P103" s="43"/>
      <c r="Q103" s="43"/>
      <c r="R103" s="43"/>
      <c r="S103" s="43"/>
      <c r="T103" s="43"/>
      <c r="U103" s="43"/>
      <c r="V103" s="43"/>
    </row>
    <row r="104" spans="1:22" customFormat="1">
      <c r="A104" s="46" t="s">
        <v>757</v>
      </c>
      <c r="B104" s="47" t="s">
        <v>758</v>
      </c>
      <c r="C104" s="46" t="s">
        <v>570</v>
      </c>
      <c r="D104" s="43"/>
      <c r="E104" s="43"/>
      <c r="F104" s="43"/>
      <c r="G104" s="43"/>
      <c r="H104" s="43"/>
      <c r="I104" s="43"/>
      <c r="J104" s="43"/>
      <c r="K104" s="43"/>
      <c r="L104" s="43"/>
      <c r="M104" s="43"/>
      <c r="N104" s="43"/>
      <c r="O104" s="43"/>
      <c r="P104" s="43"/>
      <c r="Q104" s="43"/>
      <c r="R104" s="43"/>
      <c r="S104" s="43"/>
      <c r="T104" s="43"/>
      <c r="U104" s="43"/>
      <c r="V104" s="43"/>
    </row>
    <row r="105" spans="1:22" customFormat="1">
      <c r="A105" s="46" t="s">
        <v>759</v>
      </c>
      <c r="B105" s="47" t="s">
        <v>760</v>
      </c>
      <c r="C105" s="46" t="s">
        <v>570</v>
      </c>
      <c r="D105" s="43"/>
      <c r="E105" s="43"/>
      <c r="F105" s="43"/>
      <c r="G105" s="43"/>
      <c r="H105" s="43"/>
      <c r="I105" s="43"/>
      <c r="J105" s="43"/>
      <c r="K105" s="43"/>
      <c r="L105" s="43"/>
      <c r="M105" s="43"/>
      <c r="N105" s="43"/>
      <c r="O105" s="43"/>
      <c r="P105" s="43"/>
      <c r="Q105" s="43"/>
      <c r="R105" s="43"/>
      <c r="S105" s="43"/>
      <c r="T105" s="43"/>
      <c r="U105" s="43"/>
      <c r="V105" s="43"/>
    </row>
    <row r="106" spans="1:22" customFormat="1">
      <c r="A106" s="46" t="s">
        <v>761</v>
      </c>
      <c r="B106" s="47" t="s">
        <v>762</v>
      </c>
      <c r="C106" s="46" t="s">
        <v>557</v>
      </c>
      <c r="D106" s="43"/>
      <c r="E106" s="43"/>
      <c r="F106" s="43"/>
      <c r="G106" s="43"/>
      <c r="H106" s="43" t="s">
        <v>371</v>
      </c>
      <c r="I106" s="43"/>
      <c r="J106" s="43" t="s">
        <v>371</v>
      </c>
      <c r="K106" s="43"/>
      <c r="L106" s="43"/>
      <c r="M106" s="43"/>
      <c r="N106" s="43" t="s">
        <v>371</v>
      </c>
      <c r="O106" s="43"/>
      <c r="P106" s="43"/>
      <c r="Q106" s="43"/>
      <c r="R106" s="43"/>
      <c r="S106" s="43"/>
      <c r="T106" s="43"/>
      <c r="U106" s="43"/>
      <c r="V106" s="43"/>
    </row>
    <row r="107" spans="1:22" customFormat="1">
      <c r="A107" s="46" t="s">
        <v>763</v>
      </c>
      <c r="B107" s="47" t="s">
        <v>764</v>
      </c>
      <c r="C107" s="46" t="s">
        <v>557</v>
      </c>
      <c r="D107" s="43"/>
      <c r="E107" s="43"/>
      <c r="F107" s="43"/>
      <c r="G107" s="43"/>
      <c r="H107" s="43"/>
      <c r="I107" s="43"/>
      <c r="J107" s="43"/>
      <c r="K107" s="43"/>
      <c r="L107" s="43"/>
      <c r="M107" s="43"/>
      <c r="N107" s="43"/>
      <c r="O107" s="43"/>
      <c r="P107" s="43"/>
      <c r="Q107" s="43"/>
      <c r="R107" s="43"/>
      <c r="S107" s="43"/>
      <c r="T107" s="43"/>
      <c r="U107" s="43"/>
      <c r="V107" s="43"/>
    </row>
    <row r="108" spans="1:22" customFormat="1">
      <c r="A108" s="46" t="s">
        <v>765</v>
      </c>
      <c r="B108" s="47" t="s">
        <v>766</v>
      </c>
      <c r="C108" s="46" t="s">
        <v>570</v>
      </c>
      <c r="D108" s="43"/>
      <c r="E108" s="43"/>
      <c r="F108" s="43"/>
      <c r="G108" s="43"/>
      <c r="H108" s="43"/>
      <c r="I108" s="43"/>
      <c r="J108" s="43"/>
      <c r="K108" s="43"/>
      <c r="L108" s="43"/>
      <c r="M108" s="43"/>
      <c r="N108" s="43"/>
      <c r="O108" s="43"/>
      <c r="P108" s="43"/>
      <c r="Q108" s="43"/>
      <c r="R108" s="43"/>
      <c r="S108" s="43"/>
      <c r="T108" s="43"/>
      <c r="U108" s="43"/>
      <c r="V108" s="43"/>
    </row>
    <row r="109" spans="1:22" customFormat="1">
      <c r="A109" s="46" t="s">
        <v>767</v>
      </c>
      <c r="B109" s="47" t="s">
        <v>768</v>
      </c>
      <c r="C109" s="46" t="s">
        <v>557</v>
      </c>
      <c r="D109" s="43"/>
      <c r="E109" s="43"/>
      <c r="F109" s="43"/>
      <c r="G109" s="43"/>
      <c r="H109" s="43"/>
      <c r="I109" s="43"/>
      <c r="J109" s="43"/>
      <c r="K109" s="43"/>
      <c r="L109" s="43"/>
      <c r="M109" s="43"/>
      <c r="N109" s="43"/>
      <c r="O109" s="43"/>
      <c r="P109" s="43"/>
      <c r="Q109" s="43"/>
      <c r="R109" s="43"/>
      <c r="S109" s="43"/>
      <c r="T109" s="43"/>
      <c r="U109" s="43"/>
      <c r="V109" s="43"/>
    </row>
    <row r="110" spans="1:22" customFormat="1">
      <c r="A110" s="46" t="s">
        <v>769</v>
      </c>
      <c r="B110" s="47" t="s">
        <v>770</v>
      </c>
      <c r="C110" s="46" t="s">
        <v>557</v>
      </c>
      <c r="D110" s="43"/>
      <c r="E110" s="43"/>
      <c r="F110" s="43"/>
      <c r="G110" s="43"/>
      <c r="H110" s="43"/>
      <c r="I110" s="43"/>
      <c r="J110" s="43"/>
      <c r="K110" s="43"/>
      <c r="L110" s="43"/>
      <c r="M110" s="43"/>
      <c r="N110" s="43"/>
      <c r="O110" s="43"/>
      <c r="P110" s="43"/>
      <c r="Q110" s="43"/>
      <c r="R110" s="43"/>
      <c r="S110" s="43"/>
      <c r="T110" s="43"/>
      <c r="U110" s="43"/>
      <c r="V110" s="43"/>
    </row>
    <row r="111" spans="1:22" customFormat="1">
      <c r="A111" s="46" t="s">
        <v>771</v>
      </c>
      <c r="B111" s="47" t="s">
        <v>772</v>
      </c>
      <c r="C111" s="46" t="s">
        <v>570</v>
      </c>
      <c r="D111" s="43"/>
      <c r="E111" s="43"/>
      <c r="F111" s="43"/>
      <c r="G111" s="43"/>
      <c r="H111" s="43"/>
      <c r="I111" s="43"/>
      <c r="J111" s="43"/>
      <c r="K111" s="43"/>
      <c r="L111" s="43"/>
      <c r="M111" s="43"/>
      <c r="N111" s="43"/>
      <c r="O111" s="43"/>
      <c r="P111" s="43"/>
      <c r="Q111" s="43" t="s">
        <v>371</v>
      </c>
      <c r="R111" s="43"/>
      <c r="S111" s="43"/>
      <c r="T111" s="43"/>
      <c r="U111" s="43"/>
      <c r="V111" s="43"/>
    </row>
    <row r="112" spans="1:22" customFormat="1">
      <c r="A112" s="46" t="s">
        <v>773</v>
      </c>
      <c r="B112" s="47" t="s">
        <v>774</v>
      </c>
      <c r="C112" s="46" t="s">
        <v>557</v>
      </c>
      <c r="D112" s="43"/>
      <c r="E112" s="43"/>
      <c r="F112" s="43"/>
      <c r="G112" s="43"/>
      <c r="H112" s="43"/>
      <c r="I112" s="43"/>
      <c r="J112" s="43"/>
      <c r="K112" s="43" t="s">
        <v>371</v>
      </c>
      <c r="L112" s="43"/>
      <c r="M112" s="43" t="s">
        <v>371</v>
      </c>
      <c r="N112" s="43"/>
      <c r="O112" s="43"/>
      <c r="P112" s="43"/>
      <c r="Q112" s="43"/>
      <c r="R112" s="43"/>
      <c r="S112" s="43"/>
      <c r="T112" s="43"/>
      <c r="U112" s="43"/>
      <c r="V112" s="43"/>
    </row>
    <row r="113" spans="1:16" customFormat="1">
      <c r="A113" s="46" t="s">
        <v>775</v>
      </c>
      <c r="B113" s="47" t="s">
        <v>776</v>
      </c>
      <c r="C113" s="46" t="s">
        <v>557</v>
      </c>
      <c r="D113" s="43"/>
      <c r="E113" s="43"/>
      <c r="F113" s="43"/>
      <c r="G113" s="43"/>
      <c r="H113" s="43"/>
      <c r="I113" s="43"/>
      <c r="J113" s="43"/>
      <c r="K113" s="43"/>
      <c r="L113" s="43"/>
      <c r="M113" s="43"/>
      <c r="N113" s="43"/>
      <c r="O113" s="43"/>
      <c r="P113" s="43" t="s">
        <v>371</v>
      </c>
    </row>
    <row r="114" spans="1:16" customFormat="1">
      <c r="A114" s="46" t="s">
        <v>777</v>
      </c>
      <c r="B114" s="47" t="s">
        <v>778</v>
      </c>
      <c r="C114" s="46" t="s">
        <v>557</v>
      </c>
      <c r="D114" s="43"/>
      <c r="E114" s="43"/>
      <c r="F114" s="43"/>
      <c r="G114" s="43"/>
      <c r="H114" s="43"/>
      <c r="I114" s="43"/>
      <c r="J114" s="43"/>
      <c r="K114" s="43"/>
      <c r="L114" s="43"/>
      <c r="M114" s="43"/>
      <c r="N114" s="43"/>
      <c r="O114" s="43"/>
      <c r="P114" s="43"/>
    </row>
    <row r="115" spans="1:16" customFormat="1">
      <c r="A115" s="46" t="s">
        <v>779</v>
      </c>
      <c r="B115" s="47" t="s">
        <v>780</v>
      </c>
      <c r="C115" s="46" t="s">
        <v>557</v>
      </c>
      <c r="D115" s="43"/>
      <c r="E115" s="43"/>
      <c r="F115" s="43"/>
      <c r="G115" s="43"/>
      <c r="H115" s="43"/>
      <c r="I115" s="43"/>
      <c r="J115" s="43"/>
      <c r="K115" s="43"/>
      <c r="L115" s="43"/>
      <c r="M115" s="43"/>
      <c r="N115" s="43"/>
      <c r="O115" s="43"/>
      <c r="P115" s="43"/>
    </row>
    <row r="116" spans="1:16" customFormat="1">
      <c r="A116" s="46" t="s">
        <v>781</v>
      </c>
      <c r="B116" s="47" t="s">
        <v>782</v>
      </c>
      <c r="C116" s="46" t="s">
        <v>575</v>
      </c>
      <c r="D116" s="43"/>
      <c r="E116" s="43"/>
      <c r="F116" s="43"/>
      <c r="G116" s="43"/>
      <c r="H116" s="43"/>
      <c r="I116" s="43"/>
      <c r="J116" s="43"/>
      <c r="K116" s="43"/>
      <c r="L116" s="43"/>
      <c r="M116" s="43"/>
      <c r="N116" s="43"/>
      <c r="O116" s="43"/>
      <c r="P116" s="43"/>
    </row>
    <row r="117" spans="1:16" customFormat="1">
      <c r="A117" s="46" t="s">
        <v>783</v>
      </c>
      <c r="B117" s="47" t="s">
        <v>784</v>
      </c>
      <c r="C117" s="46" t="s">
        <v>557</v>
      </c>
      <c r="D117" s="43"/>
      <c r="E117" s="43"/>
      <c r="F117" s="43"/>
      <c r="G117" s="43"/>
      <c r="H117" s="43"/>
      <c r="I117" s="43"/>
      <c r="J117" s="43"/>
      <c r="K117" s="43"/>
      <c r="L117" s="43"/>
      <c r="M117" s="43"/>
      <c r="N117" s="43"/>
      <c r="O117" s="43"/>
      <c r="P117" s="43"/>
    </row>
    <row r="118" spans="1:16" customFormat="1">
      <c r="A118" s="46" t="s">
        <v>785</v>
      </c>
      <c r="B118" s="47" t="s">
        <v>786</v>
      </c>
      <c r="C118" s="46" t="s">
        <v>557</v>
      </c>
      <c r="D118" s="43"/>
      <c r="E118" s="43"/>
      <c r="F118" s="43"/>
      <c r="G118" s="43"/>
      <c r="H118" s="43"/>
      <c r="I118" s="43"/>
      <c r="J118" s="43"/>
      <c r="K118" s="43"/>
      <c r="L118" s="43"/>
      <c r="M118" s="43"/>
      <c r="N118" s="43"/>
      <c r="O118" s="43"/>
      <c r="P118" s="43"/>
    </row>
    <row r="119" spans="1:16" customFormat="1">
      <c r="A119" s="46" t="s">
        <v>787</v>
      </c>
      <c r="B119" s="47" t="s">
        <v>788</v>
      </c>
      <c r="C119" s="46" t="s">
        <v>557</v>
      </c>
      <c r="D119" s="43"/>
      <c r="E119" s="43"/>
      <c r="F119" s="43"/>
      <c r="G119" s="43"/>
      <c r="H119" s="43"/>
      <c r="I119" s="43"/>
      <c r="J119" s="43"/>
      <c r="K119" s="43"/>
      <c r="L119" s="43"/>
      <c r="M119" s="43"/>
      <c r="N119" s="43"/>
      <c r="O119" s="43"/>
      <c r="P119" s="43"/>
    </row>
    <row r="120" spans="1:16" customFormat="1">
      <c r="A120" s="46" t="s">
        <v>789</v>
      </c>
      <c r="B120" s="47" t="s">
        <v>790</v>
      </c>
      <c r="C120" s="46" t="s">
        <v>557</v>
      </c>
      <c r="D120" s="43"/>
      <c r="E120" s="43"/>
      <c r="F120" s="43"/>
      <c r="G120" s="43"/>
      <c r="H120" s="43"/>
      <c r="I120" s="43"/>
      <c r="J120" s="43"/>
      <c r="K120" s="43"/>
      <c r="L120" s="43"/>
      <c r="M120" s="43"/>
      <c r="N120" s="43"/>
      <c r="O120" s="43"/>
      <c r="P120" s="43"/>
    </row>
    <row r="121" spans="1:16" customFormat="1">
      <c r="A121" s="46" t="s">
        <v>791</v>
      </c>
      <c r="B121" s="47" t="s">
        <v>792</v>
      </c>
      <c r="C121" s="46" t="s">
        <v>570</v>
      </c>
      <c r="D121" s="43"/>
      <c r="E121" s="43"/>
      <c r="F121" s="43"/>
      <c r="G121" s="43"/>
      <c r="H121" s="43"/>
      <c r="I121" s="43"/>
      <c r="J121" s="43"/>
      <c r="K121" s="43"/>
      <c r="L121" s="43"/>
      <c r="M121" s="43"/>
      <c r="N121" s="43"/>
      <c r="O121" s="43"/>
      <c r="P121" s="43"/>
    </row>
    <row r="122" spans="1:16" customFormat="1">
      <c r="A122" s="46" t="s">
        <v>793</v>
      </c>
      <c r="B122" s="47" t="s">
        <v>794</v>
      </c>
      <c r="C122" s="46" t="s">
        <v>557</v>
      </c>
      <c r="D122" s="43"/>
      <c r="E122" s="43"/>
      <c r="F122" s="43"/>
      <c r="G122" s="43"/>
      <c r="H122" s="43"/>
      <c r="I122" s="43"/>
      <c r="J122" s="43"/>
      <c r="K122" s="43"/>
      <c r="L122" s="43"/>
      <c r="M122" s="43"/>
      <c r="N122" s="43"/>
      <c r="O122" s="43"/>
      <c r="P122" s="43"/>
    </row>
    <row r="123" spans="1:16" customFormat="1">
      <c r="A123" s="46" t="s">
        <v>795</v>
      </c>
      <c r="B123" s="47" t="s">
        <v>584</v>
      </c>
      <c r="C123" s="46" t="s">
        <v>585</v>
      </c>
      <c r="D123" s="43"/>
      <c r="E123" s="43"/>
      <c r="F123" s="43"/>
      <c r="G123" s="43"/>
      <c r="H123" s="43"/>
      <c r="I123" s="43"/>
      <c r="J123" s="43"/>
      <c r="K123" s="43"/>
      <c r="L123" s="43"/>
      <c r="M123" s="43"/>
      <c r="N123" s="43"/>
      <c r="O123" s="43"/>
      <c r="P123" s="43"/>
    </row>
    <row r="124" spans="1:16" customFormat="1">
      <c r="A124" s="46" t="s">
        <v>796</v>
      </c>
      <c r="B124" s="47" t="s">
        <v>797</v>
      </c>
      <c r="C124" s="46" t="s">
        <v>580</v>
      </c>
      <c r="D124" s="43"/>
      <c r="E124" s="43"/>
      <c r="F124" s="43"/>
      <c r="G124" s="43"/>
      <c r="H124" s="43"/>
      <c r="I124" s="43"/>
      <c r="J124" s="43"/>
      <c r="K124" s="43"/>
      <c r="L124" s="43"/>
      <c r="M124" s="43"/>
      <c r="N124" s="43"/>
      <c r="O124" s="43"/>
      <c r="P124" s="43"/>
    </row>
    <row r="125" spans="1:16" customFormat="1">
      <c r="A125" s="46" t="s">
        <v>798</v>
      </c>
      <c r="B125" s="47" t="s">
        <v>799</v>
      </c>
      <c r="C125" s="46" t="s">
        <v>557</v>
      </c>
      <c r="D125" s="43"/>
      <c r="E125" s="43"/>
      <c r="F125" s="43"/>
      <c r="G125" s="43"/>
      <c r="H125" s="43"/>
      <c r="I125" s="43"/>
      <c r="J125" s="43"/>
      <c r="K125" s="43"/>
      <c r="L125" s="43"/>
      <c r="M125" s="43"/>
      <c r="N125" s="43"/>
      <c r="O125" s="43"/>
      <c r="P125" s="43"/>
    </row>
    <row r="126" spans="1:16" customFormat="1">
      <c r="A126" s="46" t="s">
        <v>800</v>
      </c>
      <c r="B126" s="47" t="s">
        <v>801</v>
      </c>
      <c r="C126" s="46" t="s">
        <v>557</v>
      </c>
      <c r="D126" s="43"/>
      <c r="E126" s="43"/>
      <c r="F126" s="43"/>
      <c r="G126" s="43"/>
      <c r="H126" s="43"/>
      <c r="I126" s="43"/>
      <c r="J126" s="43"/>
      <c r="K126" s="43"/>
      <c r="L126" s="43"/>
      <c r="M126" s="43"/>
      <c r="N126" s="43"/>
      <c r="O126" s="43"/>
      <c r="P126" s="43"/>
    </row>
    <row r="127" spans="1:16" customFormat="1">
      <c r="A127" s="46" t="s">
        <v>802</v>
      </c>
      <c r="B127" s="47" t="s">
        <v>803</v>
      </c>
      <c r="C127" s="46" t="s">
        <v>557</v>
      </c>
      <c r="D127" s="43"/>
      <c r="E127" s="43"/>
      <c r="F127" s="43"/>
      <c r="G127" s="43"/>
      <c r="H127" s="43"/>
      <c r="I127" s="43"/>
      <c r="J127" s="43"/>
      <c r="K127" s="43"/>
      <c r="L127" s="43"/>
      <c r="M127" s="43"/>
      <c r="N127" s="43"/>
      <c r="O127" s="43"/>
      <c r="P127" s="43"/>
    </row>
    <row r="128" spans="1:16" customFormat="1">
      <c r="A128" s="46" t="s">
        <v>804</v>
      </c>
      <c r="B128" s="47" t="s">
        <v>805</v>
      </c>
      <c r="C128" s="46" t="s">
        <v>557</v>
      </c>
      <c r="D128" s="43"/>
      <c r="E128" s="43"/>
      <c r="F128" s="43"/>
      <c r="G128" s="43"/>
      <c r="H128" s="43"/>
      <c r="I128" s="43"/>
      <c r="J128" s="43"/>
      <c r="K128" s="43"/>
      <c r="L128" s="43"/>
      <c r="M128" s="43"/>
      <c r="N128" s="43"/>
      <c r="O128" s="43"/>
      <c r="P128" s="43"/>
    </row>
    <row r="129" spans="1:3" customFormat="1">
      <c r="A129" s="46" t="s">
        <v>806</v>
      </c>
      <c r="B129" s="47" t="s">
        <v>807</v>
      </c>
      <c r="C129" s="46" t="s">
        <v>557</v>
      </c>
    </row>
    <row r="130" spans="1:3" customFormat="1">
      <c r="A130" s="46" t="s">
        <v>808</v>
      </c>
      <c r="B130" s="47" t="s">
        <v>809</v>
      </c>
      <c r="C130" s="46" t="s">
        <v>557</v>
      </c>
    </row>
    <row r="131" spans="1:3" customFormat="1">
      <c r="A131" s="46" t="s">
        <v>810</v>
      </c>
      <c r="B131" s="47" t="s">
        <v>811</v>
      </c>
      <c r="C131" s="46" t="s">
        <v>557</v>
      </c>
    </row>
    <row r="132" spans="1:3" customFormat="1">
      <c r="A132" s="46" t="s">
        <v>812</v>
      </c>
      <c r="B132" s="47" t="s">
        <v>813</v>
      </c>
      <c r="C132" s="46" t="s">
        <v>570</v>
      </c>
    </row>
    <row r="133" spans="1:3" customFormat="1">
      <c r="A133" s="46" t="s">
        <v>814</v>
      </c>
      <c r="B133" s="47" t="s">
        <v>815</v>
      </c>
      <c r="C133" s="46" t="s">
        <v>570</v>
      </c>
    </row>
    <row r="134" spans="1:3" customFormat="1">
      <c r="A134" s="46" t="s">
        <v>816</v>
      </c>
      <c r="B134" s="47" t="s">
        <v>817</v>
      </c>
      <c r="C134" s="46" t="s">
        <v>580</v>
      </c>
    </row>
    <row r="135" spans="1:3" customFormat="1">
      <c r="A135" s="46" t="s">
        <v>818</v>
      </c>
      <c r="B135" s="47" t="s">
        <v>819</v>
      </c>
      <c r="C135" s="46" t="s">
        <v>575</v>
      </c>
    </row>
    <row r="136" spans="1:3" customFormat="1">
      <c r="A136" s="46" t="s">
        <v>820</v>
      </c>
      <c r="B136" s="47" t="s">
        <v>821</v>
      </c>
      <c r="C136" s="46" t="s">
        <v>575</v>
      </c>
    </row>
    <row r="137" spans="1:3" customFormat="1">
      <c r="A137" s="46" t="s">
        <v>822</v>
      </c>
      <c r="B137" s="47" t="s">
        <v>823</v>
      </c>
      <c r="C137" s="46" t="s">
        <v>557</v>
      </c>
    </row>
    <row r="138" spans="1:3" customFormat="1">
      <c r="A138" s="46" t="s">
        <v>824</v>
      </c>
      <c r="B138" s="47" t="s">
        <v>825</v>
      </c>
      <c r="C138" s="46" t="s">
        <v>557</v>
      </c>
    </row>
    <row r="139" spans="1:3" customFormat="1">
      <c r="A139" s="46" t="s">
        <v>826</v>
      </c>
      <c r="B139" s="47" t="s">
        <v>584</v>
      </c>
      <c r="C139" s="46" t="s">
        <v>585</v>
      </c>
    </row>
    <row r="140" spans="1:3" customFormat="1">
      <c r="A140" s="46" t="s">
        <v>827</v>
      </c>
      <c r="B140" s="47" t="s">
        <v>828</v>
      </c>
      <c r="C140" s="46" t="s">
        <v>570</v>
      </c>
    </row>
    <row r="141" spans="1:3" customFormat="1">
      <c r="A141" s="46" t="s">
        <v>829</v>
      </c>
      <c r="B141" s="47" t="s">
        <v>584</v>
      </c>
      <c r="C141" s="46" t="s">
        <v>585</v>
      </c>
    </row>
    <row r="142" spans="1:3" customFormat="1">
      <c r="A142" s="46" t="s">
        <v>830</v>
      </c>
      <c r="B142" s="47" t="s">
        <v>584</v>
      </c>
      <c r="C142" s="46" t="s">
        <v>585</v>
      </c>
    </row>
    <row r="143" spans="1:3" customFormat="1">
      <c r="A143" s="46" t="s">
        <v>831</v>
      </c>
      <c r="B143" s="47" t="s">
        <v>832</v>
      </c>
      <c r="C143" s="46" t="s">
        <v>575</v>
      </c>
    </row>
    <row r="144" spans="1:3" customFormat="1">
      <c r="A144" s="46" t="s">
        <v>833</v>
      </c>
      <c r="B144" s="47" t="s">
        <v>834</v>
      </c>
      <c r="C144" s="46" t="s">
        <v>557</v>
      </c>
    </row>
    <row r="145" spans="1:23">
      <c r="A145" s="46" t="s">
        <v>835</v>
      </c>
      <c r="B145" s="47" t="s">
        <v>836</v>
      </c>
      <c r="C145" s="46" t="s">
        <v>575</v>
      </c>
    </row>
    <row r="146" spans="1:23">
      <c r="A146" s="46" t="s">
        <v>837</v>
      </c>
      <c r="B146" s="47" t="s">
        <v>838</v>
      </c>
      <c r="C146" s="46" t="s">
        <v>557</v>
      </c>
    </row>
    <row r="147" spans="1:23">
      <c r="A147" s="46" t="s">
        <v>839</v>
      </c>
      <c r="B147" s="47" t="s">
        <v>840</v>
      </c>
      <c r="C147" s="46" t="s">
        <v>557</v>
      </c>
    </row>
    <row r="148" spans="1:23">
      <c r="A148" s="46" t="s">
        <v>841</v>
      </c>
      <c r="B148" s="47" t="s">
        <v>842</v>
      </c>
      <c r="C148" s="46" t="s">
        <v>557</v>
      </c>
    </row>
    <row r="149" spans="1:23">
      <c r="A149" s="46" t="s">
        <v>843</v>
      </c>
      <c r="B149" s="47" t="s">
        <v>844</v>
      </c>
      <c r="C149" s="46" t="s">
        <v>557</v>
      </c>
    </row>
    <row r="150" spans="1:23">
      <c r="A150" s="46" t="s">
        <v>845</v>
      </c>
      <c r="B150" s="47" t="s">
        <v>846</v>
      </c>
      <c r="C150" s="46" t="s">
        <v>570</v>
      </c>
    </row>
    <row r="151" spans="1:23">
      <c r="A151" s="46" t="s">
        <v>847</v>
      </c>
      <c r="B151" s="47" t="s">
        <v>848</v>
      </c>
      <c r="C151" s="46" t="s">
        <v>580</v>
      </c>
    </row>
    <row r="152" spans="1:23">
      <c r="A152" s="46" t="s">
        <v>849</v>
      </c>
      <c r="B152" s="47" t="s">
        <v>850</v>
      </c>
      <c r="C152" s="46" t="s">
        <v>557</v>
      </c>
    </row>
    <row r="153" spans="1:23">
      <c r="A153" s="46" t="s">
        <v>851</v>
      </c>
      <c r="B153" s="47" t="s">
        <v>852</v>
      </c>
      <c r="C153" s="46" t="s">
        <v>580</v>
      </c>
    </row>
    <row r="154" spans="1:23">
      <c r="A154" s="46" t="s">
        <v>854</v>
      </c>
      <c r="B154" s="47" t="s">
        <v>855</v>
      </c>
      <c r="C154" s="46" t="s">
        <v>557</v>
      </c>
    </row>
    <row r="155" spans="1:23">
      <c r="A155" s="46" t="s">
        <v>856</v>
      </c>
      <c r="B155" s="47" t="s">
        <v>857</v>
      </c>
      <c r="C155" s="46" t="s">
        <v>557</v>
      </c>
      <c r="Q155" s="43" t="s">
        <v>371</v>
      </c>
    </row>
    <row r="156" spans="1:23">
      <c r="A156" s="46" t="s">
        <v>858</v>
      </c>
      <c r="B156" s="47" t="s">
        <v>853</v>
      </c>
      <c r="C156" s="46" t="s">
        <v>557</v>
      </c>
    </row>
    <row r="157" spans="1:23">
      <c r="A157" s="46" t="s">
        <v>859</v>
      </c>
      <c r="B157" s="47" t="s">
        <v>584</v>
      </c>
      <c r="C157" s="46" t="s">
        <v>585</v>
      </c>
    </row>
    <row r="158" spans="1:23">
      <c r="A158" s="46" t="s">
        <v>860</v>
      </c>
      <c r="B158" s="47" t="s">
        <v>861</v>
      </c>
      <c r="C158" s="46" t="s">
        <v>557</v>
      </c>
      <c r="F158" s="43" t="s">
        <v>371</v>
      </c>
      <c r="H158" s="43" t="s">
        <v>371</v>
      </c>
      <c r="J158" s="43" t="s">
        <v>371</v>
      </c>
      <c r="U158" s="43" t="s">
        <v>371</v>
      </c>
    </row>
    <row r="159" spans="1:23">
      <c r="A159" s="46" t="s">
        <v>862</v>
      </c>
      <c r="B159" s="47" t="s">
        <v>863</v>
      </c>
      <c r="C159" s="46" t="s">
        <v>575</v>
      </c>
      <c r="W159" s="43" t="s">
        <v>371</v>
      </c>
    </row>
    <row r="160" spans="1:23">
      <c r="A160" s="46" t="s">
        <v>864</v>
      </c>
      <c r="B160" s="47" t="s">
        <v>865</v>
      </c>
      <c r="C160" s="46" t="s">
        <v>557</v>
      </c>
    </row>
    <row r="161" spans="1:21" customFormat="1">
      <c r="A161" s="46" t="s">
        <v>866</v>
      </c>
      <c r="B161" s="47" t="s">
        <v>867</v>
      </c>
      <c r="C161" s="46" t="s">
        <v>557</v>
      </c>
      <c r="D161" s="43"/>
      <c r="E161" s="43"/>
      <c r="F161" s="43"/>
      <c r="G161" s="43"/>
      <c r="H161" s="43"/>
      <c r="I161" s="43"/>
      <c r="J161" s="43"/>
      <c r="K161" s="43"/>
      <c r="L161" s="43"/>
      <c r="M161" s="43"/>
      <c r="N161" s="43"/>
      <c r="O161" s="43"/>
      <c r="P161" s="43"/>
      <c r="Q161" s="43"/>
      <c r="R161" s="43"/>
      <c r="S161" s="43"/>
      <c r="T161" s="43"/>
      <c r="U161" s="43"/>
    </row>
    <row r="162" spans="1:21" customFormat="1">
      <c r="A162" s="46" t="s">
        <v>868</v>
      </c>
      <c r="B162" s="47" t="s">
        <v>869</v>
      </c>
      <c r="C162" s="46" t="s">
        <v>557</v>
      </c>
      <c r="D162" s="43"/>
      <c r="E162" s="43"/>
      <c r="F162" s="43"/>
      <c r="G162" s="43"/>
      <c r="H162" s="43"/>
      <c r="I162" s="43"/>
      <c r="J162" s="43"/>
      <c r="K162" s="43"/>
      <c r="L162" s="43"/>
      <c r="M162" s="43"/>
      <c r="N162" s="43"/>
      <c r="O162" s="43"/>
      <c r="P162" s="43"/>
      <c r="Q162" s="43"/>
      <c r="R162" s="43"/>
      <c r="S162" s="43"/>
      <c r="T162" s="43"/>
      <c r="U162" s="43" t="s">
        <v>371</v>
      </c>
    </row>
    <row r="163" spans="1:21" customFormat="1">
      <c r="A163" s="46" t="s">
        <v>870</v>
      </c>
      <c r="B163" s="47" t="s">
        <v>871</v>
      </c>
      <c r="C163" s="46" t="s">
        <v>557</v>
      </c>
      <c r="D163" s="43" t="s">
        <v>371</v>
      </c>
      <c r="E163" s="43" t="s">
        <v>371</v>
      </c>
      <c r="F163" s="43"/>
      <c r="G163" s="43"/>
      <c r="H163" s="43" t="s">
        <v>371</v>
      </c>
      <c r="I163" s="43"/>
      <c r="J163" s="43" t="s">
        <v>371</v>
      </c>
      <c r="K163" s="43"/>
      <c r="L163" s="43"/>
      <c r="M163" s="43"/>
      <c r="N163" s="43"/>
      <c r="O163" s="43"/>
      <c r="P163" s="43"/>
      <c r="Q163" s="43"/>
      <c r="R163" s="43"/>
      <c r="S163" s="43"/>
      <c r="T163" s="43"/>
      <c r="U163" s="43"/>
    </row>
    <row r="164" spans="1:21" customFormat="1">
      <c r="A164" s="46" t="s">
        <v>872</v>
      </c>
      <c r="B164" s="47" t="s">
        <v>873</v>
      </c>
      <c r="C164" s="46" t="s">
        <v>570</v>
      </c>
      <c r="D164" s="43"/>
      <c r="E164" s="43"/>
      <c r="F164" s="43"/>
      <c r="G164" s="43"/>
      <c r="H164" s="43"/>
      <c r="I164" s="43"/>
      <c r="J164" s="43"/>
      <c r="K164" s="43"/>
      <c r="L164" s="43"/>
      <c r="M164" s="43"/>
      <c r="N164" s="43"/>
      <c r="O164" s="43"/>
      <c r="P164" s="43"/>
      <c r="Q164" s="43"/>
      <c r="R164" s="43"/>
      <c r="S164" s="43"/>
      <c r="T164" s="43"/>
      <c r="U164" s="43"/>
    </row>
    <row r="165" spans="1:21" customFormat="1">
      <c r="A165" s="46" t="s">
        <v>874</v>
      </c>
      <c r="B165" s="47" t="s">
        <v>584</v>
      </c>
      <c r="C165" s="46" t="s">
        <v>585</v>
      </c>
      <c r="D165" s="43"/>
      <c r="E165" s="43"/>
      <c r="F165" s="43"/>
      <c r="G165" s="43"/>
      <c r="H165" s="43"/>
      <c r="I165" s="43"/>
      <c r="J165" s="43"/>
      <c r="K165" s="43"/>
      <c r="L165" s="43"/>
      <c r="M165" s="43"/>
      <c r="N165" s="43"/>
      <c r="O165" s="43"/>
      <c r="P165" s="43"/>
      <c r="Q165" s="43"/>
      <c r="R165" s="43"/>
      <c r="S165" s="43"/>
      <c r="T165" s="43"/>
      <c r="U165" s="43"/>
    </row>
    <row r="166" spans="1:21" customFormat="1">
      <c r="A166" s="46" t="s">
        <v>875</v>
      </c>
      <c r="B166" s="47" t="s">
        <v>584</v>
      </c>
      <c r="C166" s="46" t="s">
        <v>585</v>
      </c>
      <c r="D166" s="43"/>
      <c r="E166" s="43"/>
      <c r="F166" s="43"/>
      <c r="G166" s="43"/>
      <c r="H166" s="43"/>
      <c r="I166" s="43"/>
      <c r="J166" s="43"/>
      <c r="K166" s="43"/>
      <c r="L166" s="43"/>
      <c r="M166" s="43"/>
      <c r="N166" s="43"/>
      <c r="O166" s="43"/>
      <c r="P166" s="43"/>
      <c r="Q166" s="43"/>
      <c r="R166" s="43"/>
      <c r="S166" s="43"/>
      <c r="T166" s="43"/>
      <c r="U166" s="43"/>
    </row>
    <row r="167" spans="1:21" customFormat="1">
      <c r="A167" s="46" t="s">
        <v>876</v>
      </c>
      <c r="B167" s="47" t="s">
        <v>877</v>
      </c>
      <c r="C167" s="46" t="s">
        <v>557</v>
      </c>
      <c r="D167" s="43"/>
      <c r="E167" s="43"/>
      <c r="F167" s="43"/>
      <c r="G167" s="43"/>
      <c r="H167" s="43"/>
      <c r="I167" s="43"/>
      <c r="J167" s="43"/>
      <c r="K167" s="43"/>
      <c r="L167" s="43"/>
      <c r="M167" s="43"/>
      <c r="N167" s="43"/>
      <c r="O167" s="43"/>
      <c r="P167" s="43"/>
      <c r="Q167" s="43"/>
      <c r="R167" s="43"/>
      <c r="S167" s="43"/>
      <c r="T167" s="43"/>
      <c r="U167" s="43"/>
    </row>
    <row r="168" spans="1:21" customFormat="1">
      <c r="A168" s="46" t="s">
        <v>878</v>
      </c>
      <c r="B168" s="47" t="s">
        <v>879</v>
      </c>
      <c r="C168" s="46" t="s">
        <v>557</v>
      </c>
      <c r="D168" s="43"/>
      <c r="E168" s="43"/>
      <c r="F168" s="43"/>
      <c r="G168" s="43"/>
      <c r="H168" s="43"/>
      <c r="I168" s="43"/>
      <c r="J168" s="43"/>
      <c r="K168" s="43"/>
      <c r="L168" s="43"/>
      <c r="M168" s="43"/>
      <c r="N168" s="43"/>
      <c r="O168" s="43" t="s">
        <v>371</v>
      </c>
      <c r="P168" s="43"/>
      <c r="Q168" s="43"/>
      <c r="R168" s="43"/>
      <c r="S168" s="43"/>
      <c r="T168" s="43"/>
      <c r="U168" s="43"/>
    </row>
    <row r="169" spans="1:21" customFormat="1">
      <c r="A169" s="46" t="s">
        <v>880</v>
      </c>
      <c r="B169" s="47" t="s">
        <v>881</v>
      </c>
      <c r="C169" s="46" t="s">
        <v>557</v>
      </c>
      <c r="D169" s="43"/>
      <c r="E169" s="43"/>
      <c r="F169" s="43"/>
      <c r="G169" s="43"/>
      <c r="H169" s="43"/>
      <c r="I169" s="43"/>
      <c r="J169" s="43"/>
      <c r="K169" s="43"/>
      <c r="L169" s="43"/>
      <c r="M169" s="43"/>
      <c r="N169" s="43"/>
      <c r="O169" s="43"/>
      <c r="P169" s="43"/>
      <c r="Q169" s="43"/>
      <c r="R169" s="43"/>
      <c r="S169" s="43"/>
      <c r="T169" s="43"/>
      <c r="U169" s="43" t="s">
        <v>371</v>
      </c>
    </row>
    <row r="170" spans="1:21" customFormat="1">
      <c r="A170" s="46" t="s">
        <v>882</v>
      </c>
      <c r="B170" s="47" t="s">
        <v>883</v>
      </c>
      <c r="C170" s="46" t="s">
        <v>557</v>
      </c>
      <c r="D170" s="43"/>
      <c r="E170" s="43"/>
      <c r="F170" s="43"/>
      <c r="G170" s="43"/>
      <c r="H170" s="43"/>
      <c r="I170" s="43"/>
      <c r="J170" s="43"/>
      <c r="K170" s="43"/>
      <c r="L170" s="43"/>
      <c r="M170" s="43"/>
      <c r="N170" s="43"/>
      <c r="O170" s="43"/>
      <c r="P170" s="43"/>
      <c r="Q170" s="43"/>
      <c r="R170" s="43"/>
      <c r="S170" s="43"/>
      <c r="T170" s="43" t="s">
        <v>371</v>
      </c>
      <c r="U170" s="43" t="s">
        <v>371</v>
      </c>
    </row>
    <row r="171" spans="1:21" customFormat="1">
      <c r="A171" s="46" t="s">
        <v>884</v>
      </c>
      <c r="B171" s="47" t="s">
        <v>885</v>
      </c>
      <c r="C171" s="46" t="s">
        <v>557</v>
      </c>
      <c r="D171" s="43"/>
      <c r="E171" s="43"/>
      <c r="F171" s="43"/>
      <c r="G171" s="43"/>
      <c r="H171" s="43"/>
      <c r="I171" s="43"/>
      <c r="J171" s="43"/>
      <c r="K171" s="43"/>
      <c r="L171" s="43"/>
      <c r="M171" s="43"/>
      <c r="N171" s="43"/>
      <c r="O171" s="43"/>
      <c r="P171" s="43"/>
      <c r="Q171" s="43"/>
      <c r="R171" s="43"/>
      <c r="S171" s="43"/>
      <c r="T171" s="43"/>
      <c r="U171" s="43"/>
    </row>
    <row r="172" spans="1:21" customFormat="1">
      <c r="A172" s="46" t="s">
        <v>886</v>
      </c>
      <c r="B172" s="47" t="s">
        <v>887</v>
      </c>
      <c r="C172" s="46" t="s">
        <v>575</v>
      </c>
      <c r="D172" s="43"/>
      <c r="E172" s="43"/>
      <c r="F172" s="43"/>
      <c r="G172" s="43"/>
      <c r="H172" s="43"/>
      <c r="I172" s="43"/>
      <c r="J172" s="43"/>
      <c r="K172" s="43"/>
      <c r="L172" s="43"/>
      <c r="M172" s="43"/>
      <c r="N172" s="43"/>
      <c r="O172" s="43"/>
      <c r="P172" s="43"/>
      <c r="Q172" s="43"/>
      <c r="R172" s="43"/>
      <c r="S172" s="43"/>
      <c r="T172" s="43"/>
      <c r="U172" s="43" t="s">
        <v>371</v>
      </c>
    </row>
    <row r="173" spans="1:21" customFormat="1">
      <c r="A173" s="46" t="s">
        <v>888</v>
      </c>
      <c r="B173" s="47" t="s">
        <v>889</v>
      </c>
      <c r="C173" s="46" t="s">
        <v>575</v>
      </c>
      <c r="D173" s="43"/>
      <c r="E173" s="43"/>
      <c r="F173" s="43"/>
      <c r="G173" s="43"/>
      <c r="H173" s="43"/>
      <c r="I173" s="43"/>
      <c r="J173" s="43"/>
      <c r="K173" s="43"/>
      <c r="L173" s="43"/>
      <c r="M173" s="43"/>
      <c r="N173" s="43"/>
      <c r="O173" s="43"/>
      <c r="P173" s="43"/>
      <c r="Q173" s="43"/>
      <c r="R173" s="43"/>
      <c r="S173" s="43"/>
      <c r="T173" s="43"/>
      <c r="U173" s="43"/>
    </row>
    <row r="174" spans="1:21" customFormat="1">
      <c r="A174" s="46" t="s">
        <v>890</v>
      </c>
      <c r="B174" s="47" t="s">
        <v>891</v>
      </c>
      <c r="C174" s="46" t="s">
        <v>570</v>
      </c>
      <c r="D174" s="43"/>
      <c r="E174" s="43"/>
      <c r="F174" s="43"/>
      <c r="G174" s="43"/>
      <c r="H174" s="43"/>
      <c r="I174" s="43"/>
      <c r="J174" s="43"/>
      <c r="K174" s="43"/>
      <c r="L174" s="43"/>
      <c r="M174" s="43"/>
      <c r="N174" s="43"/>
      <c r="O174" s="43"/>
      <c r="P174" s="43"/>
      <c r="Q174" s="43"/>
      <c r="R174" s="43"/>
      <c r="S174" s="43"/>
      <c r="T174" s="43"/>
      <c r="U174" s="43" t="s">
        <v>371</v>
      </c>
    </row>
    <row r="175" spans="1:21" customFormat="1">
      <c r="A175" s="46" t="s">
        <v>892</v>
      </c>
      <c r="B175" s="47" t="s">
        <v>893</v>
      </c>
      <c r="C175" s="46" t="s">
        <v>570</v>
      </c>
      <c r="D175" s="43"/>
      <c r="E175" s="43"/>
      <c r="F175" s="43"/>
      <c r="G175" s="43"/>
      <c r="H175" s="43"/>
      <c r="I175" s="43"/>
      <c r="J175" s="43"/>
      <c r="K175" s="43"/>
      <c r="L175" s="43"/>
      <c r="M175" s="43"/>
      <c r="N175" s="43"/>
      <c r="O175" s="43"/>
      <c r="P175" s="43"/>
      <c r="Q175" s="43"/>
      <c r="R175" s="43"/>
      <c r="S175" s="43"/>
      <c r="T175" s="43" t="s">
        <v>371</v>
      </c>
      <c r="U175" s="43" t="s">
        <v>371</v>
      </c>
    </row>
    <row r="176" spans="1:21" customFormat="1">
      <c r="A176" s="46" t="s">
        <v>894</v>
      </c>
      <c r="B176" s="47" t="s">
        <v>895</v>
      </c>
      <c r="C176" s="46" t="s">
        <v>557</v>
      </c>
      <c r="D176" s="43"/>
      <c r="E176" s="43"/>
      <c r="F176" s="43"/>
      <c r="G176" s="43"/>
      <c r="H176" s="43"/>
      <c r="I176" s="43"/>
      <c r="J176" s="43"/>
      <c r="K176" s="43"/>
      <c r="L176" s="43"/>
      <c r="M176" s="43"/>
      <c r="N176" s="43"/>
      <c r="O176" s="43"/>
      <c r="P176" s="43"/>
      <c r="Q176" s="43"/>
      <c r="R176" s="43"/>
      <c r="S176" s="43"/>
      <c r="T176" s="43"/>
      <c r="U176" s="43" t="s">
        <v>371</v>
      </c>
    </row>
    <row r="177" spans="1:21" customFormat="1">
      <c r="A177" s="46" t="s">
        <v>896</v>
      </c>
      <c r="B177" s="47" t="s">
        <v>897</v>
      </c>
      <c r="C177" s="46" t="s">
        <v>575</v>
      </c>
      <c r="D177" s="43"/>
      <c r="E177" s="43"/>
      <c r="F177" s="43"/>
      <c r="G177" s="43"/>
      <c r="H177" s="43"/>
      <c r="I177" s="43"/>
      <c r="J177" s="43"/>
      <c r="K177" s="43"/>
      <c r="L177" s="43"/>
      <c r="M177" s="43"/>
      <c r="N177" s="43"/>
      <c r="O177" s="43"/>
      <c r="P177" s="43" t="s">
        <v>371</v>
      </c>
      <c r="Q177" s="43"/>
      <c r="R177" s="43"/>
      <c r="S177" s="43"/>
      <c r="T177" s="43"/>
      <c r="U177" s="43"/>
    </row>
    <row r="178" spans="1:21" customFormat="1">
      <c r="A178" s="46" t="s">
        <v>898</v>
      </c>
      <c r="B178" s="47" t="s">
        <v>899</v>
      </c>
      <c r="C178" s="46" t="s">
        <v>575</v>
      </c>
      <c r="D178" s="43"/>
      <c r="E178" s="43"/>
      <c r="F178" s="43"/>
      <c r="G178" s="43"/>
      <c r="H178" s="43"/>
      <c r="I178" s="43"/>
      <c r="J178" s="43"/>
      <c r="K178" s="43"/>
      <c r="L178" s="43"/>
      <c r="M178" s="43"/>
      <c r="N178" s="43"/>
      <c r="O178" s="43"/>
      <c r="P178" s="43"/>
      <c r="Q178" s="43"/>
      <c r="R178" s="43"/>
      <c r="S178" s="43"/>
      <c r="T178" s="43"/>
      <c r="U178" s="43"/>
    </row>
    <row r="179" spans="1:21" customFormat="1">
      <c r="A179" s="46" t="s">
        <v>900</v>
      </c>
      <c r="B179" s="47" t="s">
        <v>901</v>
      </c>
      <c r="C179" s="46" t="s">
        <v>575</v>
      </c>
      <c r="D179" s="43"/>
      <c r="E179" s="43"/>
      <c r="F179" s="43"/>
      <c r="G179" s="43"/>
      <c r="H179" s="43"/>
      <c r="I179" s="43"/>
      <c r="J179" s="43"/>
      <c r="K179" s="43"/>
      <c r="L179" s="43"/>
      <c r="M179" s="43"/>
      <c r="N179" s="43"/>
      <c r="O179" s="43"/>
      <c r="P179" s="43"/>
      <c r="Q179" s="43"/>
      <c r="R179" s="43"/>
      <c r="S179" s="43"/>
      <c r="T179" s="43"/>
      <c r="U179" s="43" t="s">
        <v>371</v>
      </c>
    </row>
    <row r="180" spans="1:21" customFormat="1">
      <c r="A180" s="46" t="s">
        <v>902</v>
      </c>
      <c r="B180" s="47" t="s">
        <v>903</v>
      </c>
      <c r="C180" s="46" t="s">
        <v>575</v>
      </c>
      <c r="D180" s="43"/>
      <c r="E180" s="43"/>
      <c r="F180" s="43"/>
      <c r="G180" s="43"/>
      <c r="H180" s="43"/>
      <c r="I180" s="43"/>
      <c r="J180" s="43"/>
      <c r="K180" s="43"/>
      <c r="L180" s="43"/>
      <c r="M180" s="43"/>
      <c r="N180" s="43"/>
      <c r="O180" s="43"/>
      <c r="P180" s="43"/>
      <c r="Q180" s="43"/>
      <c r="R180" s="43"/>
      <c r="S180" s="43"/>
      <c r="T180" s="43"/>
      <c r="U180" s="43" t="s">
        <v>371</v>
      </c>
    </row>
    <row r="181" spans="1:21" customFormat="1">
      <c r="A181" s="46" t="s">
        <v>904</v>
      </c>
      <c r="B181" s="47" t="s">
        <v>905</v>
      </c>
      <c r="C181" s="46" t="s">
        <v>575</v>
      </c>
      <c r="D181" s="43"/>
      <c r="E181" s="43"/>
      <c r="F181" s="43"/>
      <c r="G181" s="43"/>
      <c r="H181" s="43"/>
      <c r="I181" s="43"/>
      <c r="J181" s="43"/>
      <c r="K181" s="43"/>
      <c r="L181" s="43"/>
      <c r="M181" s="43"/>
      <c r="N181" s="43"/>
      <c r="O181" s="43"/>
      <c r="P181" s="43"/>
      <c r="Q181" s="43"/>
      <c r="R181" s="43"/>
      <c r="S181" s="43"/>
      <c r="T181" s="43"/>
      <c r="U181" s="43"/>
    </row>
    <row r="182" spans="1:21" customFormat="1">
      <c r="A182" s="46" t="s">
        <v>906</v>
      </c>
      <c r="B182" s="47" t="s">
        <v>907</v>
      </c>
      <c r="C182" s="46" t="s">
        <v>557</v>
      </c>
      <c r="D182" s="43"/>
      <c r="E182" s="43"/>
      <c r="F182" s="43"/>
      <c r="G182" s="43"/>
      <c r="H182" s="43"/>
      <c r="I182" s="43"/>
      <c r="J182" s="43"/>
      <c r="K182" s="43"/>
      <c r="L182" s="43"/>
      <c r="M182" s="43"/>
      <c r="N182" s="43"/>
      <c r="O182" s="43"/>
      <c r="P182" s="43"/>
      <c r="Q182" s="43"/>
      <c r="R182" s="43"/>
      <c r="S182" s="43"/>
      <c r="T182" s="43"/>
      <c r="U182" s="43"/>
    </row>
    <row r="183" spans="1:21" customFormat="1">
      <c r="A183" s="46" t="s">
        <v>908</v>
      </c>
      <c r="B183" s="47" t="s">
        <v>909</v>
      </c>
      <c r="C183" s="46" t="s">
        <v>557</v>
      </c>
      <c r="D183" s="43"/>
      <c r="E183" s="43"/>
      <c r="F183" s="43"/>
      <c r="G183" s="43"/>
      <c r="H183" s="43"/>
      <c r="I183" s="43"/>
      <c r="J183" s="43"/>
      <c r="K183" s="43"/>
      <c r="L183" s="43"/>
      <c r="M183" s="43"/>
      <c r="N183" s="43"/>
      <c r="O183" s="43"/>
      <c r="P183" s="43"/>
      <c r="Q183" s="43"/>
      <c r="R183" s="43"/>
      <c r="S183" s="43"/>
      <c r="T183" s="43"/>
      <c r="U183" s="43"/>
    </row>
    <row r="184" spans="1:21" customFormat="1">
      <c r="A184" s="46" t="s">
        <v>910</v>
      </c>
      <c r="B184" s="47" t="s">
        <v>911</v>
      </c>
      <c r="C184" s="46" t="s">
        <v>557</v>
      </c>
      <c r="D184" s="43"/>
      <c r="E184" s="43"/>
      <c r="F184" s="43"/>
      <c r="G184" s="43"/>
      <c r="H184" s="43"/>
      <c r="I184" s="43"/>
      <c r="J184" s="43"/>
      <c r="K184" s="43"/>
      <c r="L184" s="43"/>
      <c r="M184" s="43"/>
      <c r="N184" s="43"/>
      <c r="O184" s="43"/>
      <c r="P184" s="43"/>
      <c r="Q184" s="43"/>
      <c r="R184" s="43"/>
      <c r="S184" s="43"/>
      <c r="T184" s="43"/>
      <c r="U184" s="43"/>
    </row>
    <row r="185" spans="1:21" customFormat="1">
      <c r="A185" s="46" t="s">
        <v>912</v>
      </c>
      <c r="B185" s="47" t="s">
        <v>913</v>
      </c>
      <c r="C185" s="46" t="s">
        <v>557</v>
      </c>
      <c r="D185" s="43"/>
      <c r="E185" s="43"/>
      <c r="F185" s="43"/>
      <c r="G185" s="43"/>
      <c r="H185" s="43"/>
      <c r="I185" s="43"/>
      <c r="J185" s="43"/>
      <c r="K185" s="43"/>
      <c r="L185" s="43"/>
      <c r="M185" s="43"/>
      <c r="N185" s="43"/>
      <c r="O185" s="43"/>
      <c r="P185" s="43"/>
      <c r="Q185" s="43"/>
      <c r="R185" s="43"/>
      <c r="S185" s="43"/>
      <c r="T185" s="43"/>
      <c r="U185" s="43"/>
    </row>
    <row r="186" spans="1:21" customFormat="1">
      <c r="A186" s="46" t="s">
        <v>914</v>
      </c>
      <c r="B186" s="47" t="s">
        <v>915</v>
      </c>
      <c r="C186" s="46" t="s">
        <v>557</v>
      </c>
      <c r="D186" s="43"/>
      <c r="E186" s="43"/>
      <c r="F186" s="43"/>
      <c r="G186" s="43"/>
      <c r="H186" s="43"/>
      <c r="I186" s="43"/>
      <c r="J186" s="43"/>
      <c r="K186" s="43"/>
      <c r="L186" s="43"/>
      <c r="M186" s="43"/>
      <c r="N186" s="43"/>
      <c r="O186" s="43"/>
      <c r="P186" s="43"/>
      <c r="Q186" s="43"/>
      <c r="R186" s="43"/>
      <c r="S186" s="43"/>
      <c r="T186" s="43"/>
      <c r="U186" s="43"/>
    </row>
    <row r="187" spans="1:21" customFormat="1">
      <c r="A187" s="46" t="s">
        <v>916</v>
      </c>
      <c r="B187" s="47" t="s">
        <v>917</v>
      </c>
      <c r="C187" s="46" t="s">
        <v>575</v>
      </c>
      <c r="D187" s="43"/>
      <c r="E187" s="43"/>
      <c r="F187" s="43"/>
      <c r="G187" s="43"/>
      <c r="H187" s="43"/>
      <c r="I187" s="43"/>
      <c r="J187" s="43"/>
      <c r="K187" s="43"/>
      <c r="L187" s="43"/>
      <c r="M187" s="43"/>
      <c r="N187" s="43"/>
      <c r="O187" s="43"/>
      <c r="P187" s="43"/>
      <c r="Q187" s="43"/>
      <c r="R187" s="43"/>
      <c r="S187" s="43"/>
      <c r="T187" s="43"/>
      <c r="U187" s="43"/>
    </row>
    <row r="188" spans="1:21" customFormat="1">
      <c r="A188" s="46" t="s">
        <v>918</v>
      </c>
      <c r="B188" s="47" t="s">
        <v>919</v>
      </c>
      <c r="C188" s="46" t="s">
        <v>557</v>
      </c>
      <c r="D188" s="43"/>
      <c r="E188" s="43"/>
      <c r="F188" s="43"/>
      <c r="G188" s="43"/>
      <c r="H188" s="43"/>
      <c r="I188" s="43"/>
      <c r="J188" s="43"/>
      <c r="K188" s="43"/>
      <c r="L188" s="43"/>
      <c r="M188" s="43"/>
      <c r="N188" s="43"/>
      <c r="O188" s="43" t="s">
        <v>371</v>
      </c>
      <c r="P188" s="43"/>
      <c r="Q188" s="43"/>
      <c r="R188" s="43"/>
      <c r="S188" s="43"/>
      <c r="T188" s="43"/>
      <c r="U188" s="43"/>
    </row>
    <row r="189" spans="1:21" customFormat="1">
      <c r="A189" s="46" t="s">
        <v>920</v>
      </c>
      <c r="B189" s="47" t="s">
        <v>921</v>
      </c>
      <c r="C189" s="46" t="s">
        <v>557</v>
      </c>
      <c r="D189" s="43"/>
      <c r="E189" s="43"/>
      <c r="F189" s="43"/>
      <c r="G189" s="43"/>
      <c r="H189" s="43"/>
      <c r="I189" s="43"/>
      <c r="J189" s="43"/>
      <c r="K189" s="43"/>
      <c r="L189" s="43"/>
      <c r="M189" s="43"/>
      <c r="N189" s="43"/>
      <c r="O189" s="43" t="s">
        <v>371</v>
      </c>
      <c r="P189" s="43" t="s">
        <v>371</v>
      </c>
      <c r="Q189" s="43"/>
      <c r="R189" s="43" t="s">
        <v>371</v>
      </c>
      <c r="S189" s="43"/>
      <c r="T189" s="43"/>
      <c r="U189" s="43"/>
    </row>
    <row r="190" spans="1:21" customFormat="1">
      <c r="A190" s="46" t="s">
        <v>922</v>
      </c>
      <c r="B190" s="47" t="s">
        <v>584</v>
      </c>
      <c r="C190" s="46" t="s">
        <v>585</v>
      </c>
      <c r="D190" s="43"/>
      <c r="E190" s="43"/>
      <c r="F190" s="43"/>
      <c r="G190" s="43"/>
      <c r="H190" s="43"/>
      <c r="I190" s="43"/>
      <c r="J190" s="43"/>
      <c r="K190" s="43"/>
      <c r="L190" s="43"/>
      <c r="M190" s="43"/>
      <c r="N190" s="43"/>
      <c r="O190" s="43"/>
      <c r="P190" s="43"/>
      <c r="Q190" s="43"/>
      <c r="R190" s="43"/>
      <c r="S190" s="43"/>
      <c r="T190" s="43"/>
      <c r="U190" s="43"/>
    </row>
    <row r="191" spans="1:21" customFormat="1">
      <c r="A191" s="46" t="s">
        <v>923</v>
      </c>
      <c r="B191" s="47" t="s">
        <v>924</v>
      </c>
      <c r="C191" s="46" t="s">
        <v>570</v>
      </c>
      <c r="D191" s="43"/>
      <c r="E191" s="43"/>
      <c r="F191" s="43"/>
      <c r="G191" s="43"/>
      <c r="H191" s="43"/>
      <c r="I191" s="43"/>
      <c r="J191" s="43"/>
      <c r="K191" s="43"/>
      <c r="L191" s="43"/>
      <c r="M191" s="43"/>
      <c r="N191" s="43"/>
      <c r="O191" s="43"/>
      <c r="P191" s="43"/>
      <c r="Q191" s="43"/>
      <c r="R191" s="43"/>
      <c r="S191" s="43"/>
      <c r="T191" s="43"/>
      <c r="U191" s="43"/>
    </row>
    <row r="192" spans="1:21" customFormat="1">
      <c r="A192" s="46" t="s">
        <v>925</v>
      </c>
      <c r="B192" s="47" t="s">
        <v>926</v>
      </c>
      <c r="C192" s="46" t="s">
        <v>575</v>
      </c>
      <c r="D192" s="43"/>
      <c r="E192" s="43"/>
      <c r="F192" s="43"/>
      <c r="G192" s="43"/>
      <c r="H192" s="43"/>
      <c r="I192" s="43"/>
      <c r="J192" s="43"/>
      <c r="K192" s="43"/>
      <c r="L192" s="43"/>
      <c r="M192" s="43"/>
      <c r="N192" s="43"/>
      <c r="O192" s="43"/>
      <c r="P192" s="43"/>
      <c r="Q192" s="43"/>
      <c r="R192" s="43"/>
      <c r="S192" s="43"/>
      <c r="T192" s="43"/>
      <c r="U192" s="43"/>
    </row>
    <row r="193" spans="1:19" customFormat="1">
      <c r="A193" s="46" t="s">
        <v>927</v>
      </c>
      <c r="B193" s="47" t="s">
        <v>928</v>
      </c>
      <c r="C193" s="46" t="s">
        <v>557</v>
      </c>
      <c r="D193" s="43"/>
      <c r="E193" s="43"/>
      <c r="F193" s="43"/>
      <c r="G193" s="43"/>
      <c r="H193" s="43"/>
      <c r="I193" s="43"/>
      <c r="J193" s="43"/>
      <c r="K193" s="43"/>
      <c r="L193" s="43"/>
      <c r="M193" s="43"/>
      <c r="N193" s="43"/>
      <c r="O193" s="43"/>
      <c r="P193" s="43"/>
      <c r="Q193" s="43"/>
      <c r="R193" s="43"/>
      <c r="S193" s="43"/>
    </row>
    <row r="194" spans="1:19" customFormat="1">
      <c r="A194" s="46" t="s">
        <v>929</v>
      </c>
      <c r="B194" s="47" t="s">
        <v>930</v>
      </c>
      <c r="C194" s="46" t="s">
        <v>557</v>
      </c>
      <c r="D194" s="43"/>
      <c r="E194" s="43"/>
      <c r="F194" s="43"/>
      <c r="G194" s="43"/>
      <c r="H194" s="43"/>
      <c r="I194" s="43"/>
      <c r="J194" s="43"/>
      <c r="K194" s="43"/>
      <c r="L194" s="43"/>
      <c r="M194" s="43"/>
      <c r="N194" s="43"/>
      <c r="O194" s="43"/>
      <c r="P194" s="43"/>
      <c r="Q194" s="43"/>
      <c r="R194" s="43"/>
      <c r="S194" s="43"/>
    </row>
    <row r="195" spans="1:19" customFormat="1">
      <c r="A195" s="46" t="s">
        <v>931</v>
      </c>
      <c r="B195" s="47" t="s">
        <v>584</v>
      </c>
      <c r="C195" s="46" t="s">
        <v>585</v>
      </c>
      <c r="D195" s="43"/>
      <c r="E195" s="43"/>
      <c r="F195" s="43"/>
      <c r="G195" s="43"/>
      <c r="H195" s="43"/>
      <c r="I195" s="43"/>
      <c r="J195" s="43"/>
      <c r="K195" s="43"/>
      <c r="L195" s="43"/>
      <c r="M195" s="43"/>
      <c r="N195" s="43"/>
      <c r="O195" s="43"/>
      <c r="P195" s="43"/>
      <c r="Q195" s="43"/>
      <c r="R195" s="43"/>
      <c r="S195" s="43"/>
    </row>
    <row r="196" spans="1:19" customFormat="1">
      <c r="A196" s="46" t="s">
        <v>932</v>
      </c>
      <c r="B196" s="47" t="s">
        <v>933</v>
      </c>
      <c r="C196" s="46" t="s">
        <v>557</v>
      </c>
      <c r="D196" s="43"/>
      <c r="E196" s="43"/>
      <c r="F196" s="43"/>
      <c r="G196" s="43"/>
      <c r="H196" s="43" t="s">
        <v>371</v>
      </c>
      <c r="I196" s="43"/>
      <c r="J196" s="43" t="s">
        <v>371</v>
      </c>
      <c r="K196" s="43"/>
      <c r="L196" s="43"/>
      <c r="M196" s="43"/>
      <c r="N196" s="43"/>
      <c r="O196" s="43"/>
      <c r="P196" s="43"/>
      <c r="Q196" s="43"/>
      <c r="R196" s="43"/>
      <c r="S196" s="43"/>
    </row>
    <row r="197" spans="1:19" customFormat="1">
      <c r="A197" s="46" t="s">
        <v>934</v>
      </c>
      <c r="B197" s="47" t="s">
        <v>935</v>
      </c>
      <c r="C197" s="46" t="s">
        <v>575</v>
      </c>
      <c r="D197" s="43"/>
      <c r="E197" s="43"/>
      <c r="F197" s="43"/>
      <c r="G197" s="43"/>
      <c r="H197" s="43"/>
      <c r="I197" s="43"/>
      <c r="J197" s="43"/>
      <c r="K197" s="43"/>
      <c r="L197" s="43"/>
      <c r="M197" s="43"/>
      <c r="N197" s="43"/>
      <c r="O197" s="43"/>
      <c r="P197" s="43"/>
      <c r="Q197" s="43" t="s">
        <v>371</v>
      </c>
      <c r="R197" s="43"/>
      <c r="S197" s="43"/>
    </row>
    <row r="198" spans="1:19" customFormat="1">
      <c r="A198" s="46" t="s">
        <v>936</v>
      </c>
      <c r="B198" s="47" t="s">
        <v>937</v>
      </c>
      <c r="C198" s="46" t="s">
        <v>557</v>
      </c>
      <c r="D198" s="43" t="s">
        <v>371</v>
      </c>
      <c r="E198" s="43"/>
      <c r="F198" s="43"/>
      <c r="G198" s="43"/>
      <c r="H198" s="43"/>
      <c r="I198" s="43"/>
      <c r="J198" s="43"/>
      <c r="K198" s="43"/>
      <c r="L198" s="43"/>
      <c r="M198" s="43"/>
      <c r="N198" s="43"/>
      <c r="O198" s="43"/>
      <c r="P198" s="43"/>
      <c r="Q198" s="43"/>
      <c r="R198" s="43" t="s">
        <v>371</v>
      </c>
      <c r="S198" s="43" t="s">
        <v>371</v>
      </c>
    </row>
    <row r="199" spans="1:19" customFormat="1">
      <c r="A199" s="46" t="s">
        <v>938</v>
      </c>
      <c r="B199" s="47" t="s">
        <v>939</v>
      </c>
      <c r="C199" s="46" t="s">
        <v>570</v>
      </c>
      <c r="D199" s="43"/>
      <c r="E199" s="43" t="s">
        <v>371</v>
      </c>
      <c r="F199" s="43"/>
      <c r="G199" s="43"/>
      <c r="H199" s="43"/>
      <c r="I199" s="43"/>
      <c r="J199" s="43"/>
      <c r="K199" s="43"/>
      <c r="L199" s="43"/>
      <c r="M199" s="43"/>
      <c r="N199" s="43"/>
      <c r="O199" s="43"/>
      <c r="P199" s="43"/>
      <c r="Q199" s="43"/>
      <c r="R199" s="43"/>
      <c r="S199" s="43"/>
    </row>
    <row r="200" spans="1:19" customFormat="1">
      <c r="A200" s="46" t="s">
        <v>940</v>
      </c>
      <c r="B200" s="47" t="s">
        <v>941</v>
      </c>
      <c r="C200" s="46" t="s">
        <v>557</v>
      </c>
      <c r="D200" s="43"/>
      <c r="E200" s="43"/>
      <c r="F200" s="43"/>
      <c r="G200" s="43"/>
      <c r="H200" s="43"/>
      <c r="I200" s="43"/>
      <c r="J200" s="43"/>
      <c r="K200" s="43"/>
      <c r="L200" s="43"/>
      <c r="M200" s="43"/>
      <c r="N200" s="43"/>
      <c r="O200" s="43"/>
      <c r="P200" s="43"/>
      <c r="Q200" s="43"/>
      <c r="R200" s="43"/>
      <c r="S200" s="43"/>
    </row>
    <row r="201" spans="1:19" customFormat="1">
      <c r="A201" s="46" t="s">
        <v>942</v>
      </c>
      <c r="B201" s="47" t="s">
        <v>943</v>
      </c>
      <c r="C201" s="46" t="s">
        <v>557</v>
      </c>
      <c r="D201" s="43"/>
      <c r="E201" s="43"/>
      <c r="F201" s="43"/>
      <c r="G201" s="43"/>
      <c r="H201" s="43"/>
      <c r="I201" s="43"/>
      <c r="J201" s="43"/>
      <c r="K201" s="43"/>
      <c r="L201" s="43" t="s">
        <v>371</v>
      </c>
      <c r="M201" s="43"/>
      <c r="N201" s="43"/>
      <c r="O201" s="43"/>
      <c r="P201" s="43"/>
      <c r="Q201" s="43"/>
      <c r="R201" s="43"/>
      <c r="S201" s="43"/>
    </row>
    <row r="202" spans="1:19" customFormat="1">
      <c r="A202" s="46" t="s">
        <v>944</v>
      </c>
      <c r="B202" s="47" t="s">
        <v>945</v>
      </c>
      <c r="C202" s="46" t="s">
        <v>557</v>
      </c>
      <c r="D202" s="43"/>
      <c r="E202" s="43"/>
      <c r="F202" s="43"/>
      <c r="G202" s="43"/>
      <c r="H202" s="43"/>
      <c r="I202" s="43"/>
      <c r="J202" s="43"/>
      <c r="K202" s="43"/>
      <c r="L202" s="43" t="s">
        <v>371</v>
      </c>
      <c r="M202" s="43"/>
      <c r="N202" s="43"/>
      <c r="O202" s="43"/>
      <c r="P202" s="43"/>
      <c r="Q202" s="43"/>
      <c r="R202" s="43"/>
      <c r="S202" s="43"/>
    </row>
    <row r="203" spans="1:19" customFormat="1">
      <c r="A203" s="46" t="s">
        <v>946</v>
      </c>
      <c r="B203" s="47" t="s">
        <v>947</v>
      </c>
      <c r="C203" s="46" t="s">
        <v>557</v>
      </c>
      <c r="D203" s="43"/>
      <c r="E203" s="43"/>
      <c r="F203" s="43"/>
      <c r="G203" s="43"/>
      <c r="H203" s="43"/>
      <c r="I203" s="43"/>
      <c r="J203" s="43"/>
      <c r="K203" s="43"/>
      <c r="L203" s="43" t="s">
        <v>371</v>
      </c>
      <c r="M203" s="43"/>
      <c r="N203" s="43"/>
      <c r="O203" s="43"/>
      <c r="P203" s="43"/>
      <c r="Q203" s="43"/>
      <c r="R203" s="43"/>
      <c r="S203" s="43"/>
    </row>
    <row r="204" spans="1:19" customFormat="1">
      <c r="A204" s="46" t="s">
        <v>948</v>
      </c>
      <c r="B204" s="47" t="s">
        <v>949</v>
      </c>
      <c r="C204" s="46" t="s">
        <v>557</v>
      </c>
      <c r="D204" s="43"/>
      <c r="E204" s="43"/>
      <c r="F204" s="43"/>
      <c r="G204" s="43"/>
      <c r="H204" s="43"/>
      <c r="I204" s="43"/>
      <c r="J204" s="43"/>
      <c r="K204" s="43"/>
      <c r="L204" s="43"/>
      <c r="M204" s="43"/>
      <c r="N204" s="43"/>
      <c r="O204" s="43"/>
      <c r="P204" s="43"/>
      <c r="Q204" s="43"/>
      <c r="R204" s="43"/>
      <c r="S204" s="43" t="s">
        <v>371</v>
      </c>
    </row>
    <row r="205" spans="1:19" customFormat="1">
      <c r="A205" s="46" t="s">
        <v>950</v>
      </c>
      <c r="B205" s="47" t="s">
        <v>951</v>
      </c>
      <c r="C205" s="46" t="s">
        <v>557</v>
      </c>
      <c r="D205" s="43"/>
      <c r="E205" s="43"/>
      <c r="F205" s="43"/>
      <c r="G205" s="43"/>
      <c r="H205" s="43"/>
      <c r="I205" s="43"/>
      <c r="J205" s="43"/>
      <c r="K205" s="43"/>
      <c r="L205" s="43"/>
      <c r="M205" s="43"/>
      <c r="N205" s="43" t="s">
        <v>371</v>
      </c>
      <c r="O205" s="43"/>
      <c r="P205" s="43"/>
      <c r="Q205" s="43"/>
      <c r="R205" s="43"/>
      <c r="S205" s="43"/>
    </row>
    <row r="206" spans="1:19" customFormat="1">
      <c r="A206" s="46" t="s">
        <v>952</v>
      </c>
      <c r="B206" s="47" t="s">
        <v>953</v>
      </c>
      <c r="C206" s="46" t="s">
        <v>575</v>
      </c>
      <c r="D206" s="43"/>
      <c r="E206" s="43"/>
      <c r="F206" s="43"/>
      <c r="G206" s="43"/>
      <c r="H206" s="43"/>
      <c r="I206" s="43"/>
      <c r="J206" s="43"/>
      <c r="K206" s="43"/>
      <c r="L206" s="43"/>
      <c r="M206" s="43"/>
      <c r="N206" s="43"/>
      <c r="O206" s="43"/>
      <c r="P206" s="43"/>
      <c r="Q206" s="43"/>
      <c r="R206" s="43"/>
      <c r="S206" s="43"/>
    </row>
    <row r="207" spans="1:19" customFormat="1">
      <c r="A207" s="46" t="s">
        <v>954</v>
      </c>
      <c r="B207" s="47" t="s">
        <v>955</v>
      </c>
      <c r="C207" s="46" t="s">
        <v>575</v>
      </c>
      <c r="D207" s="43"/>
      <c r="E207" s="43"/>
      <c r="F207" s="43"/>
      <c r="G207" s="43"/>
      <c r="H207" s="43"/>
      <c r="I207" s="43"/>
      <c r="J207" s="43"/>
      <c r="K207" s="43"/>
      <c r="L207" s="43"/>
      <c r="M207" s="43"/>
      <c r="N207" s="43"/>
      <c r="O207" s="43"/>
      <c r="P207" s="43"/>
      <c r="Q207" s="43"/>
      <c r="R207" s="43"/>
      <c r="S207" s="43"/>
    </row>
    <row r="208" spans="1:19" customFormat="1">
      <c r="A208" s="46" t="s">
        <v>956</v>
      </c>
      <c r="B208" s="47" t="s">
        <v>957</v>
      </c>
      <c r="C208" s="46" t="s">
        <v>575</v>
      </c>
      <c r="D208" s="43"/>
      <c r="E208" s="43"/>
      <c r="F208" s="43"/>
      <c r="G208" s="43"/>
      <c r="H208" s="43"/>
      <c r="I208" s="43"/>
      <c r="J208" s="43"/>
      <c r="K208" s="43"/>
      <c r="L208" s="43"/>
      <c r="M208" s="43"/>
      <c r="N208" s="43"/>
      <c r="O208" s="43"/>
      <c r="P208" s="43"/>
      <c r="Q208" s="43"/>
      <c r="R208" s="43"/>
      <c r="S208" s="43"/>
    </row>
    <row r="209" spans="1:21" customFormat="1">
      <c r="A209" s="46" t="s">
        <v>958</v>
      </c>
      <c r="B209" s="47" t="s">
        <v>959</v>
      </c>
      <c r="C209" s="46" t="s">
        <v>557</v>
      </c>
      <c r="D209" s="43"/>
      <c r="E209" s="43"/>
      <c r="F209" s="43"/>
      <c r="G209" s="43"/>
      <c r="H209" s="43"/>
      <c r="I209" s="43"/>
      <c r="J209" s="43"/>
      <c r="K209" s="43"/>
      <c r="L209" s="43"/>
      <c r="M209" s="43"/>
      <c r="N209" s="43"/>
      <c r="O209" s="43"/>
      <c r="P209" s="43" t="s">
        <v>371</v>
      </c>
      <c r="Q209" s="43"/>
      <c r="R209" s="43"/>
      <c r="S209" s="43"/>
      <c r="T209" s="43"/>
      <c r="U209" s="43"/>
    </row>
    <row r="210" spans="1:21" customFormat="1">
      <c r="A210" s="46" t="s">
        <v>960</v>
      </c>
      <c r="B210" s="47" t="s">
        <v>961</v>
      </c>
      <c r="C210" s="46" t="s">
        <v>575</v>
      </c>
      <c r="D210" s="43"/>
      <c r="E210" s="43"/>
      <c r="F210" s="43"/>
      <c r="G210" s="43"/>
      <c r="H210" s="43"/>
      <c r="I210" s="43"/>
      <c r="J210" s="43"/>
      <c r="K210" s="43"/>
      <c r="L210" s="43"/>
      <c r="M210" s="43"/>
      <c r="N210" s="43"/>
      <c r="O210" s="43"/>
      <c r="P210" s="43"/>
      <c r="Q210" s="43"/>
      <c r="R210" s="43"/>
      <c r="S210" s="43"/>
      <c r="T210" s="43"/>
      <c r="U210" s="43"/>
    </row>
    <row r="211" spans="1:21" customFormat="1">
      <c r="A211" s="46" t="s">
        <v>962</v>
      </c>
      <c r="B211" s="47" t="s">
        <v>963</v>
      </c>
      <c r="C211" s="46" t="s">
        <v>575</v>
      </c>
      <c r="D211" s="43"/>
      <c r="E211" s="43"/>
      <c r="F211" s="43"/>
      <c r="G211" s="43"/>
      <c r="H211" s="43"/>
      <c r="I211" s="43"/>
      <c r="J211" s="43"/>
      <c r="K211" s="43"/>
      <c r="L211" s="43"/>
      <c r="M211" s="43"/>
      <c r="N211" s="43"/>
      <c r="O211" s="43"/>
      <c r="P211" s="43"/>
      <c r="Q211" s="43"/>
      <c r="R211" s="43"/>
      <c r="S211" s="43"/>
      <c r="T211" s="43"/>
      <c r="U211" s="43"/>
    </row>
    <row r="212" spans="1:21" customFormat="1">
      <c r="A212" s="46" t="s">
        <v>964</v>
      </c>
      <c r="B212" s="47" t="s">
        <v>965</v>
      </c>
      <c r="C212" s="46" t="s">
        <v>575</v>
      </c>
      <c r="D212" s="43"/>
      <c r="E212" s="43"/>
      <c r="F212" s="43"/>
      <c r="G212" s="43"/>
      <c r="H212" s="43"/>
      <c r="I212" s="43"/>
      <c r="J212" s="43"/>
      <c r="K212" s="43"/>
      <c r="L212" s="43"/>
      <c r="M212" s="43"/>
      <c r="N212" s="43"/>
      <c r="O212" s="43"/>
      <c r="P212" s="43" t="s">
        <v>371</v>
      </c>
      <c r="Q212" s="43"/>
      <c r="R212" s="43"/>
      <c r="S212" s="43"/>
      <c r="T212" s="43"/>
      <c r="U212" s="43"/>
    </row>
    <row r="213" spans="1:21" customFormat="1">
      <c r="A213" s="46" t="s">
        <v>966</v>
      </c>
      <c r="B213" s="47" t="s">
        <v>967</v>
      </c>
      <c r="C213" s="46" t="s">
        <v>575</v>
      </c>
      <c r="D213" s="43"/>
      <c r="E213" s="43"/>
      <c r="F213" s="43"/>
      <c r="G213" s="43"/>
      <c r="H213" s="43"/>
      <c r="I213" s="43"/>
      <c r="J213" s="43"/>
      <c r="K213" s="43"/>
      <c r="L213" s="43"/>
      <c r="M213" s="43"/>
      <c r="N213" s="43"/>
      <c r="O213" s="43"/>
      <c r="P213" s="43"/>
      <c r="Q213" s="43"/>
      <c r="R213" s="43"/>
      <c r="S213" s="43"/>
      <c r="T213" s="43"/>
      <c r="U213" s="43"/>
    </row>
    <row r="214" spans="1:21" customFormat="1">
      <c r="A214" s="46" t="s">
        <v>968</v>
      </c>
      <c r="B214" s="47" t="s">
        <v>584</v>
      </c>
      <c r="C214" s="46" t="s">
        <v>585</v>
      </c>
      <c r="D214" s="43"/>
      <c r="E214" s="43"/>
      <c r="F214" s="43"/>
      <c r="G214" s="43"/>
      <c r="H214" s="43"/>
      <c r="I214" s="43"/>
      <c r="J214" s="43"/>
      <c r="K214" s="43"/>
      <c r="L214" s="43"/>
      <c r="M214" s="43"/>
      <c r="N214" s="43"/>
      <c r="O214" s="43"/>
      <c r="P214" s="43"/>
      <c r="Q214" s="43"/>
      <c r="R214" s="43"/>
      <c r="S214" s="43"/>
      <c r="T214" s="43"/>
      <c r="U214" s="43"/>
    </row>
    <row r="215" spans="1:21" customFormat="1">
      <c r="A215" s="46" t="s">
        <v>969</v>
      </c>
      <c r="B215" s="47" t="s">
        <v>970</v>
      </c>
      <c r="C215" s="46" t="s">
        <v>575</v>
      </c>
      <c r="D215" s="43"/>
      <c r="E215" s="43" t="s">
        <v>371</v>
      </c>
      <c r="F215" s="43" t="s">
        <v>371</v>
      </c>
      <c r="G215" s="43"/>
      <c r="H215" s="43" t="s">
        <v>371</v>
      </c>
      <c r="I215" s="43"/>
      <c r="J215" s="43" t="s">
        <v>371</v>
      </c>
      <c r="K215" s="43"/>
      <c r="L215" s="43"/>
      <c r="M215" s="43"/>
      <c r="N215" s="43"/>
      <c r="O215" s="43"/>
      <c r="P215" s="43"/>
      <c r="Q215" s="43"/>
      <c r="R215" s="43"/>
      <c r="S215" s="43"/>
      <c r="T215" s="43"/>
      <c r="U215" s="43"/>
    </row>
    <row r="216" spans="1:21" customFormat="1">
      <c r="A216" s="46" t="s">
        <v>971</v>
      </c>
      <c r="B216" s="47" t="s">
        <v>972</v>
      </c>
      <c r="C216" s="46" t="s">
        <v>575</v>
      </c>
      <c r="D216" s="43"/>
      <c r="E216" s="43"/>
      <c r="F216" s="43"/>
      <c r="G216" s="43"/>
      <c r="H216" s="43"/>
      <c r="I216" s="43"/>
      <c r="J216" s="43"/>
      <c r="K216" s="43"/>
      <c r="L216" s="43"/>
      <c r="M216" s="43"/>
      <c r="N216" s="43"/>
      <c r="O216" s="43"/>
      <c r="P216" s="43"/>
      <c r="Q216" s="43"/>
      <c r="R216" s="43"/>
      <c r="S216" s="43"/>
      <c r="T216" s="43"/>
      <c r="U216" s="43"/>
    </row>
    <row r="217" spans="1:21" customFormat="1">
      <c r="A217" s="46" t="s">
        <v>973</v>
      </c>
      <c r="B217" s="47" t="s">
        <v>974</v>
      </c>
      <c r="C217" s="46" t="s">
        <v>575</v>
      </c>
      <c r="D217" s="43"/>
      <c r="E217" s="43"/>
      <c r="F217" s="43"/>
      <c r="G217" s="43"/>
      <c r="H217" s="43"/>
      <c r="I217" s="43"/>
      <c r="J217" s="43"/>
      <c r="K217" s="43"/>
      <c r="L217" s="43"/>
      <c r="M217" s="43"/>
      <c r="N217" s="43"/>
      <c r="O217" s="43"/>
      <c r="P217" s="43"/>
      <c r="Q217" s="43"/>
      <c r="R217" s="43"/>
      <c r="S217" s="43"/>
      <c r="T217" s="43"/>
      <c r="U217" s="43"/>
    </row>
    <row r="218" spans="1:21" customFormat="1">
      <c r="A218" s="46" t="s">
        <v>975</v>
      </c>
      <c r="B218" s="47" t="s">
        <v>976</v>
      </c>
      <c r="C218" s="46" t="s">
        <v>575</v>
      </c>
      <c r="D218" s="43"/>
      <c r="E218" s="43"/>
      <c r="F218" s="43"/>
      <c r="G218" s="43"/>
      <c r="H218" s="43"/>
      <c r="I218" s="43"/>
      <c r="J218" s="43"/>
      <c r="K218" s="43"/>
      <c r="L218" s="43"/>
      <c r="M218" s="43"/>
      <c r="N218" s="43"/>
      <c r="O218" s="43"/>
      <c r="P218" s="43"/>
      <c r="Q218" s="43"/>
      <c r="R218" s="43"/>
      <c r="S218" s="43"/>
      <c r="T218" s="43"/>
      <c r="U218" s="43"/>
    </row>
    <row r="219" spans="1:21" customFormat="1">
      <c r="A219" s="46" t="s">
        <v>977</v>
      </c>
      <c r="B219" s="47" t="s">
        <v>978</v>
      </c>
      <c r="C219" s="46" t="s">
        <v>575</v>
      </c>
      <c r="D219" s="43"/>
      <c r="E219" s="43"/>
      <c r="F219" s="43"/>
      <c r="G219" s="43"/>
      <c r="H219" s="43"/>
      <c r="I219" s="43"/>
      <c r="J219" s="43"/>
      <c r="K219" s="43"/>
      <c r="L219" s="43"/>
      <c r="M219" s="43"/>
      <c r="N219" s="43"/>
      <c r="O219" s="43"/>
      <c r="P219" s="43"/>
      <c r="Q219" s="43"/>
      <c r="R219" s="43"/>
      <c r="S219" s="43"/>
      <c r="T219" s="43"/>
      <c r="U219" s="43"/>
    </row>
    <row r="220" spans="1:21" customFormat="1">
      <c r="A220" s="46" t="s">
        <v>979</v>
      </c>
      <c r="B220" s="47" t="s">
        <v>980</v>
      </c>
      <c r="C220" s="46" t="s">
        <v>557</v>
      </c>
      <c r="D220" s="43"/>
      <c r="E220" s="43"/>
      <c r="F220" s="43"/>
      <c r="G220" s="43"/>
      <c r="H220" s="43"/>
      <c r="I220" s="43"/>
      <c r="J220" s="43"/>
      <c r="K220" s="43"/>
      <c r="L220" s="43"/>
      <c r="M220" s="43"/>
      <c r="N220" s="43"/>
      <c r="O220" s="43"/>
      <c r="P220" s="43"/>
      <c r="Q220" s="43"/>
      <c r="R220" s="43"/>
      <c r="S220" s="43"/>
      <c r="T220" s="43"/>
      <c r="U220" s="43" t="s">
        <v>371</v>
      </c>
    </row>
    <row r="221" spans="1:21" customFormat="1">
      <c r="A221" s="46" t="s">
        <v>981</v>
      </c>
      <c r="B221" s="47" t="s">
        <v>982</v>
      </c>
      <c r="C221" s="46" t="s">
        <v>575</v>
      </c>
      <c r="D221" s="43"/>
      <c r="E221" s="43"/>
      <c r="F221" s="43"/>
      <c r="G221" s="43"/>
      <c r="H221" s="43"/>
      <c r="I221" s="43"/>
      <c r="J221" s="43"/>
      <c r="K221" s="43"/>
      <c r="L221" s="43"/>
      <c r="M221" s="43"/>
      <c r="N221" s="43"/>
      <c r="O221" s="43"/>
      <c r="P221" s="43"/>
      <c r="Q221" s="43"/>
      <c r="R221" s="43" t="s">
        <v>371</v>
      </c>
      <c r="S221" s="43"/>
      <c r="T221" s="43"/>
      <c r="U221" s="43"/>
    </row>
    <row r="222" spans="1:21" customFormat="1">
      <c r="A222" s="46" t="s">
        <v>983</v>
      </c>
      <c r="B222" s="47" t="s">
        <v>984</v>
      </c>
      <c r="C222" s="46" t="s">
        <v>575</v>
      </c>
      <c r="D222" s="43"/>
      <c r="E222" s="43"/>
      <c r="F222" s="43"/>
      <c r="G222" s="43"/>
      <c r="H222" s="43"/>
      <c r="I222" s="43"/>
      <c r="J222" s="43"/>
      <c r="K222" s="43"/>
      <c r="L222" s="43" t="s">
        <v>371</v>
      </c>
      <c r="M222" s="43"/>
      <c r="N222" s="43"/>
      <c r="O222" s="43"/>
      <c r="P222" s="43" t="s">
        <v>371</v>
      </c>
      <c r="Q222" s="43"/>
      <c r="R222" s="43"/>
      <c r="S222" s="43"/>
      <c r="T222" s="43"/>
      <c r="U222" s="43"/>
    </row>
    <row r="223" spans="1:21" customFormat="1">
      <c r="A223" s="46" t="s">
        <v>985</v>
      </c>
      <c r="B223" s="47" t="s">
        <v>986</v>
      </c>
      <c r="C223" s="46" t="s">
        <v>575</v>
      </c>
      <c r="D223" s="43"/>
      <c r="E223" s="43"/>
      <c r="F223" s="43"/>
      <c r="G223" s="43"/>
      <c r="H223" s="43"/>
      <c r="I223" s="43"/>
      <c r="J223" s="43"/>
      <c r="K223" s="43"/>
      <c r="L223" s="43"/>
      <c r="M223" s="43"/>
      <c r="N223" s="43"/>
      <c r="O223" s="43"/>
      <c r="P223" s="43"/>
      <c r="Q223" s="43"/>
      <c r="R223" s="43"/>
      <c r="S223" s="43"/>
      <c r="T223" s="43"/>
      <c r="U223" s="43"/>
    </row>
    <row r="224" spans="1:21" customFormat="1">
      <c r="A224" s="46" t="s">
        <v>987</v>
      </c>
      <c r="B224" s="47" t="s">
        <v>988</v>
      </c>
      <c r="C224" s="46" t="s">
        <v>575</v>
      </c>
      <c r="D224" s="43"/>
      <c r="E224" s="43"/>
      <c r="F224" s="43"/>
      <c r="G224" s="43"/>
      <c r="H224" s="43"/>
      <c r="I224" s="43"/>
      <c r="J224" s="43"/>
      <c r="K224" s="43"/>
      <c r="L224" s="43"/>
      <c r="M224" s="43"/>
      <c r="N224" s="43"/>
      <c r="O224" s="43"/>
      <c r="P224" s="43"/>
      <c r="Q224" s="43"/>
      <c r="R224" s="43"/>
      <c r="S224" s="43"/>
      <c r="T224" s="43"/>
      <c r="U224" s="43"/>
    </row>
    <row r="225" spans="1:23">
      <c r="A225" s="46" t="s">
        <v>989</v>
      </c>
      <c r="B225" s="47" t="s">
        <v>990</v>
      </c>
      <c r="C225" s="46" t="s">
        <v>575</v>
      </c>
    </row>
    <row r="226" spans="1:23">
      <c r="A226" s="46" t="s">
        <v>991</v>
      </c>
      <c r="B226" s="47" t="s">
        <v>992</v>
      </c>
      <c r="C226" s="46" t="s">
        <v>557</v>
      </c>
    </row>
    <row r="227" spans="1:23">
      <c r="A227" s="46" t="s">
        <v>993</v>
      </c>
      <c r="B227" s="47" t="s">
        <v>994</v>
      </c>
      <c r="C227" s="46" t="s">
        <v>557</v>
      </c>
      <c r="H227" s="43" t="s">
        <v>371</v>
      </c>
      <c r="J227" s="43" t="s">
        <v>371</v>
      </c>
    </row>
    <row r="228" spans="1:23">
      <c r="A228" s="46" t="s">
        <v>995</v>
      </c>
      <c r="B228" s="47" t="s">
        <v>996</v>
      </c>
      <c r="C228" s="46" t="s">
        <v>557</v>
      </c>
    </row>
    <row r="229" spans="1:23">
      <c r="A229" s="46" t="s">
        <v>997</v>
      </c>
      <c r="B229" s="47" t="s">
        <v>998</v>
      </c>
      <c r="C229" s="46" t="s">
        <v>557</v>
      </c>
      <c r="D229" s="43" t="s">
        <v>371</v>
      </c>
      <c r="E229" s="43" t="s">
        <v>371</v>
      </c>
      <c r="F229" s="43" t="s">
        <v>371</v>
      </c>
      <c r="G229" s="43" t="s">
        <v>371</v>
      </c>
      <c r="H229" s="43" t="s">
        <v>371</v>
      </c>
      <c r="I229" s="43" t="s">
        <v>371</v>
      </c>
      <c r="J229" s="43" t="s">
        <v>371</v>
      </c>
      <c r="L229" s="43" t="s">
        <v>371</v>
      </c>
      <c r="N229" s="43" t="s">
        <v>371</v>
      </c>
      <c r="O229" s="43" t="s">
        <v>371</v>
      </c>
      <c r="P229" s="43" t="s">
        <v>371</v>
      </c>
      <c r="Q229" s="43" t="s">
        <v>371</v>
      </c>
      <c r="R229" s="43" t="s">
        <v>371</v>
      </c>
      <c r="S229" s="43" t="s">
        <v>371</v>
      </c>
    </row>
    <row r="230" spans="1:23">
      <c r="A230" s="46" t="s">
        <v>999</v>
      </c>
      <c r="B230" s="47" t="s">
        <v>1000</v>
      </c>
      <c r="C230" s="46" t="s">
        <v>557</v>
      </c>
    </row>
    <row r="231" spans="1:23">
      <c r="A231" s="46" t="s">
        <v>1001</v>
      </c>
      <c r="B231" s="47" t="s">
        <v>1002</v>
      </c>
      <c r="C231" s="46" t="s">
        <v>557</v>
      </c>
      <c r="W231" s="43" t="s">
        <v>371</v>
      </c>
    </row>
    <row r="232" spans="1:23">
      <c r="A232" s="46" t="s">
        <v>1003</v>
      </c>
      <c r="B232" s="47" t="s">
        <v>1004</v>
      </c>
      <c r="C232" s="46" t="s">
        <v>557</v>
      </c>
      <c r="F232" s="43" t="s">
        <v>371</v>
      </c>
    </row>
    <row r="233" spans="1:23">
      <c r="A233" s="46" t="s">
        <v>1005</v>
      </c>
      <c r="B233" s="47" t="s">
        <v>1006</v>
      </c>
      <c r="C233" s="46" t="s">
        <v>570</v>
      </c>
    </row>
    <row r="234" spans="1:23">
      <c r="A234" s="46" t="s">
        <v>1007</v>
      </c>
      <c r="B234" s="47" t="s">
        <v>584</v>
      </c>
      <c r="C234" s="46" t="s">
        <v>585</v>
      </c>
    </row>
    <row r="235" spans="1:23">
      <c r="A235" s="46" t="s">
        <v>1008</v>
      </c>
      <c r="B235" s="47" t="s">
        <v>1009</v>
      </c>
      <c r="C235" s="46" t="s">
        <v>557</v>
      </c>
      <c r="U235" s="43" t="s">
        <v>371</v>
      </c>
    </row>
    <row r="236" spans="1:23">
      <c r="A236" s="46" t="s">
        <v>1010</v>
      </c>
      <c r="B236" s="47" t="s">
        <v>1011</v>
      </c>
      <c r="C236" s="46" t="s">
        <v>570</v>
      </c>
      <c r="U236" s="43" t="s">
        <v>371</v>
      </c>
    </row>
    <row r="237" spans="1:23">
      <c r="A237" s="46" t="s">
        <v>1012</v>
      </c>
      <c r="B237" s="47" t="s">
        <v>1013</v>
      </c>
      <c r="C237" s="46" t="s">
        <v>570</v>
      </c>
    </row>
    <row r="238" spans="1:23">
      <c r="A238" s="46" t="s">
        <v>1014</v>
      </c>
      <c r="B238" s="47" t="s">
        <v>1015</v>
      </c>
      <c r="C238" s="46" t="s">
        <v>575</v>
      </c>
    </row>
    <row r="239" spans="1:23">
      <c r="A239" s="46" t="s">
        <v>1016</v>
      </c>
      <c r="B239" s="47" t="s">
        <v>1017</v>
      </c>
      <c r="C239" s="46" t="s">
        <v>575</v>
      </c>
    </row>
    <row r="240" spans="1:23">
      <c r="A240" s="46" t="s">
        <v>1018</v>
      </c>
      <c r="B240" s="47" t="s">
        <v>1019</v>
      </c>
      <c r="C240" s="46" t="s">
        <v>575</v>
      </c>
      <c r="U240" s="43" t="s">
        <v>371</v>
      </c>
    </row>
    <row r="241" spans="1:23">
      <c r="A241" s="46" t="s">
        <v>1020</v>
      </c>
      <c r="B241" s="47" t="s">
        <v>1021</v>
      </c>
      <c r="C241" s="46" t="s">
        <v>557</v>
      </c>
      <c r="U241" s="43" t="s">
        <v>371</v>
      </c>
    </row>
    <row r="242" spans="1:23">
      <c r="A242" s="46" t="s">
        <v>1022</v>
      </c>
      <c r="B242" s="47" t="s">
        <v>1023</v>
      </c>
      <c r="C242" s="46" t="s">
        <v>575</v>
      </c>
    </row>
    <row r="243" spans="1:23">
      <c r="A243" s="46" t="s">
        <v>1024</v>
      </c>
      <c r="B243" s="47" t="s">
        <v>1025</v>
      </c>
      <c r="C243" s="46" t="s">
        <v>557</v>
      </c>
    </row>
    <row r="244" spans="1:23">
      <c r="A244" s="46" t="s">
        <v>1026</v>
      </c>
      <c r="B244" s="47" t="s">
        <v>1027</v>
      </c>
      <c r="C244" s="46" t="s">
        <v>557</v>
      </c>
    </row>
    <row r="245" spans="1:23">
      <c r="A245" s="46" t="s">
        <v>1028</v>
      </c>
      <c r="B245" s="47" t="s">
        <v>1029</v>
      </c>
      <c r="C245" s="46" t="s">
        <v>557</v>
      </c>
    </row>
    <row r="246" spans="1:23">
      <c r="A246" s="46" t="s">
        <v>1030</v>
      </c>
      <c r="B246" s="47" t="s">
        <v>1031</v>
      </c>
      <c r="C246" s="46" t="s">
        <v>557</v>
      </c>
    </row>
    <row r="247" spans="1:23">
      <c r="A247" s="46" t="s">
        <v>1032</v>
      </c>
      <c r="B247" s="47" t="s">
        <v>1033</v>
      </c>
      <c r="C247" s="46" t="s">
        <v>557</v>
      </c>
      <c r="D247" s="43" t="s">
        <v>371</v>
      </c>
      <c r="E247" s="43" t="s">
        <v>371</v>
      </c>
    </row>
    <row r="248" spans="1:23">
      <c r="A248" s="46" t="s">
        <v>1034</v>
      </c>
      <c r="B248" s="47" t="s">
        <v>1035</v>
      </c>
      <c r="C248" s="46" t="s">
        <v>557</v>
      </c>
      <c r="W248" s="43" t="s">
        <v>371</v>
      </c>
    </row>
    <row r="249" spans="1:23">
      <c r="A249" s="46" t="s">
        <v>1036</v>
      </c>
      <c r="B249" s="47" t="s">
        <v>1037</v>
      </c>
      <c r="C249" s="46" t="s">
        <v>557</v>
      </c>
    </row>
    <row r="250" spans="1:23">
      <c r="A250" s="46" t="s">
        <v>1038</v>
      </c>
      <c r="B250" s="47" t="s">
        <v>1039</v>
      </c>
      <c r="C250" s="46" t="s">
        <v>557</v>
      </c>
    </row>
    <row r="251" spans="1:23">
      <c r="A251" s="46" t="s">
        <v>1040</v>
      </c>
      <c r="B251" s="47" t="s">
        <v>1041</v>
      </c>
      <c r="C251" s="46" t="s">
        <v>557</v>
      </c>
    </row>
    <row r="252" spans="1:23">
      <c r="A252" s="46" t="s">
        <v>1042</v>
      </c>
      <c r="B252" s="47" t="s">
        <v>1043</v>
      </c>
      <c r="C252" s="46" t="s">
        <v>557</v>
      </c>
    </row>
    <row r="253" spans="1:23">
      <c r="A253" s="46" t="s">
        <v>1044</v>
      </c>
      <c r="B253" s="47" t="s">
        <v>1045</v>
      </c>
      <c r="C253" s="46" t="s">
        <v>557</v>
      </c>
    </row>
    <row r="254" spans="1:23">
      <c r="A254" s="46" t="s">
        <v>1046</v>
      </c>
      <c r="B254" s="47" t="s">
        <v>1047</v>
      </c>
      <c r="C254" s="46" t="s">
        <v>557</v>
      </c>
    </row>
    <row r="255" spans="1:23">
      <c r="A255" s="46" t="s">
        <v>1048</v>
      </c>
      <c r="B255" s="47" t="s">
        <v>1049</v>
      </c>
      <c r="C255" s="46" t="s">
        <v>557</v>
      </c>
      <c r="T255" s="43" t="s">
        <v>371</v>
      </c>
    </row>
    <row r="256" spans="1:23">
      <c r="A256" s="46" t="s">
        <v>1050</v>
      </c>
      <c r="B256" s="47" t="s">
        <v>1051</v>
      </c>
      <c r="C256" s="46" t="s">
        <v>557</v>
      </c>
      <c r="T256" s="43" t="s">
        <v>371</v>
      </c>
      <c r="W256" s="43" t="s">
        <v>371</v>
      </c>
    </row>
    <row r="257" spans="1:20" customFormat="1">
      <c r="A257" s="46" t="s">
        <v>1052</v>
      </c>
      <c r="B257" s="47" t="s">
        <v>1053</v>
      </c>
      <c r="C257" s="46" t="s">
        <v>557</v>
      </c>
      <c r="D257" s="43"/>
      <c r="E257" s="43"/>
      <c r="F257" s="43"/>
      <c r="G257" s="43"/>
      <c r="H257" s="43"/>
      <c r="I257" s="43"/>
      <c r="J257" s="43"/>
      <c r="K257" s="43"/>
      <c r="L257" s="43"/>
      <c r="M257" s="43"/>
      <c r="N257" s="43"/>
      <c r="O257" s="43"/>
      <c r="P257" s="43"/>
      <c r="Q257" s="43"/>
      <c r="R257" s="43"/>
      <c r="S257" s="43"/>
      <c r="T257" s="43"/>
    </row>
    <row r="258" spans="1:20" customFormat="1">
      <c r="A258" s="46" t="s">
        <v>1054</v>
      </c>
      <c r="B258" s="47" t="s">
        <v>1055</v>
      </c>
      <c r="C258" s="46" t="s">
        <v>557</v>
      </c>
      <c r="D258" s="43"/>
      <c r="E258" s="43"/>
      <c r="F258" s="43"/>
      <c r="G258" s="43"/>
      <c r="H258" s="43"/>
      <c r="I258" s="43"/>
      <c r="J258" s="43"/>
      <c r="K258" s="43"/>
      <c r="L258" s="43"/>
      <c r="M258" s="43"/>
      <c r="N258" s="43"/>
      <c r="O258" s="43"/>
      <c r="P258" s="43"/>
      <c r="Q258" s="43"/>
      <c r="R258" s="43"/>
      <c r="S258" s="43"/>
      <c r="T258" s="43" t="s">
        <v>371</v>
      </c>
    </row>
  </sheetData>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2C6-FF03-F141-8681-6BB9B9457370}">
  <sheetPr>
    <tabColor theme="6" tint="-0.249977111117893"/>
  </sheetPr>
  <dimension ref="A1:FR45"/>
  <sheetViews>
    <sheetView topLeftCell="B1" zoomScale="70" zoomScaleNormal="70" workbookViewId="0">
      <pane xSplit="1" topLeftCell="C1" activePane="topRight" state="frozen"/>
      <selection activeCell="A3" sqref="A3:A27"/>
      <selection pane="topRight" activeCell="B1" sqref="B1"/>
    </sheetView>
  </sheetViews>
  <sheetFormatPr baseColWidth="10" defaultColWidth="10.83203125" defaultRowHeight="16"/>
  <cols>
    <col min="1" max="1" width="63.33203125" style="26" hidden="1" customWidth="1"/>
    <col min="2" max="2" width="15.83203125" style="21" customWidth="1"/>
    <col min="3" max="3" width="15.6640625" style="21" customWidth="1"/>
    <col min="4" max="4" width="40.83203125" customWidth="1"/>
    <col min="5" max="175" width="40.83203125" style="13" customWidth="1"/>
    <col min="176" max="16384" width="10.83203125" style="13"/>
  </cols>
  <sheetData>
    <row r="1" spans="1:174" ht="15">
      <c r="A1" s="17"/>
      <c r="B1" s="16"/>
      <c r="C1" s="16"/>
      <c r="D1" s="22" t="s">
        <v>66</v>
      </c>
      <c r="E1" s="22" t="s">
        <v>66</v>
      </c>
      <c r="F1" s="22" t="s">
        <v>66</v>
      </c>
      <c r="G1" s="22" t="s">
        <v>66</v>
      </c>
      <c r="H1" s="22" t="s">
        <v>66</v>
      </c>
      <c r="I1" s="22" t="s">
        <v>66</v>
      </c>
      <c r="J1" s="22" t="s">
        <v>66</v>
      </c>
      <c r="K1" s="22" t="s">
        <v>66</v>
      </c>
      <c r="L1" s="22" t="s">
        <v>66</v>
      </c>
      <c r="M1" s="22" t="s">
        <v>66</v>
      </c>
      <c r="N1" s="22" t="s">
        <v>66</v>
      </c>
      <c r="O1" s="22" t="s">
        <v>66</v>
      </c>
      <c r="P1" s="22" t="s">
        <v>66</v>
      </c>
      <c r="Q1" s="22" t="s">
        <v>66</v>
      </c>
      <c r="R1" s="22" t="s">
        <v>66</v>
      </c>
      <c r="S1" s="22" t="s">
        <v>66</v>
      </c>
      <c r="T1" s="22" t="s">
        <v>66</v>
      </c>
      <c r="U1" s="22" t="s">
        <v>66</v>
      </c>
      <c r="V1" s="22" t="s">
        <v>66</v>
      </c>
      <c r="W1" s="22" t="s">
        <v>66</v>
      </c>
      <c r="X1" s="22" t="s">
        <v>66</v>
      </c>
      <c r="Y1" s="22" t="s">
        <v>66</v>
      </c>
      <c r="Z1" s="22" t="s">
        <v>66</v>
      </c>
      <c r="AA1" s="22" t="s">
        <v>66</v>
      </c>
      <c r="AB1" s="22" t="s">
        <v>66</v>
      </c>
      <c r="AC1" s="22" t="s">
        <v>66</v>
      </c>
      <c r="AD1" s="22" t="s">
        <v>66</v>
      </c>
      <c r="AE1" s="22" t="s">
        <v>66</v>
      </c>
      <c r="AF1" s="22" t="s">
        <v>66</v>
      </c>
      <c r="AG1" s="22" t="s">
        <v>66</v>
      </c>
      <c r="AH1" s="22" t="s">
        <v>66</v>
      </c>
      <c r="AI1" s="22" t="s">
        <v>66</v>
      </c>
      <c r="AJ1" s="22" t="s">
        <v>66</v>
      </c>
      <c r="AK1" s="22" t="s">
        <v>66</v>
      </c>
      <c r="AL1" s="22" t="s">
        <v>66</v>
      </c>
      <c r="AM1" s="22" t="s">
        <v>66</v>
      </c>
      <c r="AN1" s="22" t="s">
        <v>66</v>
      </c>
      <c r="AO1" s="22" t="s">
        <v>66</v>
      </c>
      <c r="AP1" s="22" t="s">
        <v>66</v>
      </c>
      <c r="AQ1" s="22" t="s">
        <v>66</v>
      </c>
      <c r="AR1" s="22" t="s">
        <v>66</v>
      </c>
      <c r="AS1" s="22" t="s">
        <v>66</v>
      </c>
      <c r="AT1" s="22" t="s">
        <v>66</v>
      </c>
      <c r="AU1" s="22" t="s">
        <v>66</v>
      </c>
      <c r="AV1" s="22" t="s">
        <v>66</v>
      </c>
      <c r="AW1" s="22" t="s">
        <v>66</v>
      </c>
      <c r="AX1" s="22" t="s">
        <v>66</v>
      </c>
      <c r="AY1" s="22" t="s">
        <v>66</v>
      </c>
      <c r="AZ1" s="22" t="s">
        <v>66</v>
      </c>
      <c r="BA1" s="22" t="s">
        <v>66</v>
      </c>
      <c r="BB1" s="22" t="s">
        <v>66</v>
      </c>
      <c r="BC1" s="22" t="s">
        <v>66</v>
      </c>
      <c r="BD1" s="22" t="s">
        <v>66</v>
      </c>
      <c r="BE1" s="22" t="s">
        <v>66</v>
      </c>
      <c r="BF1" s="22" t="s">
        <v>66</v>
      </c>
      <c r="BG1" s="22" t="s">
        <v>66</v>
      </c>
      <c r="BH1" s="22" t="s">
        <v>66</v>
      </c>
      <c r="BI1" s="22" t="s">
        <v>66</v>
      </c>
      <c r="BJ1" s="22" t="s">
        <v>66</v>
      </c>
      <c r="BK1" s="22" t="s">
        <v>66</v>
      </c>
      <c r="BL1" s="22" t="s">
        <v>66</v>
      </c>
      <c r="BM1" s="22" t="s">
        <v>66</v>
      </c>
      <c r="BN1" s="22" t="s">
        <v>66</v>
      </c>
      <c r="BO1" s="22" t="s">
        <v>66</v>
      </c>
      <c r="BP1" s="22" t="s">
        <v>66</v>
      </c>
      <c r="BQ1" s="22" t="s">
        <v>66</v>
      </c>
      <c r="BR1" s="22" t="s">
        <v>66</v>
      </c>
      <c r="BS1" s="22" t="s">
        <v>66</v>
      </c>
      <c r="BT1" s="22" t="s">
        <v>66</v>
      </c>
      <c r="BU1" s="22" t="s">
        <v>66</v>
      </c>
      <c r="BV1" s="22" t="s">
        <v>66</v>
      </c>
      <c r="BW1" s="22" t="s">
        <v>66</v>
      </c>
      <c r="BX1" s="22" t="s">
        <v>66</v>
      </c>
      <c r="BY1" s="22" t="s">
        <v>66</v>
      </c>
      <c r="BZ1" s="22" t="s">
        <v>66</v>
      </c>
      <c r="CA1" s="22" t="s">
        <v>67</v>
      </c>
      <c r="CB1" s="22" t="s">
        <v>67</v>
      </c>
      <c r="CC1" s="22" t="s">
        <v>67</v>
      </c>
      <c r="CD1" s="22" t="s">
        <v>67</v>
      </c>
      <c r="CE1" s="22" t="s">
        <v>67</v>
      </c>
      <c r="CF1" s="22" t="s">
        <v>67</v>
      </c>
      <c r="CG1" s="22" t="s">
        <v>67</v>
      </c>
      <c r="CH1" s="22" t="s">
        <v>67</v>
      </c>
      <c r="CI1" s="22" t="s">
        <v>67</v>
      </c>
      <c r="CJ1" s="22" t="s">
        <v>67</v>
      </c>
      <c r="CK1" s="22" t="s">
        <v>67</v>
      </c>
      <c r="CL1" s="22" t="s">
        <v>67</v>
      </c>
      <c r="CM1" s="22" t="s">
        <v>67</v>
      </c>
      <c r="CN1" s="22" t="s">
        <v>67</v>
      </c>
      <c r="CO1" s="22" t="s">
        <v>67</v>
      </c>
      <c r="CP1" s="22" t="s">
        <v>67</v>
      </c>
      <c r="CQ1" s="22" t="s">
        <v>67</v>
      </c>
      <c r="CR1" s="22" t="s">
        <v>67</v>
      </c>
      <c r="CS1" s="22" t="s">
        <v>67</v>
      </c>
      <c r="CT1" s="22" t="s">
        <v>67</v>
      </c>
      <c r="CU1" s="22" t="s">
        <v>67</v>
      </c>
      <c r="CV1" s="22" t="s">
        <v>67</v>
      </c>
      <c r="CW1" s="22" t="s">
        <v>67</v>
      </c>
      <c r="CX1" s="22" t="s">
        <v>67</v>
      </c>
      <c r="CY1" s="22" t="s">
        <v>67</v>
      </c>
      <c r="CZ1" s="22" t="s">
        <v>67</v>
      </c>
      <c r="DA1" s="22" t="s">
        <v>67</v>
      </c>
      <c r="DB1" s="22" t="s">
        <v>67</v>
      </c>
      <c r="DC1" s="22" t="s">
        <v>68</v>
      </c>
      <c r="DD1" s="22" t="s">
        <v>68</v>
      </c>
      <c r="DE1" s="22" t="s">
        <v>68</v>
      </c>
      <c r="DF1" s="22" t="s">
        <v>68</v>
      </c>
      <c r="DG1" s="22" t="s">
        <v>68</v>
      </c>
      <c r="DH1" s="22" t="s">
        <v>68</v>
      </c>
      <c r="DI1" s="22" t="s">
        <v>68</v>
      </c>
      <c r="DJ1" s="22" t="s">
        <v>68</v>
      </c>
      <c r="DK1" s="22" t="s">
        <v>68</v>
      </c>
      <c r="DL1" s="22" t="s">
        <v>67</v>
      </c>
      <c r="DM1" s="22" t="s">
        <v>67</v>
      </c>
      <c r="DN1" s="22" t="s">
        <v>67</v>
      </c>
      <c r="DO1" s="22" t="s">
        <v>67</v>
      </c>
      <c r="DP1" s="22" t="s">
        <v>67</v>
      </c>
      <c r="DQ1" s="22" t="s">
        <v>67</v>
      </c>
      <c r="DR1" s="22" t="s">
        <v>67</v>
      </c>
      <c r="DS1" s="22" t="s">
        <v>67</v>
      </c>
      <c r="DT1" s="22" t="s">
        <v>67</v>
      </c>
      <c r="DU1" s="22" t="s">
        <v>67</v>
      </c>
      <c r="DV1" s="22" t="s">
        <v>68</v>
      </c>
      <c r="DW1" s="22" t="s">
        <v>68</v>
      </c>
      <c r="DX1" s="22" t="s">
        <v>68</v>
      </c>
      <c r="DY1" s="22" t="s">
        <v>68</v>
      </c>
      <c r="DZ1" s="22" t="s">
        <v>68</v>
      </c>
      <c r="EA1" s="22" t="s">
        <v>68</v>
      </c>
      <c r="EB1" s="22" t="s">
        <v>68</v>
      </c>
      <c r="EC1" s="22" t="s">
        <v>68</v>
      </c>
      <c r="ED1" s="22" t="s">
        <v>68</v>
      </c>
      <c r="EE1" s="22" t="s">
        <v>68</v>
      </c>
      <c r="EF1" s="22" t="s">
        <v>68</v>
      </c>
      <c r="EG1" s="22" t="s">
        <v>68</v>
      </c>
      <c r="EH1" s="22" t="s">
        <v>68</v>
      </c>
      <c r="EI1" s="22" t="s">
        <v>68</v>
      </c>
      <c r="EJ1" s="22" t="s">
        <v>68</v>
      </c>
      <c r="EK1" s="22" t="s">
        <v>68</v>
      </c>
      <c r="EL1" s="22" t="s">
        <v>68</v>
      </c>
      <c r="EM1" s="22" t="s">
        <v>68</v>
      </c>
      <c r="EN1" s="22" t="s">
        <v>68</v>
      </c>
      <c r="EO1" s="22" t="s">
        <v>68</v>
      </c>
      <c r="EP1" s="22" t="s">
        <v>68</v>
      </c>
      <c r="EQ1" s="22" t="s">
        <v>68</v>
      </c>
      <c r="ER1" s="22" t="s">
        <v>68</v>
      </c>
      <c r="ES1" s="22" t="s">
        <v>68</v>
      </c>
      <c r="ET1" s="22" t="s">
        <v>68</v>
      </c>
      <c r="EU1" s="22" t="s">
        <v>68</v>
      </c>
      <c r="EV1" s="22" t="s">
        <v>68</v>
      </c>
      <c r="EW1" s="22" t="s">
        <v>68</v>
      </c>
      <c r="EX1" s="22" t="s">
        <v>68</v>
      </c>
      <c r="EY1" s="22" t="s">
        <v>68</v>
      </c>
      <c r="EZ1" s="22" t="s">
        <v>68</v>
      </c>
      <c r="FA1" s="22" t="s">
        <v>68</v>
      </c>
      <c r="FB1" s="22" t="s">
        <v>68</v>
      </c>
      <c r="FC1" s="22" t="s">
        <v>68</v>
      </c>
      <c r="FD1" s="22" t="s">
        <v>68</v>
      </c>
      <c r="FE1" s="22" t="s">
        <v>68</v>
      </c>
      <c r="FF1" s="22" t="s">
        <v>68</v>
      </c>
      <c r="FG1" s="22" t="s">
        <v>68</v>
      </c>
      <c r="FH1" s="22" t="s">
        <v>68</v>
      </c>
      <c r="FI1" s="22" t="s">
        <v>68</v>
      </c>
      <c r="FJ1" s="22" t="s">
        <v>68</v>
      </c>
      <c r="FK1" s="22" t="s">
        <v>68</v>
      </c>
      <c r="FL1" s="22" t="s">
        <v>68</v>
      </c>
      <c r="FM1" s="22" t="s">
        <v>68</v>
      </c>
      <c r="FN1" s="22" t="s">
        <v>68</v>
      </c>
      <c r="FO1" s="22" t="s">
        <v>68</v>
      </c>
      <c r="FP1" s="22" t="s">
        <v>68</v>
      </c>
      <c r="FQ1" s="22" t="s">
        <v>68</v>
      </c>
      <c r="FR1" s="22" t="s">
        <v>68</v>
      </c>
    </row>
    <row r="2" spans="1:174" ht="15">
      <c r="A2" s="17"/>
      <c r="B2" s="16"/>
      <c r="C2" s="16"/>
      <c r="D2" s="23" t="s">
        <v>69</v>
      </c>
      <c r="E2" s="23" t="s">
        <v>70</v>
      </c>
      <c r="F2" s="23" t="s">
        <v>71</v>
      </c>
      <c r="G2" s="23" t="s">
        <v>72</v>
      </c>
      <c r="H2" s="23" t="s">
        <v>73</v>
      </c>
      <c r="I2" s="23" t="s">
        <v>74</v>
      </c>
      <c r="J2" s="23">
        <v>1.7</v>
      </c>
      <c r="K2" s="23">
        <v>1.8</v>
      </c>
      <c r="L2" s="23" t="s">
        <v>75</v>
      </c>
      <c r="M2" s="23" t="s">
        <v>76</v>
      </c>
      <c r="N2" s="23" t="s">
        <v>77</v>
      </c>
      <c r="O2" s="23" t="s">
        <v>78</v>
      </c>
      <c r="P2" s="23" t="s">
        <v>79</v>
      </c>
      <c r="Q2" s="23" t="s">
        <v>80</v>
      </c>
      <c r="R2" s="23" t="s">
        <v>81</v>
      </c>
      <c r="S2" s="23" t="s">
        <v>82</v>
      </c>
      <c r="T2" s="23" t="s">
        <v>83</v>
      </c>
      <c r="U2" s="23" t="s">
        <v>84</v>
      </c>
      <c r="V2" s="23">
        <v>3.1</v>
      </c>
      <c r="W2" s="23">
        <v>3.2</v>
      </c>
      <c r="X2" s="23">
        <v>3.3</v>
      </c>
      <c r="Y2" s="23">
        <v>3.4</v>
      </c>
      <c r="Z2" s="23">
        <v>3.5</v>
      </c>
      <c r="AA2" s="23">
        <v>3.6</v>
      </c>
      <c r="AB2" s="23">
        <v>3.7</v>
      </c>
      <c r="AC2" s="23">
        <v>4.0999999999999996</v>
      </c>
      <c r="AD2" s="23">
        <v>4.2</v>
      </c>
      <c r="AE2" s="23">
        <v>4.3</v>
      </c>
      <c r="AF2" s="23">
        <v>4.4000000000000004</v>
      </c>
      <c r="AG2" s="23">
        <v>4.5</v>
      </c>
      <c r="AH2" s="23">
        <v>4.5999999999999996</v>
      </c>
      <c r="AI2" s="23">
        <v>4.7</v>
      </c>
      <c r="AJ2" s="23">
        <v>4.8</v>
      </c>
      <c r="AK2" s="23">
        <v>4.9000000000000004</v>
      </c>
      <c r="AL2" s="23">
        <v>5.0999999999999996</v>
      </c>
      <c r="AM2" s="23">
        <v>5.2</v>
      </c>
      <c r="AN2" s="23">
        <v>5.3</v>
      </c>
      <c r="AO2" s="23">
        <v>5.4</v>
      </c>
      <c r="AP2" s="23">
        <v>5.5</v>
      </c>
      <c r="AQ2" s="23" t="s">
        <v>85</v>
      </c>
      <c r="AR2" s="23" t="s">
        <v>86</v>
      </c>
      <c r="AS2" s="23" t="s">
        <v>87</v>
      </c>
      <c r="AT2" s="23" t="s">
        <v>88</v>
      </c>
      <c r="AU2" s="23" t="s">
        <v>89</v>
      </c>
      <c r="AV2" s="23" t="s">
        <v>90</v>
      </c>
      <c r="AW2" s="23">
        <v>6.7</v>
      </c>
      <c r="AX2" s="23">
        <v>6.8</v>
      </c>
      <c r="AY2" s="23" t="s">
        <v>91</v>
      </c>
      <c r="AZ2" s="23" t="s">
        <v>92</v>
      </c>
      <c r="BA2" s="23" t="s">
        <v>93</v>
      </c>
      <c r="BB2" s="23" t="s">
        <v>94</v>
      </c>
      <c r="BC2" s="23" t="s">
        <v>95</v>
      </c>
      <c r="BD2" s="23" t="s">
        <v>96</v>
      </c>
      <c r="BE2" s="23" t="s">
        <v>97</v>
      </c>
      <c r="BF2" s="23" t="s">
        <v>98</v>
      </c>
      <c r="BG2" s="23">
        <v>7.9</v>
      </c>
      <c r="BH2" s="23" t="s">
        <v>99</v>
      </c>
      <c r="BI2" s="23" t="s">
        <v>100</v>
      </c>
      <c r="BJ2" s="23" t="s">
        <v>101</v>
      </c>
      <c r="BK2" s="23" t="s">
        <v>102</v>
      </c>
      <c r="BL2" s="23" t="s">
        <v>103</v>
      </c>
      <c r="BM2" s="23" t="s">
        <v>104</v>
      </c>
      <c r="BN2" s="23" t="s">
        <v>105</v>
      </c>
      <c r="BO2" s="23">
        <v>8.6999999999999993</v>
      </c>
      <c r="BP2" s="23">
        <v>8.8000000000000007</v>
      </c>
      <c r="BQ2" s="23" t="s">
        <v>106</v>
      </c>
      <c r="BR2" s="23" t="s">
        <v>107</v>
      </c>
      <c r="BS2" s="23" t="s">
        <v>108</v>
      </c>
      <c r="BT2" s="23" t="s">
        <v>109</v>
      </c>
      <c r="BU2" s="23" t="s">
        <v>110</v>
      </c>
      <c r="BV2" s="23" t="s">
        <v>111</v>
      </c>
      <c r="BW2" s="23" t="s">
        <v>112</v>
      </c>
      <c r="BX2" s="23" t="s">
        <v>113</v>
      </c>
      <c r="BY2" s="23" t="s">
        <v>114</v>
      </c>
      <c r="BZ2" s="23">
        <v>10.5</v>
      </c>
      <c r="CA2" s="48" t="s">
        <v>115</v>
      </c>
      <c r="CB2" s="48" t="s">
        <v>116</v>
      </c>
      <c r="CC2" s="48" t="s">
        <v>117</v>
      </c>
      <c r="CD2" s="48" t="s">
        <v>118</v>
      </c>
      <c r="CE2" s="48" t="s">
        <v>119</v>
      </c>
      <c r="CF2" s="48" t="s">
        <v>120</v>
      </c>
      <c r="CG2" s="48" t="s">
        <v>121</v>
      </c>
      <c r="CH2" s="48" t="s">
        <v>122</v>
      </c>
      <c r="CI2" s="48" t="s">
        <v>123</v>
      </c>
      <c r="CJ2" s="48" t="s">
        <v>124</v>
      </c>
      <c r="CK2" s="48" t="s">
        <v>125</v>
      </c>
      <c r="CL2" s="48" t="s">
        <v>126</v>
      </c>
      <c r="CM2" s="48" t="s">
        <v>127</v>
      </c>
      <c r="CN2" s="48" t="s">
        <v>128</v>
      </c>
      <c r="CO2" s="48" t="s">
        <v>129</v>
      </c>
      <c r="CP2" s="48" t="s">
        <v>130</v>
      </c>
      <c r="CQ2" s="48" t="s">
        <v>131</v>
      </c>
      <c r="CR2" s="48">
        <v>12.11</v>
      </c>
      <c r="CS2" s="48">
        <v>12.12</v>
      </c>
      <c r="CT2" s="23" t="s">
        <v>132</v>
      </c>
      <c r="CU2" s="23" t="s">
        <v>133</v>
      </c>
      <c r="CV2" s="23" t="s">
        <v>134</v>
      </c>
      <c r="CW2" s="23" t="s">
        <v>135</v>
      </c>
      <c r="CX2" s="23" t="s">
        <v>136</v>
      </c>
      <c r="CY2" s="23" t="s">
        <v>137</v>
      </c>
      <c r="CZ2" s="23" t="s">
        <v>138</v>
      </c>
      <c r="DA2" s="23" t="s">
        <v>139</v>
      </c>
      <c r="DB2" s="23" t="s">
        <v>140</v>
      </c>
      <c r="DC2" s="22" t="s">
        <v>141</v>
      </c>
      <c r="DD2" s="22" t="s">
        <v>142</v>
      </c>
      <c r="DE2" s="22" t="s">
        <v>143</v>
      </c>
      <c r="DF2" s="22" t="s">
        <v>144</v>
      </c>
      <c r="DG2" s="22" t="s">
        <v>145</v>
      </c>
      <c r="DH2" s="22" t="s">
        <v>146</v>
      </c>
      <c r="DI2" s="22" t="s">
        <v>147</v>
      </c>
      <c r="DJ2" s="22">
        <v>14.8</v>
      </c>
      <c r="DK2" s="22">
        <v>14.9</v>
      </c>
      <c r="DL2" s="48" t="s">
        <v>148</v>
      </c>
      <c r="DM2" s="48" t="s">
        <v>149</v>
      </c>
      <c r="DN2" s="48" t="s">
        <v>150</v>
      </c>
      <c r="DO2" s="48" t="s">
        <v>151</v>
      </c>
      <c r="DP2" s="48" t="s">
        <v>152</v>
      </c>
      <c r="DQ2" s="48" t="s">
        <v>153</v>
      </c>
      <c r="DR2" s="48" t="s">
        <v>154</v>
      </c>
      <c r="DS2" s="48" t="s">
        <v>155</v>
      </c>
      <c r="DT2" s="48" t="s">
        <v>156</v>
      </c>
      <c r="DU2" s="48" t="s">
        <v>157</v>
      </c>
      <c r="DV2" s="23" t="s">
        <v>158</v>
      </c>
      <c r="DW2" s="23" t="s">
        <v>159</v>
      </c>
      <c r="DX2" s="23" t="s">
        <v>160</v>
      </c>
      <c r="DY2" s="23" t="s">
        <v>161</v>
      </c>
      <c r="DZ2" s="23" t="s">
        <v>162</v>
      </c>
      <c r="EA2" s="23" t="s">
        <v>163</v>
      </c>
      <c r="EB2" s="23" t="s">
        <v>164</v>
      </c>
      <c r="EC2" s="23" t="s">
        <v>165</v>
      </c>
      <c r="ED2" s="23" t="s">
        <v>166</v>
      </c>
      <c r="EE2" s="23" t="s">
        <v>167</v>
      </c>
      <c r="EF2" s="23" t="s">
        <v>168</v>
      </c>
      <c r="EG2" s="23" t="s">
        <v>169</v>
      </c>
      <c r="EH2" s="23" t="s">
        <v>170</v>
      </c>
      <c r="EI2" s="23" t="s">
        <v>171</v>
      </c>
      <c r="EJ2" s="23" t="s">
        <v>172</v>
      </c>
      <c r="EK2" s="23" t="s">
        <v>173</v>
      </c>
      <c r="EL2" s="23" t="s">
        <v>174</v>
      </c>
      <c r="EM2" s="23" t="s">
        <v>175</v>
      </c>
      <c r="EN2" s="23">
        <v>17.600000000000001</v>
      </c>
      <c r="EO2" s="23">
        <v>17.7</v>
      </c>
      <c r="EP2" s="23">
        <v>17.8</v>
      </c>
      <c r="EQ2" s="23">
        <v>17.899999999999999</v>
      </c>
      <c r="ER2" s="48" t="s">
        <v>176</v>
      </c>
      <c r="ES2" s="48" t="s">
        <v>177</v>
      </c>
      <c r="ET2" s="48" t="s">
        <v>178</v>
      </c>
      <c r="EU2" s="48" t="s">
        <v>179</v>
      </c>
      <c r="EV2" s="48" t="s">
        <v>180</v>
      </c>
      <c r="EW2" s="48" t="s">
        <v>181</v>
      </c>
      <c r="EX2" s="48" t="s">
        <v>182</v>
      </c>
      <c r="EY2" s="48" t="s">
        <v>183</v>
      </c>
      <c r="EZ2" s="48" t="s">
        <v>184</v>
      </c>
      <c r="FA2" s="48" t="s">
        <v>185</v>
      </c>
      <c r="FB2" s="48">
        <v>18.11</v>
      </c>
      <c r="FC2" s="23" t="s">
        <v>186</v>
      </c>
      <c r="FD2" s="23" t="s">
        <v>187</v>
      </c>
      <c r="FE2" s="23" t="s">
        <v>188</v>
      </c>
      <c r="FF2" s="23" t="s">
        <v>189</v>
      </c>
      <c r="FG2" s="23" t="s">
        <v>190</v>
      </c>
      <c r="FH2" s="23" t="s">
        <v>191</v>
      </c>
      <c r="FI2" s="23" t="s">
        <v>192</v>
      </c>
      <c r="FJ2" s="23">
        <v>19.8</v>
      </c>
      <c r="FK2" s="48" t="s">
        <v>193</v>
      </c>
      <c r="FL2" s="48" t="s">
        <v>194</v>
      </c>
      <c r="FM2" s="48" t="s">
        <v>195</v>
      </c>
      <c r="FN2" s="48" t="s">
        <v>196</v>
      </c>
      <c r="FO2" s="48" t="s">
        <v>197</v>
      </c>
      <c r="FP2" s="48" t="s">
        <v>198</v>
      </c>
      <c r="FQ2" s="48" t="s">
        <v>199</v>
      </c>
      <c r="FR2" s="48" t="s">
        <v>200</v>
      </c>
    </row>
    <row r="3" spans="1:174" s="19" customFormat="1" ht="96">
      <c r="A3" s="25" t="s">
        <v>428</v>
      </c>
      <c r="B3" s="20" t="s">
        <v>430</v>
      </c>
      <c r="C3" s="20" t="s">
        <v>435</v>
      </c>
      <c r="D3" s="56" t="s">
        <v>201</v>
      </c>
      <c r="E3" s="57" t="s">
        <v>202</v>
      </c>
      <c r="F3" s="57" t="s">
        <v>203</v>
      </c>
      <c r="G3" s="56" t="s">
        <v>204</v>
      </c>
      <c r="H3" s="56" t="s">
        <v>205</v>
      </c>
      <c r="I3" s="56" t="s">
        <v>206</v>
      </c>
      <c r="J3" s="56" t="s">
        <v>427</v>
      </c>
      <c r="K3" s="57" t="s">
        <v>207</v>
      </c>
      <c r="L3" s="24" t="s">
        <v>208</v>
      </c>
      <c r="M3" s="24" t="s">
        <v>209</v>
      </c>
      <c r="N3" s="57" t="s">
        <v>210</v>
      </c>
      <c r="O3" s="24" t="s">
        <v>211</v>
      </c>
      <c r="P3" s="24" t="s">
        <v>212</v>
      </c>
      <c r="Q3" s="24" t="s">
        <v>213</v>
      </c>
      <c r="R3" s="57" t="s">
        <v>214</v>
      </c>
      <c r="S3" s="57" t="s">
        <v>215</v>
      </c>
      <c r="T3" s="57" t="s">
        <v>216</v>
      </c>
      <c r="U3" s="57" t="s">
        <v>217</v>
      </c>
      <c r="V3" s="56" t="s">
        <v>429</v>
      </c>
      <c r="W3" s="56" t="s">
        <v>218</v>
      </c>
      <c r="X3" s="57" t="s">
        <v>219</v>
      </c>
      <c r="Y3" s="56" t="s">
        <v>220</v>
      </c>
      <c r="Z3" s="56" t="s">
        <v>221</v>
      </c>
      <c r="AA3" s="56" t="s">
        <v>222</v>
      </c>
      <c r="AB3" s="56" t="s">
        <v>223</v>
      </c>
      <c r="AC3" s="56" t="s">
        <v>224</v>
      </c>
      <c r="AD3" s="56" t="s">
        <v>225</v>
      </c>
      <c r="AE3" s="56" t="s">
        <v>226</v>
      </c>
      <c r="AF3" s="56" t="s">
        <v>227</v>
      </c>
      <c r="AG3" s="56" t="s">
        <v>228</v>
      </c>
      <c r="AH3" s="57" t="s">
        <v>431</v>
      </c>
      <c r="AI3" s="56" t="s">
        <v>229</v>
      </c>
      <c r="AJ3" s="56" t="s">
        <v>230</v>
      </c>
      <c r="AK3" s="56" t="s">
        <v>231</v>
      </c>
      <c r="AL3" s="56" t="s">
        <v>232</v>
      </c>
      <c r="AM3" s="56" t="s">
        <v>432</v>
      </c>
      <c r="AN3" s="56" t="s">
        <v>234</v>
      </c>
      <c r="AO3" s="56" t="s">
        <v>235</v>
      </c>
      <c r="AP3" s="57" t="s">
        <v>236</v>
      </c>
      <c r="AQ3" s="57" t="s">
        <v>237</v>
      </c>
      <c r="AR3" s="56" t="s">
        <v>238</v>
      </c>
      <c r="AS3" s="56" t="s">
        <v>239</v>
      </c>
      <c r="AT3" s="56" t="s">
        <v>240</v>
      </c>
      <c r="AU3" s="56" t="s">
        <v>241</v>
      </c>
      <c r="AV3" s="57" t="s">
        <v>242</v>
      </c>
      <c r="AW3" s="56" t="s">
        <v>243</v>
      </c>
      <c r="AX3" s="57" t="s">
        <v>244</v>
      </c>
      <c r="AY3" s="56" t="s">
        <v>245</v>
      </c>
      <c r="AZ3" s="56" t="s">
        <v>246</v>
      </c>
      <c r="BA3" s="57" t="s">
        <v>247</v>
      </c>
      <c r="BB3" s="56" t="s">
        <v>436</v>
      </c>
      <c r="BC3" s="57" t="s">
        <v>249</v>
      </c>
      <c r="BD3" s="56" t="s">
        <v>250</v>
      </c>
      <c r="BE3" s="57" t="s">
        <v>251</v>
      </c>
      <c r="BF3" s="56" t="s">
        <v>437</v>
      </c>
      <c r="BG3" s="56" t="s">
        <v>253</v>
      </c>
      <c r="BH3" s="57" t="s">
        <v>254</v>
      </c>
      <c r="BI3" s="56" t="s">
        <v>255</v>
      </c>
      <c r="BJ3" s="56" t="s">
        <v>256</v>
      </c>
      <c r="BK3" s="57" t="s">
        <v>438</v>
      </c>
      <c r="BL3" s="56" t="s">
        <v>258</v>
      </c>
      <c r="BM3" s="56" t="s">
        <v>259</v>
      </c>
      <c r="BN3" s="56" t="s">
        <v>260</v>
      </c>
      <c r="BO3" s="57" t="s">
        <v>261</v>
      </c>
      <c r="BP3" s="56" t="s">
        <v>262</v>
      </c>
      <c r="BQ3" s="57" t="s">
        <v>263</v>
      </c>
      <c r="BR3" s="56" t="s">
        <v>264</v>
      </c>
      <c r="BS3" s="56" t="s">
        <v>265</v>
      </c>
      <c r="BT3" s="57" t="s">
        <v>266</v>
      </c>
      <c r="BU3" s="56" t="s">
        <v>267</v>
      </c>
      <c r="BV3" s="57" t="s">
        <v>268</v>
      </c>
      <c r="BW3" s="56" t="s">
        <v>269</v>
      </c>
      <c r="BX3" s="56" t="s">
        <v>270</v>
      </c>
      <c r="BY3" s="56" t="s">
        <v>271</v>
      </c>
      <c r="BZ3" s="57" t="s">
        <v>272</v>
      </c>
      <c r="CA3" s="56" t="s">
        <v>273</v>
      </c>
      <c r="CB3" s="56" t="s">
        <v>439</v>
      </c>
      <c r="CC3" s="56" t="s">
        <v>0</v>
      </c>
      <c r="CD3" s="56" t="s">
        <v>275</v>
      </c>
      <c r="CE3" s="24" t="s">
        <v>276</v>
      </c>
      <c r="CF3" s="24" t="s">
        <v>524</v>
      </c>
      <c r="CG3" s="24" t="s">
        <v>278</v>
      </c>
      <c r="CH3" s="56" t="s">
        <v>279</v>
      </c>
      <c r="CI3" s="24" t="s">
        <v>280</v>
      </c>
      <c r="CJ3" s="24" t="s">
        <v>281</v>
      </c>
      <c r="CK3" s="24" t="s">
        <v>282</v>
      </c>
      <c r="CL3" s="24" t="s">
        <v>283</v>
      </c>
      <c r="CM3" s="24" t="s">
        <v>284</v>
      </c>
      <c r="CN3" s="24" t="s">
        <v>285</v>
      </c>
      <c r="CO3" s="24" t="s">
        <v>286</v>
      </c>
      <c r="CP3" s="24" t="s">
        <v>287</v>
      </c>
      <c r="CQ3" s="24" t="s">
        <v>288</v>
      </c>
      <c r="CR3" s="24" t="s">
        <v>289</v>
      </c>
      <c r="CS3" s="24" t="s">
        <v>290</v>
      </c>
      <c r="CT3" s="24" t="s">
        <v>291</v>
      </c>
      <c r="CU3" s="24" t="s">
        <v>525</v>
      </c>
      <c r="CV3" s="24" t="s">
        <v>293</v>
      </c>
      <c r="CW3" s="24" t="s">
        <v>294</v>
      </c>
      <c r="CX3" s="24" t="s">
        <v>295</v>
      </c>
      <c r="CY3" s="24" t="s">
        <v>296</v>
      </c>
      <c r="CZ3" s="24" t="s">
        <v>297</v>
      </c>
      <c r="DA3" s="24" t="s">
        <v>298</v>
      </c>
      <c r="DB3" s="24" t="s">
        <v>299</v>
      </c>
      <c r="DC3" s="24" t="s">
        <v>300</v>
      </c>
      <c r="DD3" s="24" t="s">
        <v>301</v>
      </c>
      <c r="DE3" s="24" t="s">
        <v>302</v>
      </c>
      <c r="DF3" s="24" t="s">
        <v>303</v>
      </c>
      <c r="DG3" s="24" t="s">
        <v>1067</v>
      </c>
      <c r="DH3" s="24" t="s">
        <v>1069</v>
      </c>
      <c r="DI3" s="24" t="s">
        <v>306</v>
      </c>
      <c r="DJ3" s="24" t="s">
        <v>307</v>
      </c>
      <c r="DK3" s="24" t="s">
        <v>308</v>
      </c>
      <c r="DL3" s="24" t="s">
        <v>309</v>
      </c>
      <c r="DM3" s="24" t="s">
        <v>310</v>
      </c>
      <c r="DN3" s="24" t="s">
        <v>311</v>
      </c>
      <c r="DO3" s="24" t="s">
        <v>312</v>
      </c>
      <c r="DP3" s="24" t="s">
        <v>313</v>
      </c>
      <c r="DQ3" s="24" t="s">
        <v>314</v>
      </c>
      <c r="DR3" s="24" t="s">
        <v>315</v>
      </c>
      <c r="DS3" s="24" t="s">
        <v>316</v>
      </c>
      <c r="DT3" s="24" t="s">
        <v>317</v>
      </c>
      <c r="DU3" s="24" t="s">
        <v>318</v>
      </c>
      <c r="DV3" s="24" t="s">
        <v>319</v>
      </c>
      <c r="DW3" s="24" t="s">
        <v>320</v>
      </c>
      <c r="DX3" s="24" t="s">
        <v>321</v>
      </c>
      <c r="DY3" s="24" t="s">
        <v>322</v>
      </c>
      <c r="DZ3" s="24" t="s">
        <v>323</v>
      </c>
      <c r="EA3" s="24" t="s">
        <v>324</v>
      </c>
      <c r="EB3" s="24" t="s">
        <v>1071</v>
      </c>
      <c r="EC3" s="24" t="s">
        <v>326</v>
      </c>
      <c r="ED3" s="24" t="s">
        <v>327</v>
      </c>
      <c r="EE3" s="24" t="s">
        <v>328</v>
      </c>
      <c r="EF3" s="24" t="s">
        <v>329</v>
      </c>
      <c r="EG3" s="24" t="s">
        <v>330</v>
      </c>
      <c r="EH3" s="24" t="s">
        <v>1</v>
      </c>
      <c r="EI3" s="24" t="s">
        <v>331</v>
      </c>
      <c r="EJ3" s="24" t="s">
        <v>332</v>
      </c>
      <c r="EK3" s="24" t="s">
        <v>1073</v>
      </c>
      <c r="EL3" s="24" t="s">
        <v>333</v>
      </c>
      <c r="EM3" s="24" t="s">
        <v>334</v>
      </c>
      <c r="EN3" s="24" t="s">
        <v>335</v>
      </c>
      <c r="EO3" s="24" t="s">
        <v>336</v>
      </c>
      <c r="EP3" s="24" t="s">
        <v>337</v>
      </c>
      <c r="EQ3" s="24" t="s">
        <v>338</v>
      </c>
      <c r="ER3" s="24" t="s">
        <v>339</v>
      </c>
      <c r="ES3" s="24" t="s">
        <v>340</v>
      </c>
      <c r="ET3" s="24" t="s">
        <v>341</v>
      </c>
      <c r="EU3" s="24" t="s">
        <v>342</v>
      </c>
      <c r="EV3" s="24" t="s">
        <v>343</v>
      </c>
      <c r="EW3" s="24" t="s">
        <v>344</v>
      </c>
      <c r="EX3" s="24" t="s">
        <v>345</v>
      </c>
      <c r="EY3" s="24" t="s">
        <v>346</v>
      </c>
      <c r="EZ3" s="24" t="s">
        <v>347</v>
      </c>
      <c r="FA3" s="24" t="s">
        <v>1074</v>
      </c>
      <c r="FB3" s="24" t="s">
        <v>349</v>
      </c>
      <c r="FC3" s="24" t="s">
        <v>350</v>
      </c>
      <c r="FD3" s="24" t="s">
        <v>351</v>
      </c>
      <c r="FE3" s="24" t="s">
        <v>352</v>
      </c>
      <c r="FF3" s="24" t="s">
        <v>1076</v>
      </c>
      <c r="FG3" s="24" t="s">
        <v>354</v>
      </c>
      <c r="FH3" s="24" t="s">
        <v>355</v>
      </c>
      <c r="FI3" s="24" t="s">
        <v>1078</v>
      </c>
      <c r="FJ3" s="24" t="s">
        <v>357</v>
      </c>
      <c r="FK3" s="24" t="s">
        <v>358</v>
      </c>
      <c r="FL3" s="24" t="s">
        <v>359</v>
      </c>
      <c r="FM3" s="24" t="s">
        <v>360</v>
      </c>
      <c r="FN3" s="24" t="s">
        <v>1080</v>
      </c>
      <c r="FO3" s="24" t="s">
        <v>1081</v>
      </c>
      <c r="FP3" s="24" t="s">
        <v>363</v>
      </c>
      <c r="FQ3" s="24" t="s">
        <v>364</v>
      </c>
      <c r="FR3" s="24" t="s">
        <v>365</v>
      </c>
    </row>
    <row r="4" spans="1:174">
      <c r="A4" s="14" t="s">
        <v>366</v>
      </c>
      <c r="B4" s="15" t="s">
        <v>367</v>
      </c>
      <c r="C4" s="14" t="s">
        <v>433</v>
      </c>
      <c r="D4" s="13"/>
    </row>
    <row r="5" spans="1:174">
      <c r="A5" s="14" t="s">
        <v>368</v>
      </c>
      <c r="B5" s="15" t="s">
        <v>367</v>
      </c>
      <c r="C5" s="14" t="s">
        <v>433</v>
      </c>
      <c r="D5" s="13"/>
    </row>
    <row r="6" spans="1:174">
      <c r="A6" s="14" t="s">
        <v>369</v>
      </c>
      <c r="B6" s="15" t="s">
        <v>367</v>
      </c>
      <c r="C6" s="14" t="s">
        <v>433</v>
      </c>
      <c r="D6" s="13"/>
    </row>
    <row r="7" spans="1:174">
      <c r="A7" s="14" t="s">
        <v>370</v>
      </c>
      <c r="B7" s="15" t="s">
        <v>367</v>
      </c>
      <c r="C7" s="14" t="s">
        <v>433</v>
      </c>
      <c r="D7" s="13"/>
      <c r="AQ7" s="18" t="s">
        <v>371</v>
      </c>
      <c r="AR7" s="18" t="s">
        <v>371</v>
      </c>
      <c r="AS7" s="18" t="s">
        <v>371</v>
      </c>
      <c r="AT7" s="18" t="s">
        <v>371</v>
      </c>
      <c r="AU7" s="18" t="s">
        <v>371</v>
      </c>
      <c r="AV7" s="18" t="s">
        <v>371</v>
      </c>
      <c r="AW7" s="18" t="s">
        <v>371</v>
      </c>
      <c r="AX7" s="18" t="s">
        <v>371</v>
      </c>
      <c r="DC7" s="18" t="s">
        <v>371</v>
      </c>
      <c r="DD7" s="18" t="s">
        <v>371</v>
      </c>
      <c r="DE7" s="18" t="s">
        <v>371</v>
      </c>
      <c r="DF7" s="18" t="s">
        <v>371</v>
      </c>
      <c r="DG7" s="18" t="s">
        <v>371</v>
      </c>
      <c r="DH7" s="18" t="s">
        <v>371</v>
      </c>
      <c r="DI7" s="18" t="s">
        <v>371</v>
      </c>
      <c r="DJ7" s="18" t="s">
        <v>371</v>
      </c>
      <c r="DK7" s="18" t="s">
        <v>371</v>
      </c>
      <c r="DV7" s="18" t="s">
        <v>371</v>
      </c>
      <c r="DW7" s="18" t="s">
        <v>371</v>
      </c>
      <c r="DX7" s="18" t="s">
        <v>371</v>
      </c>
      <c r="DY7" s="18" t="s">
        <v>371</v>
      </c>
      <c r="DZ7" s="18" t="s">
        <v>371</v>
      </c>
      <c r="EA7" s="18" t="s">
        <v>371</v>
      </c>
      <c r="EB7" s="18" t="s">
        <v>371</v>
      </c>
      <c r="EC7" s="18" t="s">
        <v>371</v>
      </c>
      <c r="ED7" s="18" t="s">
        <v>371</v>
      </c>
      <c r="EE7" s="18" t="s">
        <v>371</v>
      </c>
      <c r="EF7" s="18" t="s">
        <v>371</v>
      </c>
      <c r="EG7" s="18" t="s">
        <v>371</v>
      </c>
      <c r="EH7" s="18" t="s">
        <v>371</v>
      </c>
    </row>
    <row r="8" spans="1:174">
      <c r="A8" s="14" t="s">
        <v>372</v>
      </c>
      <c r="B8" s="15" t="s">
        <v>373</v>
      </c>
      <c r="C8" s="14" t="s">
        <v>433</v>
      </c>
      <c r="D8" s="13"/>
    </row>
    <row r="9" spans="1:174">
      <c r="A9" s="14" t="s">
        <v>374</v>
      </c>
      <c r="B9" s="15" t="s">
        <v>375</v>
      </c>
      <c r="C9" s="14" t="s">
        <v>434</v>
      </c>
      <c r="D9" s="13"/>
    </row>
    <row r="10" spans="1:174">
      <c r="A10" s="14" t="s">
        <v>376</v>
      </c>
      <c r="B10" s="15" t="s">
        <v>375</v>
      </c>
      <c r="C10" s="14" t="s">
        <v>434</v>
      </c>
      <c r="D10" s="13"/>
    </row>
    <row r="11" spans="1:174">
      <c r="A11" s="14" t="s">
        <v>377</v>
      </c>
      <c r="B11" s="15" t="s">
        <v>375</v>
      </c>
      <c r="C11" s="14" t="s">
        <v>434</v>
      </c>
      <c r="D11" s="13"/>
    </row>
    <row r="12" spans="1:174">
      <c r="A12" s="14" t="s">
        <v>378</v>
      </c>
      <c r="B12" s="15" t="s">
        <v>379</v>
      </c>
      <c r="C12" s="14" t="s">
        <v>433</v>
      </c>
      <c r="D12" s="13"/>
      <c r="CT12" s="18" t="s">
        <v>371</v>
      </c>
      <c r="CU12" s="18" t="s">
        <v>371</v>
      </c>
      <c r="CV12" s="18" t="s">
        <v>371</v>
      </c>
      <c r="CW12" s="18" t="s">
        <v>371</v>
      </c>
      <c r="CX12" s="18" t="s">
        <v>371</v>
      </c>
      <c r="CY12" s="18" t="s">
        <v>371</v>
      </c>
      <c r="CZ12" s="18" t="s">
        <v>371</v>
      </c>
      <c r="DA12" s="18" t="s">
        <v>371</v>
      </c>
      <c r="DB12" s="18" t="s">
        <v>371</v>
      </c>
      <c r="DC12" s="18" t="s">
        <v>371</v>
      </c>
      <c r="DD12" s="18" t="s">
        <v>371</v>
      </c>
      <c r="DE12" s="18" t="s">
        <v>371</v>
      </c>
      <c r="DF12" s="18" t="s">
        <v>371</v>
      </c>
      <c r="DG12" s="18" t="s">
        <v>371</v>
      </c>
      <c r="DH12" s="18" t="s">
        <v>371</v>
      </c>
      <c r="DI12" s="18" t="s">
        <v>371</v>
      </c>
      <c r="DJ12" s="18" t="s">
        <v>371</v>
      </c>
      <c r="DK12" s="18" t="s">
        <v>371</v>
      </c>
    </row>
    <row r="13" spans="1:174">
      <c r="A13" s="14" t="s">
        <v>380</v>
      </c>
      <c r="B13" s="15" t="s">
        <v>379</v>
      </c>
      <c r="C13" s="14" t="s">
        <v>434</v>
      </c>
      <c r="D13" s="13"/>
      <c r="DC13" s="18" t="s">
        <v>371</v>
      </c>
      <c r="DD13" s="18" t="s">
        <v>371</v>
      </c>
      <c r="DE13" s="18" t="s">
        <v>371</v>
      </c>
      <c r="DF13" s="18" t="s">
        <v>371</v>
      </c>
      <c r="DG13" s="18" t="s">
        <v>371</v>
      </c>
      <c r="DH13" s="18" t="s">
        <v>371</v>
      </c>
      <c r="DI13" s="18" t="s">
        <v>371</v>
      </c>
      <c r="DJ13" s="18" t="s">
        <v>371</v>
      </c>
      <c r="DK13" s="18" t="s">
        <v>371</v>
      </c>
      <c r="DV13" s="18" t="s">
        <v>371</v>
      </c>
      <c r="DW13" s="18" t="s">
        <v>371</v>
      </c>
      <c r="DX13" s="18" t="s">
        <v>371</v>
      </c>
      <c r="DY13" s="18" t="s">
        <v>371</v>
      </c>
      <c r="DZ13" s="18" t="s">
        <v>371</v>
      </c>
      <c r="EA13" s="18" t="s">
        <v>371</v>
      </c>
      <c r="EB13" s="18" t="s">
        <v>371</v>
      </c>
      <c r="EC13" s="18" t="s">
        <v>371</v>
      </c>
      <c r="ED13" s="18" t="s">
        <v>371</v>
      </c>
      <c r="EE13" s="18" t="s">
        <v>371</v>
      </c>
      <c r="EF13" s="18" t="s">
        <v>371</v>
      </c>
      <c r="EG13" s="18" t="s">
        <v>371</v>
      </c>
      <c r="EH13" s="18" t="s">
        <v>371</v>
      </c>
    </row>
    <row r="14" spans="1:174">
      <c r="A14" s="14" t="s">
        <v>381</v>
      </c>
      <c r="B14" s="15" t="s">
        <v>379</v>
      </c>
      <c r="C14" s="14" t="s">
        <v>434</v>
      </c>
      <c r="D14" s="13"/>
      <c r="DV14" s="18" t="s">
        <v>371</v>
      </c>
      <c r="DW14" s="18" t="s">
        <v>371</v>
      </c>
      <c r="DX14" s="18" t="s">
        <v>371</v>
      </c>
      <c r="DY14" s="18" t="s">
        <v>371</v>
      </c>
      <c r="DZ14" s="18" t="s">
        <v>371</v>
      </c>
      <c r="EA14" s="18" t="s">
        <v>371</v>
      </c>
      <c r="EB14" s="18" t="s">
        <v>371</v>
      </c>
      <c r="EC14" s="18" t="s">
        <v>371</v>
      </c>
      <c r="ED14" s="18" t="s">
        <v>371</v>
      </c>
      <c r="EE14" s="18" t="s">
        <v>371</v>
      </c>
      <c r="EF14" s="18" t="s">
        <v>371</v>
      </c>
      <c r="EG14" s="18" t="s">
        <v>371</v>
      </c>
      <c r="EH14" s="18" t="s">
        <v>371</v>
      </c>
    </row>
    <row r="15" spans="1:174">
      <c r="A15" s="14" t="s">
        <v>382</v>
      </c>
      <c r="B15" s="15" t="s">
        <v>383</v>
      </c>
      <c r="C15" s="14" t="s">
        <v>434</v>
      </c>
      <c r="D15" s="13"/>
      <c r="EI15" s="18" t="s">
        <v>371</v>
      </c>
      <c r="EJ15" s="18" t="s">
        <v>371</v>
      </c>
      <c r="EK15" s="18" t="s">
        <v>371</v>
      </c>
      <c r="EL15" s="18" t="s">
        <v>371</v>
      </c>
      <c r="EM15" s="18" t="s">
        <v>371</v>
      </c>
      <c r="EN15" s="18" t="s">
        <v>371</v>
      </c>
      <c r="EO15" s="18" t="s">
        <v>371</v>
      </c>
      <c r="EP15" s="18" t="s">
        <v>371</v>
      </c>
      <c r="EQ15" s="18" t="s">
        <v>371</v>
      </c>
    </row>
    <row r="16" spans="1:174">
      <c r="A16" s="14" t="s">
        <v>384</v>
      </c>
      <c r="B16" s="15" t="s">
        <v>383</v>
      </c>
      <c r="C16" s="14" t="s">
        <v>434</v>
      </c>
      <c r="D16" s="13"/>
      <c r="BI16" s="18" t="s">
        <v>371</v>
      </c>
      <c r="BJ16" s="18" t="s">
        <v>371</v>
      </c>
      <c r="BK16" s="18" t="s">
        <v>371</v>
      </c>
      <c r="BL16" s="18" t="s">
        <v>371</v>
      </c>
      <c r="BM16" s="18" t="s">
        <v>371</v>
      </c>
      <c r="BN16" s="18" t="s">
        <v>371</v>
      </c>
      <c r="BO16" s="18" t="s">
        <v>371</v>
      </c>
      <c r="BP16" s="18" t="s">
        <v>371</v>
      </c>
      <c r="EI16" s="18" t="s">
        <v>371</v>
      </c>
      <c r="EJ16" s="18" t="s">
        <v>371</v>
      </c>
      <c r="EK16" s="18" t="s">
        <v>371</v>
      </c>
      <c r="EL16" s="18" t="s">
        <v>371</v>
      </c>
      <c r="EM16" s="18" t="s">
        <v>371</v>
      </c>
      <c r="EN16" s="18" t="s">
        <v>371</v>
      </c>
      <c r="EO16" s="18" t="s">
        <v>371</v>
      </c>
      <c r="EP16" s="18" t="s">
        <v>371</v>
      </c>
      <c r="EQ16" s="18" t="s">
        <v>371</v>
      </c>
    </row>
    <row r="17" spans="1:166">
      <c r="A17" s="14" t="s">
        <v>385</v>
      </c>
      <c r="B17" s="15" t="s">
        <v>383</v>
      </c>
      <c r="C17" s="14" t="s">
        <v>434</v>
      </c>
      <c r="D17" s="13"/>
      <c r="AQ17" s="18" t="s">
        <v>371</v>
      </c>
      <c r="AR17" s="18" t="s">
        <v>371</v>
      </c>
      <c r="AS17" s="18" t="s">
        <v>371</v>
      </c>
      <c r="AT17" s="18" t="s">
        <v>371</v>
      </c>
      <c r="AU17" s="18" t="s">
        <v>371</v>
      </c>
      <c r="AV17" s="18" t="s">
        <v>371</v>
      </c>
      <c r="AW17" s="18" t="s">
        <v>371</v>
      </c>
      <c r="AX17" s="18" t="s">
        <v>371</v>
      </c>
      <c r="EI17" s="18" t="s">
        <v>371</v>
      </c>
      <c r="EJ17" s="18" t="s">
        <v>371</v>
      </c>
      <c r="EK17" s="18" t="s">
        <v>371</v>
      </c>
      <c r="EL17" s="18" t="s">
        <v>371</v>
      </c>
      <c r="EM17" s="18" t="s">
        <v>371</v>
      </c>
      <c r="EN17" s="18" t="s">
        <v>371</v>
      </c>
      <c r="EO17" s="18" t="s">
        <v>371</v>
      </c>
      <c r="EP17" s="18" t="s">
        <v>371</v>
      </c>
      <c r="EQ17" s="18" t="s">
        <v>371</v>
      </c>
    </row>
    <row r="18" spans="1:166">
      <c r="A18" s="14" t="s">
        <v>386</v>
      </c>
      <c r="B18" s="15" t="s">
        <v>383</v>
      </c>
      <c r="C18" s="14" t="s">
        <v>434</v>
      </c>
      <c r="D18" s="13"/>
      <c r="DV18" s="18" t="s">
        <v>371</v>
      </c>
      <c r="DW18" s="18" t="s">
        <v>371</v>
      </c>
      <c r="DX18" s="18" t="s">
        <v>371</v>
      </c>
      <c r="DY18" s="18" t="s">
        <v>371</v>
      </c>
      <c r="DZ18" s="18" t="s">
        <v>371</v>
      </c>
      <c r="EA18" s="18" t="s">
        <v>371</v>
      </c>
      <c r="EB18" s="18" t="s">
        <v>371</v>
      </c>
      <c r="EC18" s="18" t="s">
        <v>371</v>
      </c>
      <c r="ED18" s="18" t="s">
        <v>371</v>
      </c>
      <c r="EE18" s="18" t="s">
        <v>371</v>
      </c>
      <c r="EF18" s="18" t="s">
        <v>371</v>
      </c>
      <c r="EG18" s="18" t="s">
        <v>371</v>
      </c>
      <c r="EH18" s="18" t="s">
        <v>371</v>
      </c>
      <c r="EI18" s="18" t="s">
        <v>371</v>
      </c>
      <c r="EJ18" s="18" t="s">
        <v>371</v>
      </c>
      <c r="EK18" s="18" t="s">
        <v>371</v>
      </c>
      <c r="EL18" s="18" t="s">
        <v>371</v>
      </c>
      <c r="EM18" s="18" t="s">
        <v>371</v>
      </c>
      <c r="EN18" s="18" t="s">
        <v>371</v>
      </c>
      <c r="EO18" s="18" t="s">
        <v>371</v>
      </c>
      <c r="EP18" s="18" t="s">
        <v>371</v>
      </c>
      <c r="EQ18" s="18" t="s">
        <v>371</v>
      </c>
    </row>
    <row r="19" spans="1:166">
      <c r="A19" s="14" t="s">
        <v>387</v>
      </c>
      <c r="B19" s="15" t="s">
        <v>388</v>
      </c>
      <c r="C19" s="14" t="s">
        <v>433</v>
      </c>
      <c r="D19" s="13"/>
      <c r="FC19" s="18" t="s">
        <v>371</v>
      </c>
      <c r="FD19" s="18" t="s">
        <v>371</v>
      </c>
      <c r="FE19" s="18" t="s">
        <v>371</v>
      </c>
      <c r="FF19" s="18" t="s">
        <v>371</v>
      </c>
      <c r="FG19" s="18" t="s">
        <v>371</v>
      </c>
      <c r="FH19" s="18" t="s">
        <v>371</v>
      </c>
      <c r="FI19" s="18" t="s">
        <v>371</v>
      </c>
      <c r="FJ19" s="18" t="s">
        <v>371</v>
      </c>
    </row>
    <row r="20" spans="1:166">
      <c r="A20" s="14" t="s">
        <v>389</v>
      </c>
      <c r="B20" s="15" t="s">
        <v>390</v>
      </c>
      <c r="C20" s="14" t="s">
        <v>433</v>
      </c>
      <c r="D20" s="13"/>
      <c r="BV20" s="18" t="s">
        <v>371</v>
      </c>
      <c r="BW20" s="18" t="s">
        <v>371</v>
      </c>
      <c r="BX20" s="18" t="s">
        <v>371</v>
      </c>
      <c r="BY20" s="18" t="s">
        <v>371</v>
      </c>
      <c r="BZ20" s="18" t="s">
        <v>371</v>
      </c>
    </row>
    <row r="21" spans="1:166">
      <c r="A21" s="14" t="s">
        <v>391</v>
      </c>
      <c r="B21" s="15" t="s">
        <v>390</v>
      </c>
      <c r="C21" s="14" t="s">
        <v>433</v>
      </c>
      <c r="D21" s="13"/>
      <c r="BV21" s="18" t="s">
        <v>371</v>
      </c>
      <c r="BW21" s="18" t="s">
        <v>371</v>
      </c>
      <c r="BX21" s="18" t="s">
        <v>371</v>
      </c>
      <c r="BY21" s="18" t="s">
        <v>371</v>
      </c>
      <c r="BZ21" s="18" t="s">
        <v>371</v>
      </c>
    </row>
    <row r="22" spans="1:166">
      <c r="A22" s="14" t="s">
        <v>392</v>
      </c>
      <c r="B22" s="15" t="s">
        <v>390</v>
      </c>
      <c r="C22" s="14" t="s">
        <v>433</v>
      </c>
      <c r="D22" s="13"/>
    </row>
    <row r="23" spans="1:166">
      <c r="A23" s="14" t="s">
        <v>393</v>
      </c>
      <c r="B23" s="15" t="s">
        <v>390</v>
      </c>
      <c r="C23" s="14" t="s">
        <v>434</v>
      </c>
      <c r="D23" s="13"/>
      <c r="BV23" s="18" t="s">
        <v>371</v>
      </c>
      <c r="BW23" s="18" t="s">
        <v>371</v>
      </c>
      <c r="BX23" s="18" t="s">
        <v>371</v>
      </c>
      <c r="BY23" s="18" t="s">
        <v>371</v>
      </c>
      <c r="BZ23" s="18" t="s">
        <v>371</v>
      </c>
    </row>
    <row r="24" spans="1:166">
      <c r="A24" s="14" t="s">
        <v>394</v>
      </c>
      <c r="B24" s="15" t="s">
        <v>390</v>
      </c>
      <c r="C24" s="14" t="s">
        <v>434</v>
      </c>
      <c r="D24" s="13"/>
    </row>
    <row r="25" spans="1:166">
      <c r="A25" s="14" t="s">
        <v>395</v>
      </c>
      <c r="B25" s="15" t="s">
        <v>396</v>
      </c>
      <c r="C25" s="14" t="s">
        <v>433</v>
      </c>
      <c r="D25" s="13"/>
    </row>
    <row r="26" spans="1:166" ht="32">
      <c r="A26" s="14" t="s">
        <v>397</v>
      </c>
      <c r="B26" s="15" t="s">
        <v>398</v>
      </c>
      <c r="C26" s="14" t="s">
        <v>433</v>
      </c>
      <c r="D26" s="13"/>
    </row>
    <row r="27" spans="1:166">
      <c r="A27" s="14" t="s">
        <v>399</v>
      </c>
      <c r="B27" s="15" t="s">
        <v>400</v>
      </c>
      <c r="C27" s="14" t="s">
        <v>434</v>
      </c>
      <c r="D27" s="13"/>
    </row>
    <row r="28" spans="1:166">
      <c r="A28" s="14" t="s">
        <v>401</v>
      </c>
      <c r="B28" s="15" t="s">
        <v>400</v>
      </c>
      <c r="C28" s="14" t="s">
        <v>434</v>
      </c>
      <c r="D28" s="13"/>
    </row>
    <row r="29" spans="1:166">
      <c r="A29" s="14" t="s">
        <v>402</v>
      </c>
      <c r="B29" s="15" t="s">
        <v>400</v>
      </c>
      <c r="C29" s="14" t="s">
        <v>434</v>
      </c>
      <c r="D29" s="13"/>
    </row>
    <row r="30" spans="1:166">
      <c r="A30" s="14" t="s">
        <v>403</v>
      </c>
      <c r="B30" s="15" t="s">
        <v>400</v>
      </c>
      <c r="C30" s="14" t="s">
        <v>434</v>
      </c>
      <c r="D30" s="13"/>
    </row>
    <row r="31" spans="1:166">
      <c r="A31" s="14" t="s">
        <v>404</v>
      </c>
      <c r="B31" s="15" t="s">
        <v>405</v>
      </c>
      <c r="C31" s="14" t="s">
        <v>433</v>
      </c>
      <c r="D31" s="18" t="s">
        <v>371</v>
      </c>
      <c r="E31" s="18" t="s">
        <v>371</v>
      </c>
      <c r="F31" s="18" t="s">
        <v>371</v>
      </c>
      <c r="G31" s="18" t="s">
        <v>371</v>
      </c>
      <c r="H31" s="18" t="s">
        <v>371</v>
      </c>
      <c r="I31" s="18" t="s">
        <v>371</v>
      </c>
      <c r="J31" s="18" t="s">
        <v>371</v>
      </c>
      <c r="K31" s="18" t="s">
        <v>371</v>
      </c>
      <c r="L31" s="18" t="s">
        <v>371</v>
      </c>
      <c r="M31" s="18" t="s">
        <v>371</v>
      </c>
      <c r="N31" s="18" t="s">
        <v>371</v>
      </c>
      <c r="O31" s="18" t="s">
        <v>371</v>
      </c>
      <c r="P31" s="18" t="s">
        <v>371</v>
      </c>
      <c r="Q31" s="18" t="s">
        <v>371</v>
      </c>
      <c r="R31" s="18" t="s">
        <v>371</v>
      </c>
      <c r="S31" s="18" t="s">
        <v>371</v>
      </c>
      <c r="T31" s="18" t="s">
        <v>371</v>
      </c>
      <c r="U31" s="18" t="s">
        <v>371</v>
      </c>
      <c r="V31" s="18" t="s">
        <v>371</v>
      </c>
      <c r="W31" s="18" t="s">
        <v>371</v>
      </c>
      <c r="X31" s="18" t="s">
        <v>371</v>
      </c>
      <c r="Y31" s="18" t="s">
        <v>371</v>
      </c>
      <c r="Z31" s="18" t="s">
        <v>371</v>
      </c>
      <c r="AA31" s="18" t="s">
        <v>371</v>
      </c>
      <c r="AB31" s="18" t="s">
        <v>371</v>
      </c>
      <c r="AC31" s="18" t="s">
        <v>371</v>
      </c>
      <c r="AD31" s="18" t="s">
        <v>371</v>
      </c>
      <c r="AE31" s="18" t="s">
        <v>371</v>
      </c>
      <c r="AF31" s="18" t="s">
        <v>371</v>
      </c>
      <c r="AG31" s="18" t="s">
        <v>371</v>
      </c>
      <c r="AH31" s="18" t="s">
        <v>371</v>
      </c>
      <c r="AI31" s="18" t="s">
        <v>371</v>
      </c>
      <c r="AJ31" s="18" t="s">
        <v>371</v>
      </c>
      <c r="AK31" s="18" t="s">
        <v>371</v>
      </c>
      <c r="AL31" s="18" t="s">
        <v>371</v>
      </c>
      <c r="AM31" s="18" t="s">
        <v>371</v>
      </c>
      <c r="AN31" s="18" t="s">
        <v>371</v>
      </c>
      <c r="AO31" s="18" t="s">
        <v>371</v>
      </c>
      <c r="AP31" s="18" t="s">
        <v>371</v>
      </c>
      <c r="AY31" s="18" t="s">
        <v>371</v>
      </c>
      <c r="AZ31" s="18" t="s">
        <v>371</v>
      </c>
      <c r="BA31" s="18" t="s">
        <v>371</v>
      </c>
      <c r="BB31" s="18" t="s">
        <v>371</v>
      </c>
      <c r="BC31" s="18" t="s">
        <v>371</v>
      </c>
      <c r="BD31" s="18" t="s">
        <v>371</v>
      </c>
      <c r="BE31" s="18" t="s">
        <v>371</v>
      </c>
      <c r="BF31" s="18" t="s">
        <v>371</v>
      </c>
      <c r="BG31" s="18" t="s">
        <v>371</v>
      </c>
      <c r="BH31" s="18" t="s">
        <v>371</v>
      </c>
      <c r="BI31" s="18" t="s">
        <v>371</v>
      </c>
      <c r="BJ31" s="18" t="s">
        <v>371</v>
      </c>
      <c r="BK31" s="18" t="s">
        <v>371</v>
      </c>
      <c r="BL31" s="18" t="s">
        <v>371</v>
      </c>
      <c r="BM31" s="18" t="s">
        <v>371</v>
      </c>
      <c r="BN31" s="18" t="s">
        <v>371</v>
      </c>
      <c r="BO31" s="18" t="s">
        <v>371</v>
      </c>
      <c r="BP31" s="18" t="s">
        <v>371</v>
      </c>
      <c r="BQ31" s="18" t="s">
        <v>371</v>
      </c>
      <c r="BR31" s="18" t="s">
        <v>371</v>
      </c>
      <c r="BS31" s="18" t="s">
        <v>371</v>
      </c>
      <c r="BT31" s="18" t="s">
        <v>371</v>
      </c>
      <c r="BU31" s="18" t="s">
        <v>371</v>
      </c>
    </row>
    <row r="32" spans="1:166">
      <c r="A32" s="14" t="s">
        <v>406</v>
      </c>
      <c r="B32" s="15" t="s">
        <v>407</v>
      </c>
      <c r="C32" s="14" t="s">
        <v>433</v>
      </c>
      <c r="D32" s="18" t="s">
        <v>371</v>
      </c>
      <c r="E32" s="18" t="s">
        <v>371</v>
      </c>
      <c r="F32" s="18" t="s">
        <v>371</v>
      </c>
      <c r="G32" s="18" t="s">
        <v>371</v>
      </c>
      <c r="H32" s="18" t="s">
        <v>371</v>
      </c>
      <c r="I32" s="18" t="s">
        <v>371</v>
      </c>
      <c r="J32" s="18" t="s">
        <v>371</v>
      </c>
      <c r="K32" s="18" t="s">
        <v>371</v>
      </c>
      <c r="L32" s="18" t="s">
        <v>371</v>
      </c>
      <c r="M32" s="18" t="s">
        <v>371</v>
      </c>
      <c r="N32" s="18" t="s">
        <v>371</v>
      </c>
      <c r="O32" s="18" t="s">
        <v>371</v>
      </c>
      <c r="P32" s="18" t="s">
        <v>371</v>
      </c>
      <c r="Q32" s="18" t="s">
        <v>371</v>
      </c>
      <c r="R32" s="18" t="s">
        <v>371</v>
      </c>
      <c r="S32" s="18" t="s">
        <v>371</v>
      </c>
      <c r="T32" s="18" t="s">
        <v>371</v>
      </c>
      <c r="U32" s="18" t="s">
        <v>371</v>
      </c>
      <c r="V32" s="18" t="s">
        <v>371</v>
      </c>
      <c r="W32" s="18" t="s">
        <v>371</v>
      </c>
      <c r="X32" s="18" t="s">
        <v>371</v>
      </c>
      <c r="Y32" s="18" t="s">
        <v>371</v>
      </c>
      <c r="Z32" s="18" t="s">
        <v>371</v>
      </c>
      <c r="AA32" s="18" t="s">
        <v>371</v>
      </c>
      <c r="AB32" s="18" t="s">
        <v>371</v>
      </c>
      <c r="AC32" s="18" t="s">
        <v>371</v>
      </c>
      <c r="AD32" s="18" t="s">
        <v>371</v>
      </c>
      <c r="AE32" s="18" t="s">
        <v>371</v>
      </c>
      <c r="AF32" s="18" t="s">
        <v>371</v>
      </c>
      <c r="AG32" s="18" t="s">
        <v>371</v>
      </c>
      <c r="AH32" s="18" t="s">
        <v>371</v>
      </c>
      <c r="AI32" s="18" t="s">
        <v>371</v>
      </c>
      <c r="AJ32" s="18" t="s">
        <v>371</v>
      </c>
      <c r="AK32" s="18" t="s">
        <v>371</v>
      </c>
      <c r="AL32" s="18" t="s">
        <v>371</v>
      </c>
      <c r="AM32" s="18" t="s">
        <v>371</v>
      </c>
      <c r="AN32" s="18" t="s">
        <v>371</v>
      </c>
      <c r="AO32" s="18" t="s">
        <v>371</v>
      </c>
      <c r="AP32" s="18" t="s">
        <v>371</v>
      </c>
      <c r="AY32" s="18" t="s">
        <v>371</v>
      </c>
      <c r="AZ32" s="18" t="s">
        <v>371</v>
      </c>
      <c r="BA32" s="18" t="s">
        <v>371</v>
      </c>
      <c r="BB32" s="18" t="s">
        <v>371</v>
      </c>
      <c r="BC32" s="18" t="s">
        <v>371</v>
      </c>
      <c r="BD32" s="18" t="s">
        <v>371</v>
      </c>
      <c r="BE32" s="18" t="s">
        <v>371</v>
      </c>
      <c r="BF32" s="18" t="s">
        <v>371</v>
      </c>
      <c r="BG32" s="18" t="s">
        <v>371</v>
      </c>
      <c r="BH32" s="18" t="s">
        <v>371</v>
      </c>
      <c r="BI32" s="18" t="s">
        <v>371</v>
      </c>
      <c r="BJ32" s="18" t="s">
        <v>371</v>
      </c>
      <c r="BK32" s="18" t="s">
        <v>371</v>
      </c>
      <c r="BL32" s="18" t="s">
        <v>371</v>
      </c>
      <c r="BM32" s="18" t="s">
        <v>371</v>
      </c>
      <c r="BN32" s="18" t="s">
        <v>371</v>
      </c>
      <c r="BO32" s="18" t="s">
        <v>371</v>
      </c>
      <c r="BP32" s="18" t="s">
        <v>371</v>
      </c>
      <c r="BQ32" s="18" t="s">
        <v>371</v>
      </c>
      <c r="BR32" s="18" t="s">
        <v>371</v>
      </c>
      <c r="BS32" s="18" t="s">
        <v>371</v>
      </c>
      <c r="BT32" s="18" t="s">
        <v>371</v>
      </c>
      <c r="BU32" s="18" t="s">
        <v>371</v>
      </c>
    </row>
    <row r="33" spans="1:138">
      <c r="A33" s="14" t="s">
        <v>408</v>
      </c>
      <c r="B33" s="15" t="s">
        <v>409</v>
      </c>
      <c r="C33" s="14" t="s">
        <v>433</v>
      </c>
      <c r="D33" s="13"/>
    </row>
    <row r="34" spans="1:138">
      <c r="A34" s="14" t="s">
        <v>410</v>
      </c>
      <c r="B34" s="15" t="s">
        <v>409</v>
      </c>
      <c r="C34" s="14" t="s">
        <v>433</v>
      </c>
      <c r="D34" s="13"/>
    </row>
    <row r="35" spans="1:138">
      <c r="A35" s="14" t="s">
        <v>411</v>
      </c>
      <c r="B35" s="15" t="s">
        <v>409</v>
      </c>
      <c r="C35" s="14" t="s">
        <v>434</v>
      </c>
      <c r="D35" s="13"/>
      <c r="BI35" s="18" t="s">
        <v>371</v>
      </c>
      <c r="BJ35" s="18" t="s">
        <v>371</v>
      </c>
      <c r="BK35" s="18" t="s">
        <v>371</v>
      </c>
      <c r="BL35" s="18" t="s">
        <v>371</v>
      </c>
      <c r="BM35" s="18" t="s">
        <v>371</v>
      </c>
      <c r="BN35" s="18" t="s">
        <v>371</v>
      </c>
      <c r="BO35" s="18" t="s">
        <v>371</v>
      </c>
      <c r="BP35" s="18" t="s">
        <v>371</v>
      </c>
      <c r="CT35" s="18" t="s">
        <v>371</v>
      </c>
      <c r="CU35" s="18" t="s">
        <v>371</v>
      </c>
      <c r="CV35" s="18" t="s">
        <v>371</v>
      </c>
      <c r="CW35" s="18" t="s">
        <v>371</v>
      </c>
      <c r="CX35" s="18" t="s">
        <v>371</v>
      </c>
      <c r="CY35" s="18" t="s">
        <v>371</v>
      </c>
      <c r="CZ35" s="18" t="s">
        <v>371</v>
      </c>
      <c r="DA35" s="18" t="s">
        <v>371</v>
      </c>
      <c r="DB35" s="18" t="s">
        <v>371</v>
      </c>
    </row>
    <row r="36" spans="1:138">
      <c r="A36" s="14" t="s">
        <v>412</v>
      </c>
      <c r="B36" s="15" t="s">
        <v>409</v>
      </c>
      <c r="C36" s="14" t="s">
        <v>434</v>
      </c>
      <c r="D36" s="13"/>
      <c r="BV36" s="18" t="s">
        <v>371</v>
      </c>
      <c r="BW36" s="18" t="s">
        <v>371</v>
      </c>
      <c r="BX36" s="18" t="s">
        <v>371</v>
      </c>
      <c r="BY36" s="18" t="s">
        <v>371</v>
      </c>
      <c r="BZ36" s="18" t="s">
        <v>371</v>
      </c>
    </row>
    <row r="37" spans="1:138">
      <c r="A37" s="14" t="s">
        <v>413</v>
      </c>
      <c r="B37" s="15" t="s">
        <v>414</v>
      </c>
      <c r="C37" s="14" t="s">
        <v>433</v>
      </c>
      <c r="D37" s="13"/>
      <c r="DV37" s="18" t="s">
        <v>371</v>
      </c>
      <c r="DW37" s="18" t="s">
        <v>371</v>
      </c>
      <c r="DX37" s="18" t="s">
        <v>371</v>
      </c>
      <c r="DY37" s="18" t="s">
        <v>371</v>
      </c>
      <c r="DZ37" s="18" t="s">
        <v>371</v>
      </c>
      <c r="EA37" s="18" t="s">
        <v>371</v>
      </c>
      <c r="EB37" s="18" t="s">
        <v>371</v>
      </c>
      <c r="EC37" s="18" t="s">
        <v>371</v>
      </c>
      <c r="ED37" s="18" t="s">
        <v>371</v>
      </c>
      <c r="EE37" s="18" t="s">
        <v>371</v>
      </c>
      <c r="EF37" s="18" t="s">
        <v>371</v>
      </c>
      <c r="EG37" s="18" t="s">
        <v>371</v>
      </c>
      <c r="EH37" s="18" t="s">
        <v>371</v>
      </c>
    </row>
    <row r="38" spans="1:138">
      <c r="A38" s="14" t="s">
        <v>415</v>
      </c>
      <c r="B38" s="15" t="s">
        <v>414</v>
      </c>
      <c r="C38" s="14" t="s">
        <v>433</v>
      </c>
      <c r="D38" s="13"/>
    </row>
    <row r="39" spans="1:138">
      <c r="A39" s="14" t="s">
        <v>416</v>
      </c>
      <c r="B39" s="15" t="s">
        <v>414</v>
      </c>
      <c r="C39" s="14" t="s">
        <v>434</v>
      </c>
      <c r="D39" s="13"/>
      <c r="DC39" s="18" t="s">
        <v>371</v>
      </c>
      <c r="DD39" s="18" t="s">
        <v>371</v>
      </c>
      <c r="DE39" s="18" t="s">
        <v>371</v>
      </c>
      <c r="DF39" s="18" t="s">
        <v>371</v>
      </c>
      <c r="DG39" s="18" t="s">
        <v>371</v>
      </c>
      <c r="DH39" s="18" t="s">
        <v>371</v>
      </c>
      <c r="DI39" s="18" t="s">
        <v>371</v>
      </c>
      <c r="DJ39" s="18" t="s">
        <v>371</v>
      </c>
      <c r="DK39" s="18" t="s">
        <v>371</v>
      </c>
      <c r="DV39" s="18" t="s">
        <v>371</v>
      </c>
      <c r="DW39" s="18" t="s">
        <v>371</v>
      </c>
      <c r="DX39" s="18" t="s">
        <v>371</v>
      </c>
      <c r="DY39" s="18" t="s">
        <v>371</v>
      </c>
      <c r="DZ39" s="18" t="s">
        <v>371</v>
      </c>
      <c r="EA39" s="18" t="s">
        <v>371</v>
      </c>
      <c r="EB39" s="18" t="s">
        <v>371</v>
      </c>
      <c r="EC39" s="18" t="s">
        <v>371</v>
      </c>
      <c r="ED39" s="18" t="s">
        <v>371</v>
      </c>
      <c r="EE39" s="18" t="s">
        <v>371</v>
      </c>
      <c r="EF39" s="18" t="s">
        <v>371</v>
      </c>
      <c r="EG39" s="18" t="s">
        <v>371</v>
      </c>
      <c r="EH39" s="18" t="s">
        <v>371</v>
      </c>
    </row>
    <row r="40" spans="1:138">
      <c r="A40" s="14" t="s">
        <v>417</v>
      </c>
      <c r="B40" s="15" t="s">
        <v>414</v>
      </c>
      <c r="C40" s="14" t="s">
        <v>434</v>
      </c>
      <c r="D40" s="13"/>
      <c r="CT40" s="18" t="s">
        <v>371</v>
      </c>
      <c r="CU40" s="18" t="s">
        <v>371</v>
      </c>
      <c r="CV40" s="18" t="s">
        <v>371</v>
      </c>
      <c r="CW40" s="18" t="s">
        <v>371</v>
      </c>
      <c r="CX40" s="18" t="s">
        <v>371</v>
      </c>
      <c r="CY40" s="18" t="s">
        <v>371</v>
      </c>
      <c r="CZ40" s="18" t="s">
        <v>371</v>
      </c>
      <c r="DA40" s="18" t="s">
        <v>371</v>
      </c>
      <c r="DB40" s="18" t="s">
        <v>371</v>
      </c>
      <c r="DC40" s="18" t="s">
        <v>371</v>
      </c>
      <c r="DD40" s="18" t="s">
        <v>371</v>
      </c>
      <c r="DE40" s="18" t="s">
        <v>371</v>
      </c>
      <c r="DF40" s="18" t="s">
        <v>371</v>
      </c>
      <c r="DG40" s="18" t="s">
        <v>371</v>
      </c>
      <c r="DH40" s="18" t="s">
        <v>371</v>
      </c>
      <c r="DI40" s="18" t="s">
        <v>371</v>
      </c>
      <c r="DJ40" s="18" t="s">
        <v>371</v>
      </c>
      <c r="DK40" s="18" t="s">
        <v>371</v>
      </c>
    </row>
    <row r="41" spans="1:138">
      <c r="A41" s="14" t="s">
        <v>418</v>
      </c>
      <c r="B41" s="15" t="s">
        <v>419</v>
      </c>
      <c r="C41" s="14" t="s">
        <v>433</v>
      </c>
      <c r="D41" s="13"/>
    </row>
    <row r="42" spans="1:138">
      <c r="A42" s="14" t="s">
        <v>420</v>
      </c>
      <c r="B42" s="15" t="s">
        <v>421</v>
      </c>
      <c r="C42" s="14" t="s">
        <v>434</v>
      </c>
      <c r="D42" s="13"/>
      <c r="DC42" s="18" t="s">
        <v>371</v>
      </c>
      <c r="DD42" s="18" t="s">
        <v>371</v>
      </c>
      <c r="DE42" s="18" t="s">
        <v>371</v>
      </c>
      <c r="DF42" s="18" t="s">
        <v>371</v>
      </c>
      <c r="DG42" s="18" t="s">
        <v>371</v>
      </c>
      <c r="DH42" s="18" t="s">
        <v>371</v>
      </c>
      <c r="DI42" s="18" t="s">
        <v>371</v>
      </c>
      <c r="DJ42" s="18" t="s">
        <v>371</v>
      </c>
      <c r="DK42" s="18" t="s">
        <v>371</v>
      </c>
    </row>
    <row r="43" spans="1:138">
      <c r="A43" s="14" t="s">
        <v>422</v>
      </c>
      <c r="B43" s="15" t="s">
        <v>423</v>
      </c>
      <c r="C43" s="14" t="s">
        <v>433</v>
      </c>
      <c r="D43" s="13"/>
      <c r="DC43" s="18" t="s">
        <v>371</v>
      </c>
      <c r="DD43" s="18" t="s">
        <v>371</v>
      </c>
      <c r="DE43" s="18" t="s">
        <v>371</v>
      </c>
      <c r="DF43" s="18" t="s">
        <v>371</v>
      </c>
      <c r="DG43" s="18" t="s">
        <v>371</v>
      </c>
      <c r="DH43" s="18" t="s">
        <v>371</v>
      </c>
      <c r="DI43" s="18" t="s">
        <v>371</v>
      </c>
      <c r="DJ43" s="18" t="s">
        <v>371</v>
      </c>
      <c r="DK43" s="18" t="s">
        <v>371</v>
      </c>
      <c r="DV43" s="18" t="s">
        <v>371</v>
      </c>
      <c r="DW43" s="18" t="s">
        <v>371</v>
      </c>
      <c r="DX43" s="18" t="s">
        <v>371</v>
      </c>
      <c r="DY43" s="18" t="s">
        <v>371</v>
      </c>
      <c r="DZ43" s="18" t="s">
        <v>371</v>
      </c>
      <c r="EA43" s="18" t="s">
        <v>371</v>
      </c>
      <c r="EB43" s="18" t="s">
        <v>371</v>
      </c>
      <c r="EC43" s="18" t="s">
        <v>371</v>
      </c>
      <c r="ED43" s="18" t="s">
        <v>371</v>
      </c>
      <c r="EE43" s="18" t="s">
        <v>371</v>
      </c>
      <c r="EF43" s="18" t="s">
        <v>371</v>
      </c>
      <c r="EG43" s="18" t="s">
        <v>371</v>
      </c>
      <c r="EH43" s="18" t="s">
        <v>371</v>
      </c>
    </row>
    <row r="44" spans="1:138">
      <c r="A44" s="14" t="s">
        <v>424</v>
      </c>
      <c r="B44" s="15" t="s">
        <v>425</v>
      </c>
      <c r="C44" s="14" t="s">
        <v>434</v>
      </c>
      <c r="D44" s="13"/>
      <c r="CT44" s="18" t="s">
        <v>371</v>
      </c>
      <c r="CU44" s="18" t="s">
        <v>371</v>
      </c>
      <c r="CV44" s="18" t="s">
        <v>371</v>
      </c>
      <c r="CW44" s="18" t="s">
        <v>371</v>
      </c>
      <c r="CX44" s="18" t="s">
        <v>371</v>
      </c>
      <c r="CY44" s="18" t="s">
        <v>371</v>
      </c>
      <c r="CZ44" s="18" t="s">
        <v>371</v>
      </c>
      <c r="DA44" s="18" t="s">
        <v>371</v>
      </c>
      <c r="DB44" s="18" t="s">
        <v>371</v>
      </c>
      <c r="DC44" s="18" t="s">
        <v>371</v>
      </c>
      <c r="DD44" s="18" t="s">
        <v>371</v>
      </c>
      <c r="DE44" s="18" t="s">
        <v>371</v>
      </c>
      <c r="DF44" s="18" t="s">
        <v>371</v>
      </c>
      <c r="DG44" s="18" t="s">
        <v>371</v>
      </c>
      <c r="DH44" s="18" t="s">
        <v>371</v>
      </c>
      <c r="DI44" s="18" t="s">
        <v>371</v>
      </c>
      <c r="DJ44" s="18" t="s">
        <v>371</v>
      </c>
      <c r="DK44" s="18" t="s">
        <v>371</v>
      </c>
      <c r="DV44" s="18" t="s">
        <v>371</v>
      </c>
      <c r="DW44" s="18" t="s">
        <v>371</v>
      </c>
      <c r="DX44" s="18" t="s">
        <v>371</v>
      </c>
      <c r="DY44" s="18" t="s">
        <v>371</v>
      </c>
      <c r="DZ44" s="18" t="s">
        <v>371</v>
      </c>
      <c r="EA44" s="18" t="s">
        <v>371</v>
      </c>
      <c r="EB44" s="18" t="s">
        <v>371</v>
      </c>
      <c r="EC44" s="18" t="s">
        <v>371</v>
      </c>
      <c r="ED44" s="18" t="s">
        <v>371</v>
      </c>
      <c r="EE44" s="18" t="s">
        <v>371</v>
      </c>
      <c r="EF44" s="18" t="s">
        <v>371</v>
      </c>
      <c r="EG44" s="18" t="s">
        <v>371</v>
      </c>
      <c r="EH44" s="18" t="s">
        <v>371</v>
      </c>
    </row>
    <row r="45" spans="1:138">
      <c r="A45" s="14" t="s">
        <v>426</v>
      </c>
      <c r="B45" s="15" t="s">
        <v>425</v>
      </c>
      <c r="C45" s="14" t="s">
        <v>434</v>
      </c>
      <c r="D45" s="13"/>
      <c r="CT45" s="18" t="s">
        <v>371</v>
      </c>
      <c r="CU45" s="18" t="s">
        <v>371</v>
      </c>
      <c r="CV45" s="18" t="s">
        <v>371</v>
      </c>
      <c r="CW45" s="18" t="s">
        <v>371</v>
      </c>
      <c r="CX45" s="18" t="s">
        <v>371</v>
      </c>
      <c r="CY45" s="18" t="s">
        <v>371</v>
      </c>
      <c r="CZ45" s="18" t="s">
        <v>371</v>
      </c>
      <c r="DA45" s="18" t="s">
        <v>371</v>
      </c>
      <c r="DB45" s="18" t="s">
        <v>371</v>
      </c>
      <c r="DC45" s="18" t="s">
        <v>371</v>
      </c>
      <c r="DD45" s="18" t="s">
        <v>371</v>
      </c>
      <c r="DE45" s="18" t="s">
        <v>371</v>
      </c>
      <c r="DF45" s="18" t="s">
        <v>371</v>
      </c>
      <c r="DG45" s="18" t="s">
        <v>371</v>
      </c>
      <c r="DH45" s="18" t="s">
        <v>371</v>
      </c>
      <c r="DI45" s="18" t="s">
        <v>371</v>
      </c>
      <c r="DJ45" s="18" t="s">
        <v>371</v>
      </c>
      <c r="DK45" s="18" t="s">
        <v>371</v>
      </c>
      <c r="DV45" s="18" t="s">
        <v>371</v>
      </c>
      <c r="DW45" s="18" t="s">
        <v>371</v>
      </c>
      <c r="DX45" s="18" t="s">
        <v>371</v>
      </c>
      <c r="DY45" s="18" t="s">
        <v>371</v>
      </c>
      <c r="DZ45" s="18" t="s">
        <v>371</v>
      </c>
      <c r="EA45" s="18" t="s">
        <v>371</v>
      </c>
      <c r="EB45" s="18" t="s">
        <v>371</v>
      </c>
      <c r="EC45" s="18" t="s">
        <v>371</v>
      </c>
      <c r="ED45" s="18" t="s">
        <v>371</v>
      </c>
      <c r="EE45" s="18" t="s">
        <v>371</v>
      </c>
      <c r="EF45" s="18" t="s">
        <v>371</v>
      </c>
      <c r="EG45" s="18" t="s">
        <v>371</v>
      </c>
      <c r="EH45" s="18" t="s">
        <v>371</v>
      </c>
    </row>
  </sheetData>
  <conditionalFormatting sqref="C4:C45">
    <cfRule type="containsText" dxfId="352" priority="1" operator="containsText" text="ADDRESSABLE">
      <formula>NOT(ISERROR(SEARCH("ADDRESSABLE",C4)))</formula>
    </cfRule>
    <cfRule type="containsText" dxfId="351" priority="2" operator="containsText" text="REQUIRED">
      <formula>NOT(ISERROR(SEARCH("REQUIRED",C4)))</formula>
    </cfRule>
  </conditionalFormatting>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C7E-B3A5-9B46-BDD0-54D8DB302584}">
  <sheetPr>
    <tabColor theme="6" tint="-0.249977111117893"/>
  </sheetPr>
  <dimension ref="A1:FQ83"/>
  <sheetViews>
    <sheetView zoomScale="70" zoomScaleNormal="70" workbookViewId="0"/>
  </sheetViews>
  <sheetFormatPr baseColWidth="10" defaultColWidth="10.83203125" defaultRowHeight="15"/>
  <cols>
    <col min="1" max="1" width="45" style="33" customWidth="1"/>
    <col min="2" max="2" width="10.83203125" style="39"/>
    <col min="3" max="173" width="41" style="33" customWidth="1"/>
    <col min="174" max="16384" width="10.83203125" style="33"/>
  </cols>
  <sheetData>
    <row r="1" spans="1:173" ht="16">
      <c r="A1" s="32"/>
      <c r="B1" s="29"/>
      <c r="C1" s="24" t="s">
        <v>66</v>
      </c>
      <c r="D1" s="24" t="s">
        <v>66</v>
      </c>
      <c r="E1" s="24" t="s">
        <v>66</v>
      </c>
      <c r="F1" s="24" t="s">
        <v>66</v>
      </c>
      <c r="G1" s="24" t="s">
        <v>66</v>
      </c>
      <c r="H1" s="24" t="s">
        <v>66</v>
      </c>
      <c r="I1" s="24" t="s">
        <v>66</v>
      </c>
      <c r="J1" s="24" t="s">
        <v>66</v>
      </c>
      <c r="K1" s="24" t="s">
        <v>66</v>
      </c>
      <c r="L1" s="24" t="s">
        <v>66</v>
      </c>
      <c r="M1" s="24" t="s">
        <v>66</v>
      </c>
      <c r="N1" s="24" t="s">
        <v>66</v>
      </c>
      <c r="O1" s="24" t="s">
        <v>66</v>
      </c>
      <c r="P1" s="24" t="s">
        <v>66</v>
      </c>
      <c r="Q1" s="24" t="s">
        <v>66</v>
      </c>
      <c r="R1" s="24" t="s">
        <v>66</v>
      </c>
      <c r="S1" s="24" t="s">
        <v>66</v>
      </c>
      <c r="T1" s="24" t="s">
        <v>66</v>
      </c>
      <c r="U1" s="24" t="s">
        <v>66</v>
      </c>
      <c r="V1" s="24" t="s">
        <v>66</v>
      </c>
      <c r="W1" s="24" t="s">
        <v>66</v>
      </c>
      <c r="X1" s="24" t="s">
        <v>66</v>
      </c>
      <c r="Y1" s="24" t="s">
        <v>66</v>
      </c>
      <c r="Z1" s="24" t="s">
        <v>66</v>
      </c>
      <c r="AA1" s="24" t="s">
        <v>66</v>
      </c>
      <c r="AB1" s="24" t="s">
        <v>66</v>
      </c>
      <c r="AC1" s="24" t="s">
        <v>66</v>
      </c>
      <c r="AD1" s="24" t="s">
        <v>66</v>
      </c>
      <c r="AE1" s="24" t="s">
        <v>66</v>
      </c>
      <c r="AF1" s="24" t="s">
        <v>66</v>
      </c>
      <c r="AG1" s="24" t="s">
        <v>66</v>
      </c>
      <c r="AH1" s="24" t="s">
        <v>66</v>
      </c>
      <c r="AI1" s="24" t="s">
        <v>66</v>
      </c>
      <c r="AJ1" s="24" t="s">
        <v>66</v>
      </c>
      <c r="AK1" s="24" t="s">
        <v>66</v>
      </c>
      <c r="AL1" s="24" t="s">
        <v>66</v>
      </c>
      <c r="AM1" s="24" t="s">
        <v>66</v>
      </c>
      <c r="AN1" s="24" t="s">
        <v>66</v>
      </c>
      <c r="AO1" s="24" t="s">
        <v>66</v>
      </c>
      <c r="AP1" s="24" t="s">
        <v>66</v>
      </c>
      <c r="AQ1" s="24" t="s">
        <v>66</v>
      </c>
      <c r="AR1" s="24" t="s">
        <v>66</v>
      </c>
      <c r="AS1" s="24" t="s">
        <v>66</v>
      </c>
      <c r="AT1" s="24" t="s">
        <v>66</v>
      </c>
      <c r="AU1" s="24" t="s">
        <v>66</v>
      </c>
      <c r="AV1" s="24" t="s">
        <v>66</v>
      </c>
      <c r="AW1" s="24" t="s">
        <v>66</v>
      </c>
      <c r="AX1" s="24" t="s">
        <v>66</v>
      </c>
      <c r="AY1" s="24" t="s">
        <v>66</v>
      </c>
      <c r="AZ1" s="24" t="s">
        <v>66</v>
      </c>
      <c r="BA1" s="24" t="s">
        <v>66</v>
      </c>
      <c r="BB1" s="24" t="s">
        <v>66</v>
      </c>
      <c r="BC1" s="24" t="s">
        <v>66</v>
      </c>
      <c r="BD1" s="24" t="s">
        <v>66</v>
      </c>
      <c r="BE1" s="24" t="s">
        <v>66</v>
      </c>
      <c r="BF1" s="24" t="s">
        <v>66</v>
      </c>
      <c r="BG1" s="24" t="s">
        <v>66</v>
      </c>
      <c r="BH1" s="24" t="s">
        <v>66</v>
      </c>
      <c r="BI1" s="24" t="s">
        <v>66</v>
      </c>
      <c r="BJ1" s="24" t="s">
        <v>66</v>
      </c>
      <c r="BK1" s="24" t="s">
        <v>66</v>
      </c>
      <c r="BL1" s="24" t="s">
        <v>66</v>
      </c>
      <c r="BM1" s="24" t="s">
        <v>66</v>
      </c>
      <c r="BN1" s="24" t="s">
        <v>66</v>
      </c>
      <c r="BO1" s="24" t="s">
        <v>66</v>
      </c>
      <c r="BP1" s="24" t="s">
        <v>66</v>
      </c>
      <c r="BQ1" s="24" t="s">
        <v>66</v>
      </c>
      <c r="BR1" s="24" t="s">
        <v>66</v>
      </c>
      <c r="BS1" s="24" t="s">
        <v>66</v>
      </c>
      <c r="BT1" s="24" t="s">
        <v>66</v>
      </c>
      <c r="BU1" s="24" t="s">
        <v>66</v>
      </c>
      <c r="BV1" s="24" t="s">
        <v>66</v>
      </c>
      <c r="BW1" s="24" t="s">
        <v>66</v>
      </c>
      <c r="BX1" s="24" t="s">
        <v>66</v>
      </c>
      <c r="BY1" s="24" t="s">
        <v>66</v>
      </c>
      <c r="BZ1" s="24" t="s">
        <v>67</v>
      </c>
      <c r="CA1" s="24" t="s">
        <v>67</v>
      </c>
      <c r="CB1" s="24" t="s">
        <v>67</v>
      </c>
      <c r="CC1" s="24" t="s">
        <v>67</v>
      </c>
      <c r="CD1" s="24" t="s">
        <v>67</v>
      </c>
      <c r="CE1" s="24" t="s">
        <v>67</v>
      </c>
      <c r="CF1" s="24" t="s">
        <v>67</v>
      </c>
      <c r="CG1" s="24" t="s">
        <v>67</v>
      </c>
      <c r="CH1" s="24" t="s">
        <v>67</v>
      </c>
      <c r="CI1" s="24" t="s">
        <v>67</v>
      </c>
      <c r="CJ1" s="24" t="s">
        <v>67</v>
      </c>
      <c r="CK1" s="24" t="s">
        <v>67</v>
      </c>
      <c r="CL1" s="24" t="s">
        <v>67</v>
      </c>
      <c r="CM1" s="24" t="s">
        <v>67</v>
      </c>
      <c r="CN1" s="24" t="s">
        <v>67</v>
      </c>
      <c r="CO1" s="24" t="s">
        <v>67</v>
      </c>
      <c r="CP1" s="24" t="s">
        <v>67</v>
      </c>
      <c r="CQ1" s="24" t="s">
        <v>67</v>
      </c>
      <c r="CR1" s="24" t="s">
        <v>67</v>
      </c>
      <c r="CS1" s="24" t="s">
        <v>67</v>
      </c>
      <c r="CT1" s="24" t="s">
        <v>67</v>
      </c>
      <c r="CU1" s="24" t="s">
        <v>67</v>
      </c>
      <c r="CV1" s="24" t="s">
        <v>67</v>
      </c>
      <c r="CW1" s="24" t="s">
        <v>67</v>
      </c>
      <c r="CX1" s="24" t="s">
        <v>67</v>
      </c>
      <c r="CY1" s="24" t="s">
        <v>67</v>
      </c>
      <c r="CZ1" s="24" t="s">
        <v>67</v>
      </c>
      <c r="DA1" s="24" t="s">
        <v>67</v>
      </c>
      <c r="DB1" s="24" t="s">
        <v>68</v>
      </c>
      <c r="DC1" s="24" t="s">
        <v>68</v>
      </c>
      <c r="DD1" s="24" t="s">
        <v>68</v>
      </c>
      <c r="DE1" s="24" t="s">
        <v>68</v>
      </c>
      <c r="DF1" s="24" t="s">
        <v>68</v>
      </c>
      <c r="DG1" s="24" t="s">
        <v>68</v>
      </c>
      <c r="DH1" s="24" t="s">
        <v>68</v>
      </c>
      <c r="DI1" s="24" t="s">
        <v>68</v>
      </c>
      <c r="DJ1" s="24" t="s">
        <v>68</v>
      </c>
      <c r="DK1" s="24" t="s">
        <v>67</v>
      </c>
      <c r="DL1" s="24" t="s">
        <v>67</v>
      </c>
      <c r="DM1" s="24" t="s">
        <v>67</v>
      </c>
      <c r="DN1" s="24" t="s">
        <v>67</v>
      </c>
      <c r="DO1" s="24" t="s">
        <v>67</v>
      </c>
      <c r="DP1" s="24" t="s">
        <v>67</v>
      </c>
      <c r="DQ1" s="24" t="s">
        <v>67</v>
      </c>
      <c r="DR1" s="24" t="s">
        <v>67</v>
      </c>
      <c r="DS1" s="24" t="s">
        <v>67</v>
      </c>
      <c r="DT1" s="24" t="s">
        <v>67</v>
      </c>
      <c r="DU1" s="24" t="s">
        <v>68</v>
      </c>
      <c r="DV1" s="24" t="s">
        <v>68</v>
      </c>
      <c r="DW1" s="24" t="s">
        <v>68</v>
      </c>
      <c r="DX1" s="24" t="s">
        <v>68</v>
      </c>
      <c r="DY1" s="24" t="s">
        <v>68</v>
      </c>
      <c r="DZ1" s="24" t="s">
        <v>68</v>
      </c>
      <c r="EA1" s="24" t="s">
        <v>68</v>
      </c>
      <c r="EB1" s="24" t="s">
        <v>68</v>
      </c>
      <c r="EC1" s="24" t="s">
        <v>68</v>
      </c>
      <c r="ED1" s="24" t="s">
        <v>68</v>
      </c>
      <c r="EE1" s="24" t="s">
        <v>68</v>
      </c>
      <c r="EF1" s="24" t="s">
        <v>68</v>
      </c>
      <c r="EG1" s="24" t="s">
        <v>68</v>
      </c>
      <c r="EH1" s="24" t="s">
        <v>68</v>
      </c>
      <c r="EI1" s="24" t="s">
        <v>68</v>
      </c>
      <c r="EJ1" s="24" t="s">
        <v>68</v>
      </c>
      <c r="EK1" s="24" t="s">
        <v>68</v>
      </c>
      <c r="EL1" s="24" t="s">
        <v>68</v>
      </c>
      <c r="EM1" s="24" t="s">
        <v>68</v>
      </c>
      <c r="EN1" s="24" t="s">
        <v>68</v>
      </c>
      <c r="EO1" s="24" t="s">
        <v>68</v>
      </c>
      <c r="EP1" s="24" t="s">
        <v>68</v>
      </c>
      <c r="EQ1" s="24" t="s">
        <v>68</v>
      </c>
      <c r="ER1" s="24" t="s">
        <v>68</v>
      </c>
      <c r="ES1" s="24" t="s">
        <v>68</v>
      </c>
      <c r="ET1" s="24" t="s">
        <v>68</v>
      </c>
      <c r="EU1" s="24" t="s">
        <v>68</v>
      </c>
      <c r="EV1" s="24" t="s">
        <v>68</v>
      </c>
      <c r="EW1" s="24" t="s">
        <v>68</v>
      </c>
      <c r="EX1" s="24" t="s">
        <v>68</v>
      </c>
      <c r="EY1" s="24" t="s">
        <v>68</v>
      </c>
      <c r="EZ1" s="24" t="s">
        <v>68</v>
      </c>
      <c r="FA1" s="24" t="s">
        <v>68</v>
      </c>
      <c r="FB1" s="24" t="s">
        <v>68</v>
      </c>
      <c r="FC1" s="24" t="s">
        <v>68</v>
      </c>
      <c r="FD1" s="24" t="s">
        <v>68</v>
      </c>
      <c r="FE1" s="24" t="s">
        <v>68</v>
      </c>
      <c r="FF1" s="24" t="s">
        <v>68</v>
      </c>
      <c r="FG1" s="24" t="s">
        <v>68</v>
      </c>
      <c r="FH1" s="24" t="s">
        <v>68</v>
      </c>
      <c r="FI1" s="24" t="s">
        <v>68</v>
      </c>
      <c r="FJ1" s="24" t="s">
        <v>68</v>
      </c>
      <c r="FK1" s="24" t="s">
        <v>68</v>
      </c>
      <c r="FL1" s="24" t="s">
        <v>68</v>
      </c>
      <c r="FM1" s="24" t="s">
        <v>68</v>
      </c>
      <c r="FN1" s="24" t="s">
        <v>68</v>
      </c>
      <c r="FO1" s="24" t="s">
        <v>68</v>
      </c>
      <c r="FP1" s="24" t="s">
        <v>68</v>
      </c>
      <c r="FQ1" s="24" t="s">
        <v>68</v>
      </c>
    </row>
    <row r="2" spans="1:173" ht="16">
      <c r="A2" s="32"/>
      <c r="B2" s="29"/>
      <c r="C2" s="34" t="s">
        <v>69</v>
      </c>
      <c r="D2" s="34" t="s">
        <v>70</v>
      </c>
      <c r="E2" s="34" t="s">
        <v>71</v>
      </c>
      <c r="F2" s="34" t="s">
        <v>72</v>
      </c>
      <c r="G2" s="34" t="s">
        <v>73</v>
      </c>
      <c r="H2" s="34" t="s">
        <v>74</v>
      </c>
      <c r="I2" s="34">
        <v>1.7</v>
      </c>
      <c r="J2" s="34">
        <v>1.8</v>
      </c>
      <c r="K2" s="34" t="s">
        <v>75</v>
      </c>
      <c r="L2" s="34" t="s">
        <v>76</v>
      </c>
      <c r="M2" s="34" t="s">
        <v>77</v>
      </c>
      <c r="N2" s="34" t="s">
        <v>78</v>
      </c>
      <c r="O2" s="34" t="s">
        <v>79</v>
      </c>
      <c r="P2" s="34" t="s">
        <v>80</v>
      </c>
      <c r="Q2" s="34" t="s">
        <v>81</v>
      </c>
      <c r="R2" s="34" t="s">
        <v>82</v>
      </c>
      <c r="S2" s="34" t="s">
        <v>83</v>
      </c>
      <c r="T2" s="34" t="s">
        <v>84</v>
      </c>
      <c r="U2" s="34">
        <v>3.1</v>
      </c>
      <c r="V2" s="34">
        <v>3.2</v>
      </c>
      <c r="W2" s="34">
        <v>3.3</v>
      </c>
      <c r="X2" s="34">
        <v>3.4</v>
      </c>
      <c r="Y2" s="34">
        <v>3.5</v>
      </c>
      <c r="Z2" s="34">
        <v>3.6</v>
      </c>
      <c r="AA2" s="34">
        <v>3.7</v>
      </c>
      <c r="AB2" s="34">
        <v>4.0999999999999996</v>
      </c>
      <c r="AC2" s="34">
        <v>4.2</v>
      </c>
      <c r="AD2" s="34">
        <v>4.3</v>
      </c>
      <c r="AE2" s="34">
        <v>4.4000000000000004</v>
      </c>
      <c r="AF2" s="34">
        <v>4.5</v>
      </c>
      <c r="AG2" s="34">
        <v>4.5999999999999996</v>
      </c>
      <c r="AH2" s="34">
        <v>4.7</v>
      </c>
      <c r="AI2" s="34">
        <v>4.8</v>
      </c>
      <c r="AJ2" s="34">
        <v>4.9000000000000004</v>
      </c>
      <c r="AK2" s="34">
        <v>5.0999999999999996</v>
      </c>
      <c r="AL2" s="34">
        <v>5.2</v>
      </c>
      <c r="AM2" s="34">
        <v>5.3</v>
      </c>
      <c r="AN2" s="34">
        <v>5.4</v>
      </c>
      <c r="AO2" s="34">
        <v>5.5</v>
      </c>
      <c r="AP2" s="34" t="s">
        <v>85</v>
      </c>
      <c r="AQ2" s="34" t="s">
        <v>86</v>
      </c>
      <c r="AR2" s="34" t="s">
        <v>87</v>
      </c>
      <c r="AS2" s="34" t="s">
        <v>88</v>
      </c>
      <c r="AT2" s="34" t="s">
        <v>89</v>
      </c>
      <c r="AU2" s="34" t="s">
        <v>90</v>
      </c>
      <c r="AV2" s="34">
        <v>6.7</v>
      </c>
      <c r="AW2" s="34">
        <v>6.8</v>
      </c>
      <c r="AX2" s="34" t="s">
        <v>91</v>
      </c>
      <c r="AY2" s="34" t="s">
        <v>92</v>
      </c>
      <c r="AZ2" s="34" t="s">
        <v>93</v>
      </c>
      <c r="BA2" s="34" t="s">
        <v>94</v>
      </c>
      <c r="BB2" s="34" t="s">
        <v>95</v>
      </c>
      <c r="BC2" s="34" t="s">
        <v>96</v>
      </c>
      <c r="BD2" s="34" t="s">
        <v>97</v>
      </c>
      <c r="BE2" s="34" t="s">
        <v>98</v>
      </c>
      <c r="BF2" s="34">
        <v>7.9</v>
      </c>
      <c r="BG2" s="34" t="s">
        <v>99</v>
      </c>
      <c r="BH2" s="34" t="s">
        <v>100</v>
      </c>
      <c r="BI2" s="34" t="s">
        <v>101</v>
      </c>
      <c r="BJ2" s="34" t="s">
        <v>102</v>
      </c>
      <c r="BK2" s="34" t="s">
        <v>103</v>
      </c>
      <c r="BL2" s="34" t="s">
        <v>104</v>
      </c>
      <c r="BM2" s="34" t="s">
        <v>105</v>
      </c>
      <c r="BN2" s="34">
        <v>8.6999999999999993</v>
      </c>
      <c r="BO2" s="34">
        <v>8.8000000000000007</v>
      </c>
      <c r="BP2" s="34" t="s">
        <v>106</v>
      </c>
      <c r="BQ2" s="34" t="s">
        <v>107</v>
      </c>
      <c r="BR2" s="34" t="s">
        <v>108</v>
      </c>
      <c r="BS2" s="34" t="s">
        <v>109</v>
      </c>
      <c r="BT2" s="34" t="s">
        <v>110</v>
      </c>
      <c r="BU2" s="34" t="s">
        <v>111</v>
      </c>
      <c r="BV2" s="34" t="s">
        <v>112</v>
      </c>
      <c r="BW2" s="34" t="s">
        <v>113</v>
      </c>
      <c r="BX2" s="34" t="s">
        <v>114</v>
      </c>
      <c r="BY2" s="34">
        <v>10.5</v>
      </c>
      <c r="BZ2" s="34" t="s">
        <v>115</v>
      </c>
      <c r="CA2" s="34" t="s">
        <v>116</v>
      </c>
      <c r="CB2" s="34" t="s">
        <v>117</v>
      </c>
      <c r="CC2" s="34" t="s">
        <v>118</v>
      </c>
      <c r="CD2" s="34" t="s">
        <v>119</v>
      </c>
      <c r="CE2" s="34" t="s">
        <v>120</v>
      </c>
      <c r="CF2" s="34" t="s">
        <v>121</v>
      </c>
      <c r="CG2" s="34" t="s">
        <v>122</v>
      </c>
      <c r="CH2" s="34" t="s">
        <v>123</v>
      </c>
      <c r="CI2" s="34" t="s">
        <v>124</v>
      </c>
      <c r="CJ2" s="34" t="s">
        <v>125</v>
      </c>
      <c r="CK2" s="34" t="s">
        <v>126</v>
      </c>
      <c r="CL2" s="34" t="s">
        <v>127</v>
      </c>
      <c r="CM2" s="34" t="s">
        <v>128</v>
      </c>
      <c r="CN2" s="34" t="s">
        <v>129</v>
      </c>
      <c r="CO2" s="34" t="s">
        <v>130</v>
      </c>
      <c r="CP2" s="34" t="s">
        <v>131</v>
      </c>
      <c r="CQ2" s="34">
        <v>12.11</v>
      </c>
      <c r="CR2" s="34">
        <v>12.12</v>
      </c>
      <c r="CS2" s="34" t="s">
        <v>132</v>
      </c>
      <c r="CT2" s="34" t="s">
        <v>133</v>
      </c>
      <c r="CU2" s="34" t="s">
        <v>134</v>
      </c>
      <c r="CV2" s="34" t="s">
        <v>135</v>
      </c>
      <c r="CW2" s="34" t="s">
        <v>136</v>
      </c>
      <c r="CX2" s="34" t="s">
        <v>137</v>
      </c>
      <c r="CY2" s="34" t="s">
        <v>138</v>
      </c>
      <c r="CZ2" s="34" t="s">
        <v>139</v>
      </c>
      <c r="DA2" s="34" t="s">
        <v>140</v>
      </c>
      <c r="DB2" s="24" t="s">
        <v>141</v>
      </c>
      <c r="DC2" s="24" t="s">
        <v>142</v>
      </c>
      <c r="DD2" s="24" t="s">
        <v>143</v>
      </c>
      <c r="DE2" s="24" t="s">
        <v>144</v>
      </c>
      <c r="DF2" s="24" t="s">
        <v>145</v>
      </c>
      <c r="DG2" s="24" t="s">
        <v>146</v>
      </c>
      <c r="DH2" s="24" t="s">
        <v>147</v>
      </c>
      <c r="DI2" s="24">
        <v>14.8</v>
      </c>
      <c r="DJ2" s="24">
        <v>14.9</v>
      </c>
      <c r="DK2" s="34" t="s">
        <v>148</v>
      </c>
      <c r="DL2" s="34" t="s">
        <v>149</v>
      </c>
      <c r="DM2" s="34" t="s">
        <v>150</v>
      </c>
      <c r="DN2" s="34" t="s">
        <v>151</v>
      </c>
      <c r="DO2" s="34" t="s">
        <v>152</v>
      </c>
      <c r="DP2" s="34" t="s">
        <v>153</v>
      </c>
      <c r="DQ2" s="34" t="s">
        <v>154</v>
      </c>
      <c r="DR2" s="34" t="s">
        <v>155</v>
      </c>
      <c r="DS2" s="34" t="s">
        <v>156</v>
      </c>
      <c r="DT2" s="34" t="s">
        <v>157</v>
      </c>
      <c r="DU2" s="34" t="s">
        <v>158</v>
      </c>
      <c r="DV2" s="34" t="s">
        <v>159</v>
      </c>
      <c r="DW2" s="34" t="s">
        <v>160</v>
      </c>
      <c r="DX2" s="34" t="s">
        <v>161</v>
      </c>
      <c r="DY2" s="34" t="s">
        <v>162</v>
      </c>
      <c r="DZ2" s="34" t="s">
        <v>163</v>
      </c>
      <c r="EA2" s="34" t="s">
        <v>164</v>
      </c>
      <c r="EB2" s="34" t="s">
        <v>165</v>
      </c>
      <c r="EC2" s="34" t="s">
        <v>166</v>
      </c>
      <c r="ED2" s="34" t="s">
        <v>167</v>
      </c>
      <c r="EE2" s="34" t="s">
        <v>168</v>
      </c>
      <c r="EF2" s="34" t="s">
        <v>169</v>
      </c>
      <c r="EG2" s="34" t="s">
        <v>170</v>
      </c>
      <c r="EH2" s="34" t="s">
        <v>171</v>
      </c>
      <c r="EI2" s="34" t="s">
        <v>172</v>
      </c>
      <c r="EJ2" s="34" t="s">
        <v>173</v>
      </c>
      <c r="EK2" s="34" t="s">
        <v>174</v>
      </c>
      <c r="EL2" s="34" t="s">
        <v>175</v>
      </c>
      <c r="EM2" s="34">
        <v>17.600000000000001</v>
      </c>
      <c r="EN2" s="34">
        <v>17.7</v>
      </c>
      <c r="EO2" s="34">
        <v>17.8</v>
      </c>
      <c r="EP2" s="34">
        <v>17.899999999999999</v>
      </c>
      <c r="EQ2" s="34" t="s">
        <v>176</v>
      </c>
      <c r="ER2" s="34" t="s">
        <v>177</v>
      </c>
      <c r="ES2" s="34" t="s">
        <v>178</v>
      </c>
      <c r="ET2" s="34" t="s">
        <v>179</v>
      </c>
      <c r="EU2" s="34" t="s">
        <v>180</v>
      </c>
      <c r="EV2" s="34" t="s">
        <v>181</v>
      </c>
      <c r="EW2" s="34" t="s">
        <v>182</v>
      </c>
      <c r="EX2" s="34" t="s">
        <v>183</v>
      </c>
      <c r="EY2" s="34" t="s">
        <v>184</v>
      </c>
      <c r="EZ2" s="34" t="s">
        <v>185</v>
      </c>
      <c r="FA2" s="34">
        <v>18.11</v>
      </c>
      <c r="FB2" s="34" t="s">
        <v>186</v>
      </c>
      <c r="FC2" s="34" t="s">
        <v>187</v>
      </c>
      <c r="FD2" s="34" t="s">
        <v>188</v>
      </c>
      <c r="FE2" s="34" t="s">
        <v>189</v>
      </c>
      <c r="FF2" s="34" t="s">
        <v>190</v>
      </c>
      <c r="FG2" s="34" t="s">
        <v>191</v>
      </c>
      <c r="FH2" s="34" t="s">
        <v>192</v>
      </c>
      <c r="FI2" s="34">
        <v>19.8</v>
      </c>
      <c r="FJ2" s="34" t="s">
        <v>193</v>
      </c>
      <c r="FK2" s="34" t="s">
        <v>194</v>
      </c>
      <c r="FL2" s="34" t="s">
        <v>195</v>
      </c>
      <c r="FM2" s="34" t="s">
        <v>196</v>
      </c>
      <c r="FN2" s="34" t="s">
        <v>197</v>
      </c>
      <c r="FO2" s="34" t="s">
        <v>198</v>
      </c>
      <c r="FP2" s="34" t="s">
        <v>199</v>
      </c>
      <c r="FQ2" s="34" t="s">
        <v>200</v>
      </c>
    </row>
    <row r="3" spans="1:173" s="31" customFormat="1" ht="105" customHeight="1">
      <c r="A3" s="30" t="s">
        <v>523</v>
      </c>
      <c r="B3" s="29" t="s">
        <v>4</v>
      </c>
      <c r="C3" s="24" t="s">
        <v>201</v>
      </c>
      <c r="D3" s="24" t="s">
        <v>202</v>
      </c>
      <c r="E3" s="24" t="s">
        <v>203</v>
      </c>
      <c r="F3" s="24" t="s">
        <v>204</v>
      </c>
      <c r="G3" s="24" t="s">
        <v>205</v>
      </c>
      <c r="H3" s="24" t="s">
        <v>206</v>
      </c>
      <c r="I3" s="24" t="s">
        <v>427</v>
      </c>
      <c r="J3" s="24" t="s">
        <v>207</v>
      </c>
      <c r="K3" s="24" t="s">
        <v>208</v>
      </c>
      <c r="L3" s="24" t="s">
        <v>209</v>
      </c>
      <c r="M3" s="24" t="s">
        <v>210</v>
      </c>
      <c r="N3" s="24" t="s">
        <v>211</v>
      </c>
      <c r="O3" s="24" t="s">
        <v>212</v>
      </c>
      <c r="P3" s="24" t="s">
        <v>213</v>
      </c>
      <c r="Q3" s="24" t="s">
        <v>214</v>
      </c>
      <c r="R3" s="24" t="s">
        <v>215</v>
      </c>
      <c r="S3" s="24" t="s">
        <v>216</v>
      </c>
      <c r="T3" s="24" t="s">
        <v>217</v>
      </c>
      <c r="U3" s="24" t="s">
        <v>429</v>
      </c>
      <c r="V3" s="24" t="s">
        <v>218</v>
      </c>
      <c r="W3" s="24" t="s">
        <v>219</v>
      </c>
      <c r="X3" s="24" t="s">
        <v>220</v>
      </c>
      <c r="Y3" s="24" t="s">
        <v>221</v>
      </c>
      <c r="Z3" s="24" t="s">
        <v>222</v>
      </c>
      <c r="AA3" s="24" t="s">
        <v>223</v>
      </c>
      <c r="AB3" s="24" t="s">
        <v>224</v>
      </c>
      <c r="AC3" s="24" t="s">
        <v>225</v>
      </c>
      <c r="AD3" s="24" t="s">
        <v>226</v>
      </c>
      <c r="AE3" s="24" t="s">
        <v>227</v>
      </c>
      <c r="AF3" s="24" t="s">
        <v>228</v>
      </c>
      <c r="AG3" s="24" t="s">
        <v>431</v>
      </c>
      <c r="AH3" s="24" t="s">
        <v>229</v>
      </c>
      <c r="AI3" s="24" t="s">
        <v>230</v>
      </c>
      <c r="AJ3" s="24" t="s">
        <v>231</v>
      </c>
      <c r="AK3" s="24" t="s">
        <v>232</v>
      </c>
      <c r="AL3" s="24" t="s">
        <v>233</v>
      </c>
      <c r="AM3" s="24" t="s">
        <v>234</v>
      </c>
      <c r="AN3" s="24" t="s">
        <v>235</v>
      </c>
      <c r="AO3" s="24" t="s">
        <v>236</v>
      </c>
      <c r="AP3" s="24" t="s">
        <v>237</v>
      </c>
      <c r="AQ3" s="24" t="s">
        <v>238</v>
      </c>
      <c r="AR3" s="24" t="s">
        <v>239</v>
      </c>
      <c r="AS3" s="24" t="s">
        <v>240</v>
      </c>
      <c r="AT3" s="24" t="s">
        <v>241</v>
      </c>
      <c r="AU3" s="24" t="s">
        <v>242</v>
      </c>
      <c r="AV3" s="24" t="s">
        <v>243</v>
      </c>
      <c r="AW3" s="24" t="s">
        <v>244</v>
      </c>
      <c r="AX3" s="24" t="s">
        <v>245</v>
      </c>
      <c r="AY3" s="24" t="s">
        <v>246</v>
      </c>
      <c r="AZ3" s="24" t="s">
        <v>247</v>
      </c>
      <c r="BA3" s="24" t="s">
        <v>248</v>
      </c>
      <c r="BB3" s="24" t="s">
        <v>249</v>
      </c>
      <c r="BC3" s="24" t="s">
        <v>250</v>
      </c>
      <c r="BD3" s="24" t="s">
        <v>251</v>
      </c>
      <c r="BE3" s="24" t="s">
        <v>252</v>
      </c>
      <c r="BF3" s="24" t="s">
        <v>253</v>
      </c>
      <c r="BG3" s="24" t="s">
        <v>254</v>
      </c>
      <c r="BH3" s="24" t="s">
        <v>255</v>
      </c>
      <c r="BI3" s="24" t="s">
        <v>256</v>
      </c>
      <c r="BJ3" s="24" t="s">
        <v>257</v>
      </c>
      <c r="BK3" s="24" t="s">
        <v>258</v>
      </c>
      <c r="BL3" s="24" t="s">
        <v>259</v>
      </c>
      <c r="BM3" s="24" t="s">
        <v>260</v>
      </c>
      <c r="BN3" s="24" t="s">
        <v>261</v>
      </c>
      <c r="BO3" s="24" t="s">
        <v>262</v>
      </c>
      <c r="BP3" s="24" t="s">
        <v>263</v>
      </c>
      <c r="BQ3" s="24" t="s">
        <v>264</v>
      </c>
      <c r="BR3" s="24" t="s">
        <v>265</v>
      </c>
      <c r="BS3" s="24" t="s">
        <v>266</v>
      </c>
      <c r="BT3" s="24" t="s">
        <v>267</v>
      </c>
      <c r="BU3" s="24" t="s">
        <v>268</v>
      </c>
      <c r="BV3" s="24" t="s">
        <v>269</v>
      </c>
      <c r="BW3" s="24" t="s">
        <v>270</v>
      </c>
      <c r="BX3" s="24" t="s">
        <v>271</v>
      </c>
      <c r="BY3" s="24" t="s">
        <v>272</v>
      </c>
      <c r="BZ3" s="24" t="s">
        <v>273</v>
      </c>
      <c r="CA3" s="24" t="s">
        <v>274</v>
      </c>
      <c r="CB3" s="24" t="s">
        <v>0</v>
      </c>
      <c r="CC3" s="24" t="s">
        <v>275</v>
      </c>
      <c r="CD3" s="24" t="s">
        <v>276</v>
      </c>
      <c r="CE3" s="24" t="s">
        <v>277</v>
      </c>
      <c r="CF3" s="24" t="s">
        <v>278</v>
      </c>
      <c r="CG3" s="24" t="s">
        <v>279</v>
      </c>
      <c r="CH3" s="24" t="s">
        <v>280</v>
      </c>
      <c r="CI3" s="24" t="s">
        <v>281</v>
      </c>
      <c r="CJ3" s="24" t="s">
        <v>282</v>
      </c>
      <c r="CK3" s="24" t="s">
        <v>283</v>
      </c>
      <c r="CL3" s="24" t="s">
        <v>284</v>
      </c>
      <c r="CM3" s="24" t="s">
        <v>285</v>
      </c>
      <c r="CN3" s="24" t="s">
        <v>286</v>
      </c>
      <c r="CO3" s="24" t="s">
        <v>287</v>
      </c>
      <c r="CP3" s="24" t="s">
        <v>288</v>
      </c>
      <c r="CQ3" s="24" t="s">
        <v>289</v>
      </c>
      <c r="CR3" s="24" t="s">
        <v>290</v>
      </c>
      <c r="CS3" s="24" t="s">
        <v>291</v>
      </c>
      <c r="CT3" s="24" t="s">
        <v>292</v>
      </c>
      <c r="CU3" s="24" t="s">
        <v>293</v>
      </c>
      <c r="CV3" s="24" t="s">
        <v>294</v>
      </c>
      <c r="CW3" s="24" t="s">
        <v>295</v>
      </c>
      <c r="CX3" s="24" t="s">
        <v>296</v>
      </c>
      <c r="CY3" s="24" t="s">
        <v>297</v>
      </c>
      <c r="CZ3" s="24" t="s">
        <v>298</v>
      </c>
      <c r="DA3" s="24" t="s">
        <v>299</v>
      </c>
      <c r="DB3" s="24" t="s">
        <v>300</v>
      </c>
      <c r="DC3" s="24" t="s">
        <v>301</v>
      </c>
      <c r="DD3" s="24" t="s">
        <v>302</v>
      </c>
      <c r="DE3" s="24" t="s">
        <v>303</v>
      </c>
      <c r="DF3" s="24" t="s">
        <v>304</v>
      </c>
      <c r="DG3" s="24" t="s">
        <v>305</v>
      </c>
      <c r="DH3" s="24" t="s">
        <v>306</v>
      </c>
      <c r="DI3" s="24" t="s">
        <v>307</v>
      </c>
      <c r="DJ3" s="24" t="s">
        <v>308</v>
      </c>
      <c r="DK3" s="24" t="s">
        <v>309</v>
      </c>
      <c r="DL3" s="24" t="s">
        <v>310</v>
      </c>
      <c r="DM3" s="24" t="s">
        <v>311</v>
      </c>
      <c r="DN3" s="24" t="s">
        <v>312</v>
      </c>
      <c r="DO3" s="24" t="s">
        <v>313</v>
      </c>
      <c r="DP3" s="24" t="s">
        <v>314</v>
      </c>
      <c r="DQ3" s="24" t="s">
        <v>315</v>
      </c>
      <c r="DR3" s="24" t="s">
        <v>316</v>
      </c>
      <c r="DS3" s="24" t="s">
        <v>317</v>
      </c>
      <c r="DT3" s="24" t="s">
        <v>318</v>
      </c>
      <c r="DU3" s="24" t="s">
        <v>319</v>
      </c>
      <c r="DV3" s="24" t="s">
        <v>320</v>
      </c>
      <c r="DW3" s="24" t="s">
        <v>321</v>
      </c>
      <c r="DX3" s="24" t="s">
        <v>322</v>
      </c>
      <c r="DY3" s="24" t="s">
        <v>323</v>
      </c>
      <c r="DZ3" s="24" t="s">
        <v>324</v>
      </c>
      <c r="EA3" s="24" t="s">
        <v>325</v>
      </c>
      <c r="EB3" s="24" t="s">
        <v>326</v>
      </c>
      <c r="EC3" s="24" t="s">
        <v>327</v>
      </c>
      <c r="ED3" s="24" t="s">
        <v>328</v>
      </c>
      <c r="EE3" s="24" t="s">
        <v>329</v>
      </c>
      <c r="EF3" s="24" t="s">
        <v>330</v>
      </c>
      <c r="EG3" s="24" t="s">
        <v>1</v>
      </c>
      <c r="EH3" s="24" t="s">
        <v>331</v>
      </c>
      <c r="EI3" s="24" t="s">
        <v>332</v>
      </c>
      <c r="EJ3" s="24" t="s">
        <v>2</v>
      </c>
      <c r="EK3" s="24" t="s">
        <v>333</v>
      </c>
      <c r="EL3" s="24" t="s">
        <v>334</v>
      </c>
      <c r="EM3" s="24" t="s">
        <v>335</v>
      </c>
      <c r="EN3" s="24" t="s">
        <v>336</v>
      </c>
      <c r="EO3" s="24" t="s">
        <v>337</v>
      </c>
      <c r="EP3" s="24" t="s">
        <v>338</v>
      </c>
      <c r="EQ3" s="24" t="s">
        <v>339</v>
      </c>
      <c r="ER3" s="24" t="s">
        <v>340</v>
      </c>
      <c r="ES3" s="24" t="s">
        <v>341</v>
      </c>
      <c r="ET3" s="24" t="s">
        <v>342</v>
      </c>
      <c r="EU3" s="24" t="s">
        <v>343</v>
      </c>
      <c r="EV3" s="24" t="s">
        <v>344</v>
      </c>
      <c r="EW3" s="24" t="s">
        <v>345</v>
      </c>
      <c r="EX3" s="24" t="s">
        <v>346</v>
      </c>
      <c r="EY3" s="24" t="s">
        <v>347</v>
      </c>
      <c r="EZ3" s="24" t="s">
        <v>348</v>
      </c>
      <c r="FA3" s="24" t="s">
        <v>349</v>
      </c>
      <c r="FB3" s="24" t="s">
        <v>350</v>
      </c>
      <c r="FC3" s="24" t="s">
        <v>351</v>
      </c>
      <c r="FD3" s="24" t="s">
        <v>352</v>
      </c>
      <c r="FE3" s="24" t="s">
        <v>353</v>
      </c>
      <c r="FF3" s="24" t="s">
        <v>354</v>
      </c>
      <c r="FG3" s="24" t="s">
        <v>355</v>
      </c>
      <c r="FH3" s="24" t="s">
        <v>356</v>
      </c>
      <c r="FI3" s="24" t="s">
        <v>357</v>
      </c>
      <c r="FJ3" s="24" t="s">
        <v>358</v>
      </c>
      <c r="FK3" s="24" t="s">
        <v>359</v>
      </c>
      <c r="FL3" s="24" t="s">
        <v>360</v>
      </c>
      <c r="FM3" s="24" t="s">
        <v>361</v>
      </c>
      <c r="FN3" s="24" t="s">
        <v>362</v>
      </c>
      <c r="FO3" s="24" t="s">
        <v>363</v>
      </c>
      <c r="FP3" s="24" t="s">
        <v>364</v>
      </c>
      <c r="FQ3" s="24" t="s">
        <v>365</v>
      </c>
    </row>
    <row r="4" spans="1:173" ht="32">
      <c r="A4" s="35" t="s">
        <v>440</v>
      </c>
      <c r="B4" s="37">
        <v>1.1000000000000001</v>
      </c>
      <c r="BZ4" s="36" t="s">
        <v>371</v>
      </c>
      <c r="CA4" s="36" t="s">
        <v>371</v>
      </c>
      <c r="CB4" s="36" t="s">
        <v>371</v>
      </c>
      <c r="CC4" s="36" t="s">
        <v>371</v>
      </c>
      <c r="CD4" s="36" t="s">
        <v>371</v>
      </c>
      <c r="CE4" s="36" t="s">
        <v>371</v>
      </c>
      <c r="CF4" s="36" t="s">
        <v>371</v>
      </c>
      <c r="CG4" s="36" t="s">
        <v>371</v>
      </c>
      <c r="CH4" s="36" t="s">
        <v>371</v>
      </c>
      <c r="CI4" s="36" t="s">
        <v>371</v>
      </c>
      <c r="CJ4" s="36" t="s">
        <v>371</v>
      </c>
      <c r="CK4" s="36" t="s">
        <v>371</v>
      </c>
      <c r="CL4" s="36" t="s">
        <v>371</v>
      </c>
      <c r="CM4" s="36" t="s">
        <v>371</v>
      </c>
      <c r="CN4" s="36" t="s">
        <v>371</v>
      </c>
      <c r="CO4" s="36" t="s">
        <v>371</v>
      </c>
      <c r="CP4" s="36" t="s">
        <v>371</v>
      </c>
      <c r="CQ4" s="36" t="s">
        <v>371</v>
      </c>
      <c r="CR4" s="36" t="s">
        <v>371</v>
      </c>
    </row>
    <row r="5" spans="1:173" ht="48">
      <c r="A5" s="35" t="s">
        <v>441</v>
      </c>
      <c r="B5" s="37">
        <v>1.2</v>
      </c>
      <c r="BZ5" s="36" t="s">
        <v>371</v>
      </c>
      <c r="CA5" s="36" t="s">
        <v>371</v>
      </c>
      <c r="CB5" s="36" t="s">
        <v>371</v>
      </c>
      <c r="CC5" s="36" t="s">
        <v>371</v>
      </c>
      <c r="CD5" s="36" t="s">
        <v>371</v>
      </c>
      <c r="CE5" s="36" t="s">
        <v>371</v>
      </c>
      <c r="CF5" s="36" t="s">
        <v>371</v>
      </c>
      <c r="CG5" s="36" t="s">
        <v>371</v>
      </c>
      <c r="CH5" s="36" t="s">
        <v>371</v>
      </c>
      <c r="CI5" s="36" t="s">
        <v>371</v>
      </c>
      <c r="CJ5" s="36" t="s">
        <v>371</v>
      </c>
      <c r="CK5" s="36" t="s">
        <v>371</v>
      </c>
      <c r="CL5" s="36" t="s">
        <v>371</v>
      </c>
      <c r="CM5" s="36" t="s">
        <v>371</v>
      </c>
      <c r="CN5" s="36" t="s">
        <v>371</v>
      </c>
      <c r="CO5" s="36" t="s">
        <v>371</v>
      </c>
      <c r="CP5" s="36" t="s">
        <v>371</v>
      </c>
      <c r="CQ5" s="36" t="s">
        <v>371</v>
      </c>
      <c r="CR5" s="36" t="s">
        <v>371</v>
      </c>
    </row>
    <row r="6" spans="1:173" ht="48">
      <c r="A6" s="35" t="s">
        <v>442</v>
      </c>
      <c r="B6" s="37">
        <v>1.3</v>
      </c>
      <c r="CG6" s="36" t="s">
        <v>371</v>
      </c>
      <c r="CH6" s="36" t="s">
        <v>371</v>
      </c>
      <c r="CI6" s="36" t="s">
        <v>371</v>
      </c>
      <c r="CJ6" s="36" t="s">
        <v>371</v>
      </c>
      <c r="CK6" s="36" t="s">
        <v>371</v>
      </c>
      <c r="CL6" s="36" t="s">
        <v>371</v>
      </c>
      <c r="CM6" s="36" t="s">
        <v>371</v>
      </c>
      <c r="CN6" s="36" t="s">
        <v>371</v>
      </c>
      <c r="CO6" s="36" t="s">
        <v>371</v>
      </c>
      <c r="CP6" s="36" t="s">
        <v>371</v>
      </c>
      <c r="CQ6" s="36" t="s">
        <v>371</v>
      </c>
      <c r="CR6" s="36" t="s">
        <v>371</v>
      </c>
      <c r="DB6" s="36" t="s">
        <v>371</v>
      </c>
      <c r="DC6" s="36" t="s">
        <v>371</v>
      </c>
      <c r="DD6" s="36" t="s">
        <v>371</v>
      </c>
      <c r="DE6" s="36" t="s">
        <v>371</v>
      </c>
      <c r="DF6" s="36" t="s">
        <v>371</v>
      </c>
      <c r="DG6" s="36" t="s">
        <v>371</v>
      </c>
      <c r="DH6" s="36" t="s">
        <v>371</v>
      </c>
      <c r="DI6" s="36" t="s">
        <v>371</v>
      </c>
      <c r="DJ6" s="36" t="s">
        <v>371</v>
      </c>
    </row>
    <row r="7" spans="1:173" ht="80">
      <c r="A7" s="35" t="s">
        <v>443</v>
      </c>
      <c r="B7" s="37">
        <v>1.4</v>
      </c>
      <c r="BP7" s="36" t="s">
        <v>371</v>
      </c>
      <c r="BQ7" s="36" t="s">
        <v>371</v>
      </c>
      <c r="BR7" s="36" t="s">
        <v>371</v>
      </c>
      <c r="BS7" s="36" t="s">
        <v>371</v>
      </c>
      <c r="BT7" s="36" t="s">
        <v>371</v>
      </c>
      <c r="DB7" s="36" t="s">
        <v>371</v>
      </c>
      <c r="DC7" s="36" t="s">
        <v>371</v>
      </c>
      <c r="DD7" s="36" t="s">
        <v>371</v>
      </c>
      <c r="DE7" s="36" t="s">
        <v>371</v>
      </c>
      <c r="DF7" s="36" t="s">
        <v>371</v>
      </c>
      <c r="DG7" s="36" t="s">
        <v>371</v>
      </c>
      <c r="DH7" s="36" t="s">
        <v>371</v>
      </c>
      <c r="DI7" s="36" t="s">
        <v>371</v>
      </c>
      <c r="DJ7" s="36" t="s">
        <v>371</v>
      </c>
    </row>
    <row r="8" spans="1:173" ht="48">
      <c r="A8" s="35" t="s">
        <v>444</v>
      </c>
      <c r="B8" s="37">
        <v>1.5</v>
      </c>
    </row>
    <row r="9" spans="1:173" ht="48">
      <c r="A9" s="35" t="s">
        <v>445</v>
      </c>
      <c r="B9" s="37">
        <v>2.1</v>
      </c>
      <c r="AB9" s="36" t="s">
        <v>371</v>
      </c>
      <c r="AC9" s="36" t="s">
        <v>371</v>
      </c>
      <c r="AD9" s="36" t="s">
        <v>371</v>
      </c>
      <c r="AE9" s="36" t="s">
        <v>371</v>
      </c>
      <c r="AF9" s="36" t="s">
        <v>371</v>
      </c>
      <c r="AG9" s="36" t="s">
        <v>371</v>
      </c>
      <c r="AH9" s="36" t="s">
        <v>371</v>
      </c>
      <c r="AI9" s="36" t="s">
        <v>371</v>
      </c>
      <c r="AJ9" s="36" t="s">
        <v>371</v>
      </c>
    </row>
    <row r="10" spans="1:173" ht="64">
      <c r="A10" s="35" t="s">
        <v>446</v>
      </c>
      <c r="B10" s="37">
        <v>2.2000000000000002</v>
      </c>
      <c r="AK10" s="36" t="s">
        <v>371</v>
      </c>
      <c r="AL10" s="36" t="s">
        <v>371</v>
      </c>
      <c r="AM10" s="36" t="s">
        <v>371</v>
      </c>
      <c r="AN10" s="36" t="s">
        <v>371</v>
      </c>
      <c r="AO10" s="36" t="s">
        <v>371</v>
      </c>
      <c r="AX10" s="36" t="s">
        <v>371</v>
      </c>
      <c r="AY10" s="36" t="s">
        <v>371</v>
      </c>
      <c r="AZ10" s="36" t="s">
        <v>371</v>
      </c>
      <c r="BA10" s="36" t="s">
        <v>371</v>
      </c>
      <c r="BB10" s="36" t="s">
        <v>371</v>
      </c>
      <c r="BC10" s="36" t="s">
        <v>371</v>
      </c>
      <c r="BD10" s="36" t="s">
        <v>371</v>
      </c>
      <c r="BE10" s="36" t="s">
        <v>371</v>
      </c>
      <c r="BF10" s="36" t="s">
        <v>371</v>
      </c>
      <c r="BG10" s="36" t="s">
        <v>371</v>
      </c>
      <c r="BZ10" s="36" t="s">
        <v>371</v>
      </c>
      <c r="CA10" s="36" t="s">
        <v>371</v>
      </c>
      <c r="CB10" s="36" t="s">
        <v>371</v>
      </c>
      <c r="CC10" s="36" t="s">
        <v>371</v>
      </c>
      <c r="CD10" s="36" t="s">
        <v>371</v>
      </c>
      <c r="CE10" s="36" t="s">
        <v>371</v>
      </c>
      <c r="CF10" s="36" t="s">
        <v>371</v>
      </c>
    </row>
    <row r="11" spans="1:173" ht="64">
      <c r="A11" s="35" t="s">
        <v>447</v>
      </c>
      <c r="B11" s="37">
        <v>2.2999999999999998</v>
      </c>
      <c r="AK11" s="36" t="s">
        <v>371</v>
      </c>
      <c r="AL11" s="36" t="s">
        <v>371</v>
      </c>
      <c r="AM11" s="36" t="s">
        <v>371</v>
      </c>
      <c r="AN11" s="36" t="s">
        <v>371</v>
      </c>
      <c r="AO11" s="36" t="s">
        <v>371</v>
      </c>
      <c r="AX11" s="36" t="s">
        <v>371</v>
      </c>
      <c r="AY11" s="36" t="s">
        <v>371</v>
      </c>
      <c r="AZ11" s="36" t="s">
        <v>371</v>
      </c>
      <c r="BA11" s="36" t="s">
        <v>371</v>
      </c>
      <c r="BB11" s="36" t="s">
        <v>371</v>
      </c>
      <c r="BC11" s="36" t="s">
        <v>371</v>
      </c>
      <c r="BD11" s="36" t="s">
        <v>371</v>
      </c>
      <c r="BE11" s="36" t="s">
        <v>371</v>
      </c>
      <c r="BF11" s="36" t="s">
        <v>371</v>
      </c>
      <c r="BG11" s="36" t="s">
        <v>371</v>
      </c>
    </row>
    <row r="12" spans="1:173" ht="32">
      <c r="A12" s="35" t="s">
        <v>448</v>
      </c>
      <c r="B12" s="37">
        <v>2.4</v>
      </c>
      <c r="C12" s="36" t="s">
        <v>371</v>
      </c>
      <c r="D12" s="36" t="s">
        <v>371</v>
      </c>
      <c r="E12" s="36" t="s">
        <v>371</v>
      </c>
      <c r="F12" s="36" t="s">
        <v>371</v>
      </c>
      <c r="G12" s="36" t="s">
        <v>371</v>
      </c>
      <c r="H12" s="36" t="s">
        <v>371</v>
      </c>
      <c r="I12" s="36" t="s">
        <v>371</v>
      </c>
      <c r="J12" s="36" t="s">
        <v>371</v>
      </c>
      <c r="K12" s="36" t="s">
        <v>371</v>
      </c>
      <c r="L12" s="36" t="s">
        <v>371</v>
      </c>
      <c r="M12" s="36" t="s">
        <v>371</v>
      </c>
      <c r="N12" s="36" t="s">
        <v>371</v>
      </c>
      <c r="O12" s="36" t="s">
        <v>371</v>
      </c>
      <c r="P12" s="36" t="s">
        <v>371</v>
      </c>
      <c r="Q12" s="36" t="s">
        <v>371</v>
      </c>
      <c r="R12" s="36" t="s">
        <v>371</v>
      </c>
      <c r="S12" s="36" t="s">
        <v>371</v>
      </c>
      <c r="T12" s="36" t="s">
        <v>371</v>
      </c>
    </row>
    <row r="13" spans="1:173" ht="64">
      <c r="A13" s="35" t="s">
        <v>449</v>
      </c>
      <c r="B13" s="37">
        <v>2.5</v>
      </c>
    </row>
    <row r="14" spans="1:173" ht="32">
      <c r="A14" s="35" t="s">
        <v>450</v>
      </c>
      <c r="B14" s="37">
        <v>2.6</v>
      </c>
    </row>
    <row r="15" spans="1:173" ht="48">
      <c r="A15" s="35" t="s">
        <v>451</v>
      </c>
      <c r="B15" s="37">
        <v>3.1</v>
      </c>
    </row>
    <row r="16" spans="1:173" ht="80">
      <c r="A16" s="35" t="s">
        <v>452</v>
      </c>
      <c r="B16" s="37">
        <v>3.2</v>
      </c>
    </row>
    <row r="17" spans="1:157" ht="64">
      <c r="A17" s="35" t="s">
        <v>453</v>
      </c>
      <c r="B17" s="37">
        <v>3.3</v>
      </c>
    </row>
    <row r="18" spans="1:157" ht="32">
      <c r="A18" s="35" t="s">
        <v>454</v>
      </c>
      <c r="B18" s="37">
        <v>3.4</v>
      </c>
    </row>
    <row r="19" spans="1:157" ht="48">
      <c r="A19" s="35" t="s">
        <v>455</v>
      </c>
      <c r="B19" s="37">
        <v>3.5</v>
      </c>
    </row>
    <row r="20" spans="1:157" ht="48">
      <c r="A20" s="35" t="s">
        <v>456</v>
      </c>
      <c r="B20" s="37">
        <v>3.6</v>
      </c>
      <c r="CS20" s="36" t="s">
        <v>371</v>
      </c>
      <c r="CT20" s="36" t="s">
        <v>371</v>
      </c>
      <c r="CU20" s="36" t="s">
        <v>371</v>
      </c>
      <c r="CV20" s="36" t="s">
        <v>371</v>
      </c>
      <c r="CW20" s="36" t="s">
        <v>371</v>
      </c>
      <c r="CX20" s="36" t="s">
        <v>371</v>
      </c>
      <c r="CY20" s="36" t="s">
        <v>371</v>
      </c>
      <c r="CZ20" s="36" t="s">
        <v>371</v>
      </c>
      <c r="DA20" s="36" t="s">
        <v>371</v>
      </c>
    </row>
    <row r="21" spans="1:157" ht="48">
      <c r="A21" s="35" t="s">
        <v>457</v>
      </c>
      <c r="B21" s="37">
        <v>3.7</v>
      </c>
    </row>
    <row r="22" spans="1:157" ht="48">
      <c r="A22" s="35" t="s">
        <v>458</v>
      </c>
      <c r="B22" s="37">
        <v>4.0999999999999996</v>
      </c>
      <c r="CS22" s="36" t="s">
        <v>371</v>
      </c>
      <c r="CT22" s="36" t="s">
        <v>371</v>
      </c>
      <c r="CU22" s="36" t="s">
        <v>371</v>
      </c>
      <c r="CV22" s="36" t="s">
        <v>371</v>
      </c>
      <c r="CW22" s="36" t="s">
        <v>371</v>
      </c>
      <c r="CX22" s="36" t="s">
        <v>371</v>
      </c>
      <c r="CY22" s="36" t="s">
        <v>371</v>
      </c>
      <c r="CZ22" s="36" t="s">
        <v>371</v>
      </c>
      <c r="DA22" s="36" t="s">
        <v>371</v>
      </c>
    </row>
    <row r="23" spans="1:157" ht="48">
      <c r="A23" s="35" t="s">
        <v>459</v>
      </c>
      <c r="B23" s="37">
        <v>4.2</v>
      </c>
      <c r="CS23" s="36" t="s">
        <v>371</v>
      </c>
      <c r="CT23" s="36" t="s">
        <v>371</v>
      </c>
      <c r="CU23" s="36" t="s">
        <v>371</v>
      </c>
      <c r="CV23" s="36" t="s">
        <v>371</v>
      </c>
      <c r="CW23" s="36" t="s">
        <v>371</v>
      </c>
      <c r="CX23" s="36" t="s">
        <v>371</v>
      </c>
      <c r="CY23" s="36" t="s">
        <v>371</v>
      </c>
      <c r="CZ23" s="36" t="s">
        <v>371</v>
      </c>
      <c r="DA23" s="36" t="s">
        <v>371</v>
      </c>
    </row>
    <row r="24" spans="1:157" ht="48">
      <c r="A24" s="35" t="s">
        <v>460</v>
      </c>
      <c r="B24" s="37">
        <v>4.3</v>
      </c>
      <c r="BU24" s="36" t="s">
        <v>371</v>
      </c>
      <c r="BV24" s="36" t="s">
        <v>371</v>
      </c>
      <c r="BW24" s="36" t="s">
        <v>371</v>
      </c>
      <c r="BX24" s="36" t="s">
        <v>371</v>
      </c>
      <c r="BY24" s="36" t="s">
        <v>371</v>
      </c>
      <c r="CS24" s="36" t="s">
        <v>371</v>
      </c>
      <c r="CT24" s="36" t="s">
        <v>371</v>
      </c>
      <c r="CU24" s="36" t="s">
        <v>371</v>
      </c>
      <c r="CV24" s="36" t="s">
        <v>371</v>
      </c>
      <c r="CW24" s="36" t="s">
        <v>371</v>
      </c>
      <c r="CX24" s="36" t="s">
        <v>371</v>
      </c>
      <c r="CY24" s="36" t="s">
        <v>371</v>
      </c>
      <c r="CZ24" s="36" t="s">
        <v>371</v>
      </c>
      <c r="DA24" s="36" t="s">
        <v>371</v>
      </c>
      <c r="DB24" s="36" t="s">
        <v>371</v>
      </c>
      <c r="DC24" s="36" t="s">
        <v>371</v>
      </c>
      <c r="DD24" s="36" t="s">
        <v>371</v>
      </c>
      <c r="DE24" s="36" t="s">
        <v>371</v>
      </c>
      <c r="DF24" s="36" t="s">
        <v>371</v>
      </c>
      <c r="DG24" s="36" t="s">
        <v>371</v>
      </c>
      <c r="DH24" s="36" t="s">
        <v>371</v>
      </c>
      <c r="DI24" s="36" t="s">
        <v>371</v>
      </c>
      <c r="DJ24" s="36" t="s">
        <v>371</v>
      </c>
      <c r="DK24" s="36" t="s">
        <v>371</v>
      </c>
      <c r="DL24" s="36" t="s">
        <v>371</v>
      </c>
      <c r="DM24" s="36" t="s">
        <v>371</v>
      </c>
      <c r="DN24" s="36" t="s">
        <v>371</v>
      </c>
      <c r="DO24" s="36" t="s">
        <v>371</v>
      </c>
      <c r="DP24" s="36" t="s">
        <v>371</v>
      </c>
      <c r="DQ24" s="36" t="s">
        <v>371</v>
      </c>
      <c r="DR24" s="36" t="s">
        <v>371</v>
      </c>
      <c r="DS24" s="36" t="s">
        <v>371</v>
      </c>
      <c r="DT24" s="36" t="s">
        <v>371</v>
      </c>
    </row>
    <row r="25" spans="1:157" ht="48">
      <c r="A25" s="35" t="s">
        <v>461</v>
      </c>
      <c r="B25" s="37">
        <v>5.0999999999999996</v>
      </c>
      <c r="BH25" s="36" t="s">
        <v>371</v>
      </c>
      <c r="BI25" s="36" t="s">
        <v>371</v>
      </c>
      <c r="BJ25" s="36" t="s">
        <v>371</v>
      </c>
      <c r="BK25" s="36" t="s">
        <v>371</v>
      </c>
      <c r="BL25" s="36" t="s">
        <v>371</v>
      </c>
      <c r="BM25" s="36" t="s">
        <v>371</v>
      </c>
      <c r="BN25" s="36" t="s">
        <v>371</v>
      </c>
      <c r="BO25" s="36" t="s">
        <v>371</v>
      </c>
    </row>
    <row r="26" spans="1:157" ht="16">
      <c r="A26" s="35" t="s">
        <v>462</v>
      </c>
      <c r="B26" s="37">
        <v>5.2</v>
      </c>
      <c r="BH26" s="36" t="s">
        <v>371</v>
      </c>
      <c r="BI26" s="36" t="s">
        <v>371</v>
      </c>
      <c r="BJ26" s="36" t="s">
        <v>371</v>
      </c>
      <c r="BK26" s="36" t="s">
        <v>371</v>
      </c>
      <c r="BL26" s="36" t="s">
        <v>371</v>
      </c>
      <c r="BM26" s="36" t="s">
        <v>371</v>
      </c>
      <c r="BN26" s="36" t="s">
        <v>371</v>
      </c>
      <c r="BO26" s="36" t="s">
        <v>371</v>
      </c>
    </row>
    <row r="27" spans="1:157" ht="64">
      <c r="A27" s="35" t="s">
        <v>463</v>
      </c>
      <c r="B27" s="37">
        <v>5.3</v>
      </c>
      <c r="BH27" s="36" t="s">
        <v>371</v>
      </c>
      <c r="BI27" s="36" t="s">
        <v>371</v>
      </c>
      <c r="BJ27" s="36" t="s">
        <v>371</v>
      </c>
      <c r="BK27" s="36" t="s">
        <v>371</v>
      </c>
      <c r="BL27" s="36" t="s">
        <v>371</v>
      </c>
      <c r="BM27" s="36" t="s">
        <v>371</v>
      </c>
      <c r="BN27" s="36" t="s">
        <v>371</v>
      </c>
      <c r="BO27" s="36" t="s">
        <v>371</v>
      </c>
    </row>
    <row r="28" spans="1:157" ht="48">
      <c r="A28" s="35" t="s">
        <v>464</v>
      </c>
      <c r="B28" s="37">
        <v>5.4</v>
      </c>
      <c r="BH28" s="36" t="s">
        <v>371</v>
      </c>
      <c r="BI28" s="36" t="s">
        <v>371</v>
      </c>
      <c r="BJ28" s="36" t="s">
        <v>371</v>
      </c>
      <c r="BK28" s="36" t="s">
        <v>371</v>
      </c>
      <c r="BL28" s="36" t="s">
        <v>371</v>
      </c>
      <c r="BM28" s="36" t="s">
        <v>371</v>
      </c>
      <c r="BN28" s="36" t="s">
        <v>371</v>
      </c>
      <c r="BO28" s="36" t="s">
        <v>371</v>
      </c>
    </row>
    <row r="29" spans="1:157" ht="80">
      <c r="A29" s="35" t="s">
        <v>465</v>
      </c>
      <c r="B29" s="37">
        <v>6.1</v>
      </c>
      <c r="U29" s="36" t="s">
        <v>371</v>
      </c>
      <c r="V29" s="36" t="s">
        <v>371</v>
      </c>
      <c r="W29" s="36" t="s">
        <v>371</v>
      </c>
      <c r="X29" s="36" t="s">
        <v>371</v>
      </c>
      <c r="Y29" s="36" t="s">
        <v>371</v>
      </c>
      <c r="Z29" s="36" t="s">
        <v>371</v>
      </c>
      <c r="AA29" s="36" t="s">
        <v>371</v>
      </c>
    </row>
    <row r="30" spans="1:157" ht="64">
      <c r="A30" s="35" t="s">
        <v>466</v>
      </c>
      <c r="B30" s="37">
        <v>6.2</v>
      </c>
      <c r="U30" s="36" t="s">
        <v>371</v>
      </c>
      <c r="V30" s="36" t="s">
        <v>371</v>
      </c>
      <c r="W30" s="36" t="s">
        <v>371</v>
      </c>
      <c r="X30" s="36" t="s">
        <v>371</v>
      </c>
      <c r="Y30" s="36" t="s">
        <v>371</v>
      </c>
      <c r="Z30" s="36" t="s">
        <v>371</v>
      </c>
      <c r="AA30" s="36" t="s">
        <v>371</v>
      </c>
      <c r="AK30" s="36" t="s">
        <v>371</v>
      </c>
      <c r="AL30" s="36" t="s">
        <v>371</v>
      </c>
      <c r="AM30" s="36" t="s">
        <v>371</v>
      </c>
      <c r="AN30" s="36" t="s">
        <v>371</v>
      </c>
      <c r="AO30" s="36" t="s">
        <v>371</v>
      </c>
      <c r="AX30" s="36" t="s">
        <v>371</v>
      </c>
      <c r="AY30" s="36" t="s">
        <v>371</v>
      </c>
      <c r="AZ30" s="36" t="s">
        <v>371</v>
      </c>
      <c r="BA30" s="36" t="s">
        <v>371</v>
      </c>
      <c r="BB30" s="36" t="s">
        <v>371</v>
      </c>
      <c r="BC30" s="36" t="s">
        <v>371</v>
      </c>
      <c r="BD30" s="36" t="s">
        <v>371</v>
      </c>
      <c r="BE30" s="36" t="s">
        <v>371</v>
      </c>
      <c r="BF30" s="36" t="s">
        <v>371</v>
      </c>
      <c r="BG30" s="36" t="s">
        <v>371</v>
      </c>
      <c r="BZ30" s="36" t="s">
        <v>371</v>
      </c>
      <c r="CA30" s="36" t="s">
        <v>371</v>
      </c>
      <c r="CB30" s="36" t="s">
        <v>371</v>
      </c>
      <c r="CC30" s="36" t="s">
        <v>371</v>
      </c>
      <c r="CD30" s="36" t="s">
        <v>371</v>
      </c>
      <c r="CE30" s="36" t="s">
        <v>371</v>
      </c>
      <c r="CF30" s="36" t="s">
        <v>371</v>
      </c>
    </row>
    <row r="31" spans="1:157" ht="48">
      <c r="A31" s="35" t="s">
        <v>467</v>
      </c>
      <c r="B31" s="37">
        <v>6.3</v>
      </c>
      <c r="EQ31" s="36" t="s">
        <v>371</v>
      </c>
      <c r="ER31" s="36" t="s">
        <v>371</v>
      </c>
      <c r="ES31" s="36" t="s">
        <v>371</v>
      </c>
      <c r="ET31" s="36" t="s">
        <v>371</v>
      </c>
      <c r="EU31" s="36" t="s">
        <v>371</v>
      </c>
      <c r="EV31" s="36" t="s">
        <v>371</v>
      </c>
      <c r="EW31" s="36" t="s">
        <v>371</v>
      </c>
      <c r="EX31" s="36" t="s">
        <v>371</v>
      </c>
      <c r="EY31" s="36" t="s">
        <v>371</v>
      </c>
      <c r="EZ31" s="36" t="s">
        <v>371</v>
      </c>
      <c r="FA31" s="36" t="s">
        <v>371</v>
      </c>
    </row>
    <row r="32" spans="1:157" ht="32">
      <c r="A32" s="35" t="s">
        <v>468</v>
      </c>
      <c r="B32" s="37">
        <v>6.4</v>
      </c>
    </row>
    <row r="33" spans="1:157" ht="48">
      <c r="A33" s="35" t="s">
        <v>469</v>
      </c>
      <c r="B33" s="37" t="s">
        <v>470</v>
      </c>
      <c r="EQ33" s="36" t="s">
        <v>371</v>
      </c>
      <c r="ER33" s="36" t="s">
        <v>371</v>
      </c>
      <c r="ES33" s="36" t="s">
        <v>371</v>
      </c>
      <c r="ET33" s="36" t="s">
        <v>371</v>
      </c>
      <c r="EU33" s="36" t="s">
        <v>371</v>
      </c>
      <c r="EV33" s="36" t="s">
        <v>371</v>
      </c>
      <c r="EW33" s="36" t="s">
        <v>371</v>
      </c>
      <c r="EX33" s="36" t="s">
        <v>371</v>
      </c>
      <c r="EY33" s="36" t="s">
        <v>371</v>
      </c>
      <c r="EZ33" s="36" t="s">
        <v>371</v>
      </c>
      <c r="FA33" s="36" t="s">
        <v>371</v>
      </c>
    </row>
    <row r="34" spans="1:157" ht="16">
      <c r="A34" s="35" t="s">
        <v>471</v>
      </c>
      <c r="B34" s="37" t="s">
        <v>472</v>
      </c>
      <c r="EQ34" s="36" t="s">
        <v>371</v>
      </c>
      <c r="ER34" s="36" t="s">
        <v>371</v>
      </c>
      <c r="ES34" s="36" t="s">
        <v>371</v>
      </c>
      <c r="ET34" s="36" t="s">
        <v>371</v>
      </c>
      <c r="EU34" s="36" t="s">
        <v>371</v>
      </c>
      <c r="EV34" s="36" t="s">
        <v>371</v>
      </c>
      <c r="EW34" s="36" t="s">
        <v>371</v>
      </c>
      <c r="EX34" s="36" t="s">
        <v>371</v>
      </c>
      <c r="EY34" s="36" t="s">
        <v>371</v>
      </c>
      <c r="EZ34" s="36" t="s">
        <v>371</v>
      </c>
      <c r="FA34" s="36" t="s">
        <v>371</v>
      </c>
    </row>
    <row r="35" spans="1:157" ht="48">
      <c r="A35" s="35" t="s">
        <v>473</v>
      </c>
      <c r="B35" s="37">
        <v>6.6</v>
      </c>
      <c r="EQ35" s="36" t="s">
        <v>371</v>
      </c>
      <c r="ER35" s="36" t="s">
        <v>371</v>
      </c>
      <c r="ES35" s="36" t="s">
        <v>371</v>
      </c>
      <c r="ET35" s="36" t="s">
        <v>371</v>
      </c>
      <c r="EU35" s="36" t="s">
        <v>371</v>
      </c>
      <c r="EV35" s="36" t="s">
        <v>371</v>
      </c>
      <c r="EW35" s="36" t="s">
        <v>371</v>
      </c>
      <c r="EX35" s="36" t="s">
        <v>371</v>
      </c>
      <c r="EY35" s="36" t="s">
        <v>371</v>
      </c>
      <c r="EZ35" s="36" t="s">
        <v>371</v>
      </c>
      <c r="FA35" s="36" t="s">
        <v>371</v>
      </c>
    </row>
    <row r="36" spans="1:157" ht="64">
      <c r="A36" s="35" t="s">
        <v>474</v>
      </c>
      <c r="B36" s="37">
        <v>6.7</v>
      </c>
      <c r="EQ36" s="36" t="s">
        <v>371</v>
      </c>
      <c r="ER36" s="36" t="s">
        <v>371</v>
      </c>
      <c r="ES36" s="36" t="s">
        <v>371</v>
      </c>
      <c r="ET36" s="36" t="s">
        <v>371</v>
      </c>
      <c r="EU36" s="36" t="s">
        <v>371</v>
      </c>
      <c r="EV36" s="36" t="s">
        <v>371</v>
      </c>
      <c r="EW36" s="36" t="s">
        <v>371</v>
      </c>
      <c r="EX36" s="36" t="s">
        <v>371</v>
      </c>
      <c r="EY36" s="36" t="s">
        <v>371</v>
      </c>
      <c r="EZ36" s="36" t="s">
        <v>371</v>
      </c>
      <c r="FA36" s="36" t="s">
        <v>371</v>
      </c>
    </row>
    <row r="37" spans="1:157" ht="48">
      <c r="A37" s="35" t="s">
        <v>475</v>
      </c>
      <c r="B37" s="37">
        <v>7.1</v>
      </c>
      <c r="AB37" s="36" t="s">
        <v>371</v>
      </c>
      <c r="AC37" s="36" t="s">
        <v>371</v>
      </c>
      <c r="AD37" s="36" t="s">
        <v>371</v>
      </c>
      <c r="AE37" s="36" t="s">
        <v>371</v>
      </c>
      <c r="AF37" s="36" t="s">
        <v>371</v>
      </c>
      <c r="AG37" s="36" t="s">
        <v>371</v>
      </c>
      <c r="AH37" s="36" t="s">
        <v>371</v>
      </c>
      <c r="AI37" s="36" t="s">
        <v>371</v>
      </c>
      <c r="AJ37" s="36" t="s">
        <v>371</v>
      </c>
      <c r="DB37" s="36" t="s">
        <v>371</v>
      </c>
      <c r="DC37" s="36" t="s">
        <v>371</v>
      </c>
      <c r="DD37" s="36" t="s">
        <v>371</v>
      </c>
      <c r="DE37" s="36" t="s">
        <v>371</v>
      </c>
      <c r="DF37" s="36" t="s">
        <v>371</v>
      </c>
      <c r="DG37" s="36" t="s">
        <v>371</v>
      </c>
      <c r="DH37" s="36" t="s">
        <v>371</v>
      </c>
      <c r="DI37" s="36" t="s">
        <v>371</v>
      </c>
      <c r="DJ37" s="36" t="s">
        <v>371</v>
      </c>
      <c r="DU37" s="36" t="s">
        <v>371</v>
      </c>
      <c r="DV37" s="36" t="s">
        <v>371</v>
      </c>
      <c r="DW37" s="36" t="s">
        <v>371</v>
      </c>
      <c r="DX37" s="36" t="s">
        <v>371</v>
      </c>
      <c r="DY37" s="36" t="s">
        <v>371</v>
      </c>
      <c r="DZ37" s="36" t="s">
        <v>371</v>
      </c>
      <c r="EA37" s="36" t="s">
        <v>371</v>
      </c>
      <c r="EB37" s="36" t="s">
        <v>371</v>
      </c>
      <c r="EC37" s="36" t="s">
        <v>371</v>
      </c>
      <c r="ED37" s="36" t="s">
        <v>371</v>
      </c>
      <c r="EE37" s="36" t="s">
        <v>371</v>
      </c>
      <c r="EF37" s="36" t="s">
        <v>371</v>
      </c>
      <c r="EG37" s="36" t="s">
        <v>371</v>
      </c>
    </row>
    <row r="38" spans="1:157" ht="64">
      <c r="A38" s="35" t="s">
        <v>476</v>
      </c>
      <c r="B38" s="37">
        <v>7.2</v>
      </c>
      <c r="AB38" s="36" t="s">
        <v>371</v>
      </c>
      <c r="AC38" s="36" t="s">
        <v>371</v>
      </c>
      <c r="AD38" s="36" t="s">
        <v>371</v>
      </c>
      <c r="AE38" s="36" t="s">
        <v>371</v>
      </c>
      <c r="AF38" s="36" t="s">
        <v>371</v>
      </c>
      <c r="AG38" s="36" t="s">
        <v>371</v>
      </c>
      <c r="AH38" s="36" t="s">
        <v>371</v>
      </c>
      <c r="AI38" s="36" t="s">
        <v>371</v>
      </c>
      <c r="AJ38" s="36" t="s">
        <v>371</v>
      </c>
      <c r="DB38" s="36" t="s">
        <v>371</v>
      </c>
      <c r="DC38" s="36" t="s">
        <v>371</v>
      </c>
      <c r="DD38" s="36" t="s">
        <v>371</v>
      </c>
      <c r="DE38" s="36" t="s">
        <v>371</v>
      </c>
      <c r="DF38" s="36" t="s">
        <v>371</v>
      </c>
      <c r="DG38" s="36" t="s">
        <v>371</v>
      </c>
      <c r="DH38" s="36" t="s">
        <v>371</v>
      </c>
      <c r="DI38" s="36" t="s">
        <v>371</v>
      </c>
      <c r="DJ38" s="36" t="s">
        <v>371</v>
      </c>
      <c r="DU38" s="36" t="s">
        <v>371</v>
      </c>
      <c r="DV38" s="36" t="s">
        <v>371</v>
      </c>
      <c r="DW38" s="36" t="s">
        <v>371</v>
      </c>
      <c r="DX38" s="36" t="s">
        <v>371</v>
      </c>
      <c r="DY38" s="36" t="s">
        <v>371</v>
      </c>
      <c r="DZ38" s="36" t="s">
        <v>371</v>
      </c>
      <c r="EA38" s="36" t="s">
        <v>371</v>
      </c>
      <c r="EB38" s="36" t="s">
        <v>371</v>
      </c>
      <c r="EC38" s="36" t="s">
        <v>371</v>
      </c>
      <c r="ED38" s="36" t="s">
        <v>371</v>
      </c>
      <c r="EE38" s="36" t="s">
        <v>371</v>
      </c>
      <c r="EF38" s="36" t="s">
        <v>371</v>
      </c>
      <c r="EG38" s="36" t="s">
        <v>371</v>
      </c>
    </row>
    <row r="39" spans="1:157" ht="48">
      <c r="A39" s="35" t="s">
        <v>477</v>
      </c>
      <c r="B39" s="37">
        <v>7.3</v>
      </c>
      <c r="AB39" s="36" t="s">
        <v>371</v>
      </c>
      <c r="AC39" s="36" t="s">
        <v>371</v>
      </c>
      <c r="AD39" s="36" t="s">
        <v>371</v>
      </c>
      <c r="AE39" s="36" t="s">
        <v>371</v>
      </c>
      <c r="AF39" s="36" t="s">
        <v>371</v>
      </c>
      <c r="AG39" s="36" t="s">
        <v>371</v>
      </c>
      <c r="AH39" s="36" t="s">
        <v>371</v>
      </c>
      <c r="AI39" s="36" t="s">
        <v>371</v>
      </c>
      <c r="AJ39" s="36" t="s">
        <v>371</v>
      </c>
      <c r="DB39" s="36" t="s">
        <v>371</v>
      </c>
      <c r="DC39" s="36" t="s">
        <v>371</v>
      </c>
      <c r="DD39" s="36" t="s">
        <v>371</v>
      </c>
      <c r="DE39" s="36" t="s">
        <v>371</v>
      </c>
      <c r="DF39" s="36" t="s">
        <v>371</v>
      </c>
      <c r="DG39" s="36" t="s">
        <v>371</v>
      </c>
      <c r="DH39" s="36" t="s">
        <v>371</v>
      </c>
      <c r="DI39" s="36" t="s">
        <v>371</v>
      </c>
      <c r="DJ39" s="36" t="s">
        <v>371</v>
      </c>
      <c r="DU39" s="36" t="s">
        <v>371</v>
      </c>
      <c r="DV39" s="36" t="s">
        <v>371</v>
      </c>
      <c r="DW39" s="36" t="s">
        <v>371</v>
      </c>
      <c r="DX39" s="36" t="s">
        <v>371</v>
      </c>
      <c r="DY39" s="36" t="s">
        <v>371</v>
      </c>
      <c r="DZ39" s="36" t="s">
        <v>371</v>
      </c>
      <c r="EA39" s="36" t="s">
        <v>371</v>
      </c>
      <c r="EB39" s="36" t="s">
        <v>371</v>
      </c>
      <c r="EC39" s="36" t="s">
        <v>371</v>
      </c>
      <c r="ED39" s="36" t="s">
        <v>371</v>
      </c>
      <c r="EE39" s="36" t="s">
        <v>371</v>
      </c>
      <c r="EF39" s="36" t="s">
        <v>371</v>
      </c>
      <c r="EG39" s="36" t="s">
        <v>371</v>
      </c>
    </row>
    <row r="40" spans="1:157" ht="64">
      <c r="A40" s="35" t="s">
        <v>478</v>
      </c>
      <c r="B40" s="37">
        <v>8.1</v>
      </c>
      <c r="AB40" s="36" t="s">
        <v>371</v>
      </c>
      <c r="AC40" s="36" t="s">
        <v>371</v>
      </c>
      <c r="AD40" s="36" t="s">
        <v>371</v>
      </c>
      <c r="AE40" s="36" t="s">
        <v>371</v>
      </c>
      <c r="AF40" s="36" t="s">
        <v>371</v>
      </c>
      <c r="AG40" s="36" t="s">
        <v>371</v>
      </c>
      <c r="AH40" s="36" t="s">
        <v>371</v>
      </c>
      <c r="AI40" s="36" t="s">
        <v>371</v>
      </c>
      <c r="AJ40" s="36" t="s">
        <v>371</v>
      </c>
    </row>
    <row r="41" spans="1:157" ht="48">
      <c r="A41" s="35" t="s">
        <v>479</v>
      </c>
      <c r="B41" s="37">
        <v>8.1999999999999993</v>
      </c>
      <c r="AB41" s="36" t="s">
        <v>371</v>
      </c>
      <c r="AC41" s="36" t="s">
        <v>371</v>
      </c>
      <c r="AD41" s="36" t="s">
        <v>371</v>
      </c>
      <c r="AE41" s="36" t="s">
        <v>371</v>
      </c>
      <c r="AF41" s="36" t="s">
        <v>371</v>
      </c>
      <c r="AG41" s="36" t="s">
        <v>371</v>
      </c>
      <c r="AH41" s="36" t="s">
        <v>371</v>
      </c>
      <c r="AI41" s="36" t="s">
        <v>371</v>
      </c>
      <c r="AJ41" s="36" t="s">
        <v>371</v>
      </c>
    </row>
    <row r="42" spans="1:157" ht="48">
      <c r="A42" s="35" t="s">
        <v>480</v>
      </c>
      <c r="B42" s="37">
        <v>8.3000000000000007</v>
      </c>
      <c r="AB42" s="36" t="s">
        <v>371</v>
      </c>
      <c r="AC42" s="36" t="s">
        <v>371</v>
      </c>
      <c r="AD42" s="36" t="s">
        <v>371</v>
      </c>
      <c r="AE42" s="36" t="s">
        <v>371</v>
      </c>
      <c r="AF42" s="36" t="s">
        <v>371</v>
      </c>
      <c r="AG42" s="36" t="s">
        <v>371</v>
      </c>
      <c r="AH42" s="36" t="s">
        <v>371</v>
      </c>
      <c r="AI42" s="36" t="s">
        <v>371</v>
      </c>
      <c r="AJ42" s="36" t="s">
        <v>371</v>
      </c>
      <c r="CG42" s="36" t="s">
        <v>371</v>
      </c>
      <c r="CH42" s="36" t="s">
        <v>371</v>
      </c>
      <c r="CI42" s="36" t="s">
        <v>371</v>
      </c>
      <c r="CJ42" s="36" t="s">
        <v>371</v>
      </c>
      <c r="CK42" s="36" t="s">
        <v>371</v>
      </c>
      <c r="CL42" s="36" t="s">
        <v>371</v>
      </c>
      <c r="CM42" s="36" t="s">
        <v>371</v>
      </c>
      <c r="CN42" s="36" t="s">
        <v>371</v>
      </c>
      <c r="CO42" s="36" t="s">
        <v>371</v>
      </c>
      <c r="CP42" s="36" t="s">
        <v>371</v>
      </c>
      <c r="CQ42" s="36" t="s">
        <v>371</v>
      </c>
      <c r="CR42" s="36" t="s">
        <v>371</v>
      </c>
    </row>
    <row r="43" spans="1:157" ht="32">
      <c r="A43" s="35" t="s">
        <v>481</v>
      </c>
      <c r="B43" s="37">
        <v>8.4</v>
      </c>
    </row>
    <row r="44" spans="1:157" ht="32">
      <c r="A44" s="35" t="s">
        <v>482</v>
      </c>
      <c r="B44" s="37">
        <v>8.5</v>
      </c>
    </row>
    <row r="45" spans="1:157" ht="64">
      <c r="A45" s="35" t="s">
        <v>483</v>
      </c>
      <c r="B45" s="37">
        <v>8.6</v>
      </c>
    </row>
    <row r="46" spans="1:157" ht="48">
      <c r="A46" s="35" t="s">
        <v>484</v>
      </c>
      <c r="B46" s="37">
        <v>8.6999999999999993</v>
      </c>
      <c r="AB46" s="36" t="s">
        <v>371</v>
      </c>
      <c r="AC46" s="36" t="s">
        <v>371</v>
      </c>
      <c r="AD46" s="36" t="s">
        <v>371</v>
      </c>
      <c r="AE46" s="36" t="s">
        <v>371</v>
      </c>
      <c r="AF46" s="36" t="s">
        <v>371</v>
      </c>
      <c r="AG46" s="36" t="s">
        <v>371</v>
      </c>
      <c r="AH46" s="36" t="s">
        <v>371</v>
      </c>
      <c r="AI46" s="36" t="s">
        <v>371</v>
      </c>
      <c r="AJ46" s="36" t="s">
        <v>371</v>
      </c>
      <c r="DB46" s="36" t="s">
        <v>371</v>
      </c>
      <c r="DC46" s="36" t="s">
        <v>371</v>
      </c>
      <c r="DD46" s="36" t="s">
        <v>371</v>
      </c>
      <c r="DE46" s="36" t="s">
        <v>371</v>
      </c>
      <c r="DF46" s="36" t="s">
        <v>371</v>
      </c>
      <c r="DG46" s="36" t="s">
        <v>371</v>
      </c>
      <c r="DH46" s="36" t="s">
        <v>371</v>
      </c>
      <c r="DI46" s="36" t="s">
        <v>371</v>
      </c>
      <c r="DJ46" s="36" t="s">
        <v>371</v>
      </c>
      <c r="DU46" s="36" t="s">
        <v>371</v>
      </c>
      <c r="DV46" s="36" t="s">
        <v>371</v>
      </c>
      <c r="DW46" s="36" t="s">
        <v>371</v>
      </c>
      <c r="DX46" s="36" t="s">
        <v>371</v>
      </c>
      <c r="DY46" s="36" t="s">
        <v>371</v>
      </c>
      <c r="DZ46" s="36" t="s">
        <v>371</v>
      </c>
      <c r="EA46" s="36" t="s">
        <v>371</v>
      </c>
      <c r="EB46" s="36" t="s">
        <v>371</v>
      </c>
      <c r="EC46" s="36" t="s">
        <v>371</v>
      </c>
      <c r="ED46" s="36" t="s">
        <v>371</v>
      </c>
      <c r="EE46" s="36" t="s">
        <v>371</v>
      </c>
      <c r="EF46" s="36" t="s">
        <v>371</v>
      </c>
      <c r="EG46" s="36" t="s">
        <v>371</v>
      </c>
    </row>
    <row r="47" spans="1:157" ht="48">
      <c r="A47" s="35" t="s">
        <v>485</v>
      </c>
      <c r="B47" s="37">
        <v>8.8000000000000007</v>
      </c>
      <c r="DU47" s="36" t="s">
        <v>371</v>
      </c>
      <c r="DV47" s="36" t="s">
        <v>371</v>
      </c>
      <c r="DW47" s="36" t="s">
        <v>371</v>
      </c>
      <c r="DX47" s="36" t="s">
        <v>371</v>
      </c>
      <c r="DY47" s="36" t="s">
        <v>371</v>
      </c>
      <c r="DZ47" s="36" t="s">
        <v>371</v>
      </c>
      <c r="EA47" s="36" t="s">
        <v>371</v>
      </c>
      <c r="EB47" s="36" t="s">
        <v>371</v>
      </c>
      <c r="EC47" s="36" t="s">
        <v>371</v>
      </c>
      <c r="ED47" s="36" t="s">
        <v>371</v>
      </c>
      <c r="EE47" s="36" t="s">
        <v>371</v>
      </c>
      <c r="EF47" s="36" t="s">
        <v>371</v>
      </c>
      <c r="EG47" s="36" t="s">
        <v>371</v>
      </c>
    </row>
    <row r="48" spans="1:157" ht="48">
      <c r="A48" s="35" t="s">
        <v>486</v>
      </c>
      <c r="B48" s="37">
        <v>9.1</v>
      </c>
    </row>
    <row r="49" spans="1:77" ht="32">
      <c r="A49" s="35" t="s">
        <v>487</v>
      </c>
      <c r="B49" s="37">
        <v>9.1999999999999993</v>
      </c>
    </row>
    <row r="50" spans="1:77" ht="32">
      <c r="A50" s="35" t="s">
        <v>488</v>
      </c>
      <c r="B50" s="37">
        <v>9.3000000000000007</v>
      </c>
    </row>
    <row r="51" spans="1:77" ht="32">
      <c r="A51" s="35" t="s">
        <v>489</v>
      </c>
      <c r="B51" s="37">
        <v>9.4</v>
      </c>
    </row>
    <row r="52" spans="1:77" ht="16">
      <c r="A52" s="35" t="s">
        <v>490</v>
      </c>
      <c r="B52" s="37">
        <v>9.5</v>
      </c>
      <c r="BU52" s="36" t="s">
        <v>371</v>
      </c>
      <c r="BV52" s="36" t="s">
        <v>371</v>
      </c>
      <c r="BW52" s="36" t="s">
        <v>371</v>
      </c>
      <c r="BX52" s="36" t="s">
        <v>371</v>
      </c>
      <c r="BY52" s="36" t="s">
        <v>371</v>
      </c>
    </row>
    <row r="53" spans="1:77" ht="32">
      <c r="A53" s="35" t="s">
        <v>491</v>
      </c>
      <c r="B53" s="37">
        <v>9.6</v>
      </c>
      <c r="BU53" s="36" t="s">
        <v>371</v>
      </c>
      <c r="BV53" s="36" t="s">
        <v>371</v>
      </c>
      <c r="BW53" s="36" t="s">
        <v>371</v>
      </c>
      <c r="BX53" s="36" t="s">
        <v>371</v>
      </c>
      <c r="BY53" s="36" t="s">
        <v>371</v>
      </c>
    </row>
    <row r="54" spans="1:77" ht="32">
      <c r="A54" s="35" t="s">
        <v>492</v>
      </c>
      <c r="B54" s="37">
        <v>9.6999999999999993</v>
      </c>
      <c r="BU54" s="36" t="s">
        <v>371</v>
      </c>
      <c r="BV54" s="36" t="s">
        <v>371</v>
      </c>
      <c r="BW54" s="36" t="s">
        <v>371</v>
      </c>
      <c r="BX54" s="36" t="s">
        <v>371</v>
      </c>
      <c r="BY54" s="36" t="s">
        <v>371</v>
      </c>
    </row>
    <row r="55" spans="1:77" ht="32">
      <c r="A55" s="35" t="s">
        <v>493</v>
      </c>
      <c r="B55" s="37">
        <v>9.8000000000000007</v>
      </c>
    </row>
    <row r="56" spans="1:77" ht="48">
      <c r="A56" s="35" t="s">
        <v>494</v>
      </c>
      <c r="B56" s="37">
        <v>9.9</v>
      </c>
    </row>
    <row r="57" spans="1:77" ht="48">
      <c r="A57" s="35" t="s">
        <v>495</v>
      </c>
      <c r="B57" s="38" t="s">
        <v>496</v>
      </c>
    </row>
    <row r="58" spans="1:77" ht="32">
      <c r="A58" s="35" t="s">
        <v>497</v>
      </c>
      <c r="B58" s="37">
        <v>10.1</v>
      </c>
      <c r="AP58" s="36" t="s">
        <v>371</v>
      </c>
      <c r="AQ58" s="36" t="s">
        <v>371</v>
      </c>
      <c r="AR58" s="36" t="s">
        <v>371</v>
      </c>
      <c r="AS58" s="36" t="s">
        <v>371</v>
      </c>
      <c r="AT58" s="36" t="s">
        <v>371</v>
      </c>
      <c r="AU58" s="36" t="s">
        <v>371</v>
      </c>
      <c r="AV58" s="36" t="s">
        <v>371</v>
      </c>
      <c r="AW58" s="36" t="s">
        <v>371</v>
      </c>
    </row>
    <row r="59" spans="1:77" ht="32">
      <c r="A59" s="35" t="s">
        <v>498</v>
      </c>
      <c r="B59" s="37">
        <v>10.199999999999999</v>
      </c>
      <c r="AP59" s="36" t="s">
        <v>371</v>
      </c>
      <c r="AQ59" s="36" t="s">
        <v>371</v>
      </c>
      <c r="AR59" s="36" t="s">
        <v>371</v>
      </c>
      <c r="AS59" s="36" t="s">
        <v>371</v>
      </c>
      <c r="AT59" s="36" t="s">
        <v>371</v>
      </c>
      <c r="AU59" s="36" t="s">
        <v>371</v>
      </c>
      <c r="AV59" s="36" t="s">
        <v>371</v>
      </c>
      <c r="AW59" s="36" t="s">
        <v>371</v>
      </c>
    </row>
    <row r="60" spans="1:77" ht="32">
      <c r="A60" s="35" t="s">
        <v>499</v>
      </c>
      <c r="B60" s="37">
        <v>10.3</v>
      </c>
      <c r="AP60" s="36" t="s">
        <v>371</v>
      </c>
      <c r="AQ60" s="36" t="s">
        <v>371</v>
      </c>
      <c r="AR60" s="36" t="s">
        <v>371</v>
      </c>
      <c r="AS60" s="36" t="s">
        <v>371</v>
      </c>
      <c r="AT60" s="36" t="s">
        <v>371</v>
      </c>
      <c r="AU60" s="36" t="s">
        <v>371</v>
      </c>
      <c r="AV60" s="36" t="s">
        <v>371</v>
      </c>
      <c r="AW60" s="36" t="s">
        <v>371</v>
      </c>
    </row>
    <row r="61" spans="1:77" ht="64">
      <c r="A61" s="35" t="s">
        <v>500</v>
      </c>
      <c r="B61" s="37">
        <v>10.4</v>
      </c>
      <c r="AP61" s="36" t="s">
        <v>371</v>
      </c>
      <c r="AQ61" s="36" t="s">
        <v>371</v>
      </c>
      <c r="AR61" s="36" t="s">
        <v>371</v>
      </c>
      <c r="AS61" s="36" t="s">
        <v>371</v>
      </c>
      <c r="AT61" s="36" t="s">
        <v>371</v>
      </c>
      <c r="AU61" s="36" t="s">
        <v>371</v>
      </c>
      <c r="AV61" s="36" t="s">
        <v>371</v>
      </c>
      <c r="AW61" s="36" t="s">
        <v>371</v>
      </c>
    </row>
    <row r="62" spans="1:77" ht="16">
      <c r="A62" s="35" t="s">
        <v>501</v>
      </c>
      <c r="B62" s="37">
        <v>10.5</v>
      </c>
      <c r="AP62" s="36" t="s">
        <v>371</v>
      </c>
      <c r="AQ62" s="36" t="s">
        <v>371</v>
      </c>
      <c r="AR62" s="36" t="s">
        <v>371</v>
      </c>
      <c r="AS62" s="36" t="s">
        <v>371</v>
      </c>
      <c r="AT62" s="36" t="s">
        <v>371</v>
      </c>
      <c r="AU62" s="36" t="s">
        <v>371</v>
      </c>
      <c r="AV62" s="36" t="s">
        <v>371</v>
      </c>
      <c r="AW62" s="36" t="s">
        <v>371</v>
      </c>
    </row>
    <row r="63" spans="1:77" ht="48">
      <c r="A63" s="35" t="s">
        <v>502</v>
      </c>
      <c r="B63" s="37">
        <v>10.6</v>
      </c>
      <c r="AP63" s="36" t="s">
        <v>371</v>
      </c>
      <c r="AQ63" s="36" t="s">
        <v>371</v>
      </c>
      <c r="AR63" s="36" t="s">
        <v>371</v>
      </c>
      <c r="AS63" s="36" t="s">
        <v>371</v>
      </c>
      <c r="AT63" s="36" t="s">
        <v>371</v>
      </c>
      <c r="AU63" s="36" t="s">
        <v>371</v>
      </c>
      <c r="AV63" s="36" t="s">
        <v>371</v>
      </c>
      <c r="AW63" s="36" t="s">
        <v>371</v>
      </c>
    </row>
    <row r="64" spans="1:77" ht="64">
      <c r="A64" s="35" t="s">
        <v>503</v>
      </c>
      <c r="B64" s="37">
        <v>10.7</v>
      </c>
      <c r="AP64" s="36" t="s">
        <v>371</v>
      </c>
      <c r="AQ64" s="36" t="s">
        <v>371</v>
      </c>
      <c r="AR64" s="36" t="s">
        <v>371</v>
      </c>
      <c r="AS64" s="36" t="s">
        <v>371</v>
      </c>
      <c r="AT64" s="36" t="s">
        <v>371</v>
      </c>
      <c r="AU64" s="36" t="s">
        <v>371</v>
      </c>
      <c r="AV64" s="36" t="s">
        <v>371</v>
      </c>
      <c r="AW64" s="36" t="s">
        <v>371</v>
      </c>
    </row>
    <row r="65" spans="1:173" ht="32">
      <c r="A65" s="35" t="s">
        <v>504</v>
      </c>
      <c r="B65" s="37">
        <v>10.8</v>
      </c>
      <c r="AP65" s="36" t="s">
        <v>371</v>
      </c>
      <c r="AQ65" s="36" t="s">
        <v>371</v>
      </c>
      <c r="AR65" s="36" t="s">
        <v>371</v>
      </c>
      <c r="AS65" s="36" t="s">
        <v>371</v>
      </c>
      <c r="AT65" s="36" t="s">
        <v>371</v>
      </c>
      <c r="AU65" s="36" t="s">
        <v>371</v>
      </c>
      <c r="AV65" s="36" t="s">
        <v>371</v>
      </c>
      <c r="AW65" s="36" t="s">
        <v>371</v>
      </c>
    </row>
    <row r="66" spans="1:173" ht="64">
      <c r="A66" s="35" t="s">
        <v>505</v>
      </c>
      <c r="B66" s="37">
        <v>10.9</v>
      </c>
      <c r="AP66" s="36" t="s">
        <v>371</v>
      </c>
      <c r="AQ66" s="36" t="s">
        <v>371</v>
      </c>
      <c r="AR66" s="36" t="s">
        <v>371</v>
      </c>
      <c r="AS66" s="36" t="s">
        <v>371</v>
      </c>
      <c r="AT66" s="36" t="s">
        <v>371</v>
      </c>
      <c r="AU66" s="36" t="s">
        <v>371</v>
      </c>
      <c r="AV66" s="36" t="s">
        <v>371</v>
      </c>
      <c r="AW66" s="36" t="s">
        <v>371</v>
      </c>
      <c r="CG66" s="36" t="s">
        <v>371</v>
      </c>
      <c r="CH66" s="36" t="s">
        <v>371</v>
      </c>
      <c r="CI66" s="36" t="s">
        <v>371</v>
      </c>
      <c r="CJ66" s="36" t="s">
        <v>371</v>
      </c>
      <c r="CK66" s="36" t="s">
        <v>371</v>
      </c>
      <c r="CL66" s="36" t="s">
        <v>371</v>
      </c>
      <c r="CM66" s="36" t="s">
        <v>371</v>
      </c>
      <c r="CN66" s="36" t="s">
        <v>371</v>
      </c>
      <c r="CO66" s="36" t="s">
        <v>371</v>
      </c>
      <c r="CP66" s="36" t="s">
        <v>371</v>
      </c>
      <c r="CQ66" s="36" t="s">
        <v>371</v>
      </c>
      <c r="CR66" s="36" t="s">
        <v>371</v>
      </c>
    </row>
    <row r="67" spans="1:173" ht="64">
      <c r="A67" s="35" t="s">
        <v>506</v>
      </c>
      <c r="B67" s="37">
        <v>11.1</v>
      </c>
      <c r="DK67" s="36" t="s">
        <v>371</v>
      </c>
      <c r="DL67" s="36" t="s">
        <v>371</v>
      </c>
      <c r="DM67" s="36" t="s">
        <v>371</v>
      </c>
      <c r="DN67" s="36" t="s">
        <v>371</v>
      </c>
      <c r="DO67" s="36" t="s">
        <v>371</v>
      </c>
      <c r="DP67" s="36" t="s">
        <v>371</v>
      </c>
      <c r="DQ67" s="36" t="s">
        <v>371</v>
      </c>
      <c r="DR67" s="36" t="s">
        <v>371</v>
      </c>
      <c r="DS67" s="36" t="s">
        <v>371</v>
      </c>
      <c r="DT67" s="36" t="s">
        <v>371</v>
      </c>
    </row>
    <row r="68" spans="1:173" ht="80">
      <c r="A68" s="35" t="s">
        <v>507</v>
      </c>
      <c r="B68" s="37">
        <v>11.2</v>
      </c>
      <c r="U68" s="36" t="s">
        <v>371</v>
      </c>
      <c r="V68" s="36" t="s">
        <v>371</v>
      </c>
      <c r="W68" s="36" t="s">
        <v>371</v>
      </c>
      <c r="X68" s="36" t="s">
        <v>371</v>
      </c>
      <c r="Y68" s="36" t="s">
        <v>371</v>
      </c>
      <c r="Z68" s="36" t="s">
        <v>371</v>
      </c>
      <c r="AA68" s="36" t="s">
        <v>371</v>
      </c>
    </row>
    <row r="69" spans="1:173" ht="16">
      <c r="A69" s="35" t="s">
        <v>508</v>
      </c>
      <c r="B69" s="37">
        <v>11.3</v>
      </c>
      <c r="FJ69" s="36" t="s">
        <v>371</v>
      </c>
      <c r="FK69" s="36" t="s">
        <v>371</v>
      </c>
      <c r="FL69" s="36" t="s">
        <v>371</v>
      </c>
      <c r="FM69" s="36" t="s">
        <v>371</v>
      </c>
      <c r="FN69" s="36" t="s">
        <v>371</v>
      </c>
      <c r="FO69" s="36" t="s">
        <v>371</v>
      </c>
      <c r="FP69" s="36" t="s">
        <v>371</v>
      </c>
      <c r="FQ69" s="36" t="s">
        <v>371</v>
      </c>
    </row>
    <row r="70" spans="1:173" ht="96">
      <c r="A70" s="35" t="s">
        <v>509</v>
      </c>
      <c r="B70" s="37">
        <v>11.4</v>
      </c>
      <c r="CG70" s="36" t="s">
        <v>371</v>
      </c>
      <c r="CH70" s="36" t="s">
        <v>371</v>
      </c>
      <c r="CI70" s="36" t="s">
        <v>371</v>
      </c>
      <c r="CJ70" s="36" t="s">
        <v>371</v>
      </c>
      <c r="CK70" s="36" t="s">
        <v>371</v>
      </c>
      <c r="CL70" s="36" t="s">
        <v>371</v>
      </c>
      <c r="CM70" s="36" t="s">
        <v>371</v>
      </c>
      <c r="CN70" s="36" t="s">
        <v>371</v>
      </c>
      <c r="CO70" s="36" t="s">
        <v>371</v>
      </c>
      <c r="CP70" s="36" t="s">
        <v>371</v>
      </c>
      <c r="CQ70" s="36" t="s">
        <v>371</v>
      </c>
      <c r="CR70" s="36" t="s">
        <v>371</v>
      </c>
    </row>
    <row r="71" spans="1:173" ht="96">
      <c r="A71" s="35" t="s">
        <v>510</v>
      </c>
      <c r="B71" s="37">
        <v>11.5</v>
      </c>
      <c r="AK71" s="36" t="s">
        <v>371</v>
      </c>
      <c r="AL71" s="36" t="s">
        <v>371</v>
      </c>
      <c r="AM71" s="36" t="s">
        <v>371</v>
      </c>
      <c r="AN71" s="36" t="s">
        <v>371</v>
      </c>
      <c r="AO71" s="36" t="s">
        <v>371</v>
      </c>
      <c r="AX71" s="36" t="s">
        <v>371</v>
      </c>
      <c r="AY71" s="36" t="s">
        <v>371</v>
      </c>
      <c r="AZ71" s="36" t="s">
        <v>371</v>
      </c>
      <c r="BA71" s="36" t="s">
        <v>371</v>
      </c>
      <c r="BB71" s="36" t="s">
        <v>371</v>
      </c>
      <c r="BC71" s="36" t="s">
        <v>371</v>
      </c>
      <c r="BD71" s="36" t="s">
        <v>371</v>
      </c>
      <c r="BE71" s="36" t="s">
        <v>371</v>
      </c>
      <c r="BF71" s="36" t="s">
        <v>371</v>
      </c>
      <c r="BG71" s="36" t="s">
        <v>371</v>
      </c>
    </row>
    <row r="72" spans="1:173" ht="48">
      <c r="A72" s="35" t="s">
        <v>511</v>
      </c>
      <c r="B72" s="37">
        <v>11.6</v>
      </c>
    </row>
    <row r="73" spans="1:173" ht="32">
      <c r="A73" s="35" t="s">
        <v>512</v>
      </c>
      <c r="B73" s="37">
        <v>12.1</v>
      </c>
    </row>
    <row r="74" spans="1:173" ht="16">
      <c r="A74" s="35" t="s">
        <v>513</v>
      </c>
      <c r="B74" s="37">
        <v>12.2</v>
      </c>
    </row>
    <row r="75" spans="1:173" ht="32">
      <c r="A75" s="35" t="s">
        <v>514</v>
      </c>
      <c r="B75" s="37">
        <v>12.3</v>
      </c>
    </row>
    <row r="76" spans="1:173" ht="48">
      <c r="A76" s="35" t="s">
        <v>515</v>
      </c>
      <c r="B76" s="37">
        <v>12.4</v>
      </c>
    </row>
    <row r="77" spans="1:173" ht="32">
      <c r="A77" s="35" t="s">
        <v>516</v>
      </c>
      <c r="B77" s="37">
        <v>12.5</v>
      </c>
    </row>
    <row r="78" spans="1:173" ht="48">
      <c r="A78" s="35" t="s">
        <v>517</v>
      </c>
      <c r="B78" s="37">
        <v>12.6</v>
      </c>
      <c r="EH78" s="36" t="s">
        <v>371</v>
      </c>
      <c r="EI78" s="36" t="s">
        <v>371</v>
      </c>
      <c r="EJ78" s="36" t="s">
        <v>371</v>
      </c>
      <c r="EK78" s="36" t="s">
        <v>371</v>
      </c>
      <c r="EL78" s="36" t="s">
        <v>371</v>
      </c>
      <c r="EM78" s="36" t="s">
        <v>371</v>
      </c>
      <c r="EN78" s="36" t="s">
        <v>371</v>
      </c>
      <c r="EO78" s="36" t="s">
        <v>371</v>
      </c>
      <c r="EP78" s="36" t="s">
        <v>371</v>
      </c>
    </row>
    <row r="79" spans="1:173" ht="80">
      <c r="A79" s="35" t="s">
        <v>518</v>
      </c>
      <c r="B79" s="37">
        <v>12.7</v>
      </c>
    </row>
    <row r="80" spans="1:173" ht="64">
      <c r="A80" s="35" t="s">
        <v>519</v>
      </c>
      <c r="B80" s="37">
        <v>12.8</v>
      </c>
    </row>
    <row r="81" spans="1:165" ht="96">
      <c r="A81" s="35" t="s">
        <v>520</v>
      </c>
      <c r="B81" s="37">
        <v>12.9</v>
      </c>
    </row>
    <row r="82" spans="1:165" ht="32">
      <c r="A82" s="35" t="s">
        <v>521</v>
      </c>
      <c r="B82" s="38" t="s">
        <v>131</v>
      </c>
      <c r="FB82" s="36" t="s">
        <v>371</v>
      </c>
      <c r="FC82" s="36" t="s">
        <v>371</v>
      </c>
      <c r="FD82" s="36" t="s">
        <v>371</v>
      </c>
      <c r="FE82" s="36" t="s">
        <v>371</v>
      </c>
      <c r="FF82" s="36" t="s">
        <v>371</v>
      </c>
      <c r="FG82" s="36" t="s">
        <v>371</v>
      </c>
      <c r="FH82" s="36" t="s">
        <v>371</v>
      </c>
      <c r="FI82" s="36" t="s">
        <v>371</v>
      </c>
    </row>
    <row r="83" spans="1:165" ht="48">
      <c r="A83" s="35" t="s">
        <v>522</v>
      </c>
      <c r="B83" s="37">
        <v>12.11</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50741E-4A02-46C8-BC0F-62F75C3CD4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VENDOR QUESTIONNAIRE</vt:lpstr>
      <vt:lpstr>Assessment Results</vt:lpstr>
      <vt:lpstr>AGGREGATE</vt:lpstr>
      <vt:lpstr>Guide</vt:lpstr>
      <vt:lpstr>Revisions</vt:lpstr>
      <vt:lpstr>Technology MASTER</vt:lpstr>
      <vt:lpstr>Risk Calc</vt:lpstr>
      <vt:lpstr>Customer Gap Calc</vt:lpstr>
      <vt:lpstr>Vendor Gap Calc</vt:lpstr>
      <vt:lpstr>Override Calc</vt:lpstr>
      <vt:lpstr>Why CIS Top 20</vt:lpstr>
      <vt:lpstr>NIST Map</vt:lpstr>
      <vt:lpstr>HIPAA Map</vt:lpstr>
      <vt:lpstr>PCI Map</vt:lpstr>
      <vt:lpstr>'Assessment Results'!Print_Area</vt:lpstr>
      <vt:lpstr>'Risk Calc'!Print_Area</vt:lpstr>
      <vt:lpstr>'Technology MASTER'!Print_Area</vt:lpstr>
      <vt:lpstr>'VENDOR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2021-04-27T14:42:51Z</cp:lastPrinted>
  <dcterms:created xsi:type="dcterms:W3CDTF">2020-08-05T13:32:20Z</dcterms:created>
  <dcterms:modified xsi:type="dcterms:W3CDTF">2021-06-24T19:42:04Z</dcterms:modified>
</cp:coreProperties>
</file>