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wnloads/"/>
    </mc:Choice>
  </mc:AlternateContent>
  <xr:revisionPtr revIDLastSave="0" documentId="13_ncr:1_{8EECDDBB-D124-E847-ACEE-04779FD3D193}" xr6:coauthVersionLast="36" xr6:coauthVersionMax="41" xr10:uidLastSave="{00000000-0000-0000-0000-000000000000}"/>
  <bookViews>
    <workbookView xWindow="0" yWindow="460" windowWidth="25360" windowHeight="15360" tabRatio="914" xr2:uid="{E709C3FC-BAE0-1B45-8E1D-86ED04823D8D}"/>
  </bookViews>
  <sheets>
    <sheet name="VENDOR QUESTIONNAIRE" sheetId="23" r:id="rId1"/>
    <sheet name="Assessment Results" sheetId="10" r:id="rId2"/>
    <sheet name="Guide" sheetId="17" r:id="rId3"/>
    <sheet name="Revisions" sheetId="12" r:id="rId4"/>
    <sheet name="Technology MASTER" sheetId="2" r:id="rId5"/>
    <sheet name="Risk Calc" sheetId="9" r:id="rId6"/>
    <sheet name="Customer Gap Calc" sheetId="21" r:id="rId7"/>
    <sheet name="Vendor Gap Calc" sheetId="24" r:id="rId8"/>
    <sheet name="Medical Device MASTER" sheetId="13" state="hidden" r:id="rId9"/>
    <sheet name="Why CIS Top 20" sheetId="7" r:id="rId10"/>
    <sheet name="NIST Map" sheetId="5" r:id="rId11"/>
    <sheet name="HIPAA Map" sheetId="3" r:id="rId12"/>
    <sheet name="PCI Map" sheetId="4" r:id="rId13"/>
    <sheet name="Tech Questionnaire BACKUP" sheetId="6" state="hidden" r:id="rId14"/>
  </sheets>
  <definedNames>
    <definedName name="_xlnm.Print_Area" localSheetId="1">'Assessment Results'!$A$1:$T$101</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QUESTIONNAIRE'!$B$58:$N$182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6" i="10" l="1"/>
  <c r="M97" i="10"/>
  <c r="E2" i="10" l="1"/>
  <c r="K94" i="10"/>
  <c r="K95" i="10"/>
  <c r="K96" i="10"/>
  <c r="K97" i="10"/>
  <c r="K93" i="10"/>
  <c r="J94" i="10"/>
  <c r="J95" i="10"/>
  <c r="J96" i="10"/>
  <c r="J97" i="10"/>
  <c r="J93" i="10"/>
  <c r="I94" i="10"/>
  <c r="I95" i="10"/>
  <c r="I96" i="10"/>
  <c r="I97" i="10"/>
  <c r="I93" i="10"/>
  <c r="H94" i="10"/>
  <c r="H95" i="10"/>
  <c r="H96" i="10"/>
  <c r="H97" i="10"/>
  <c r="H93" i="10"/>
  <c r="G94" i="10"/>
  <c r="G95" i="10"/>
  <c r="G96" i="10"/>
  <c r="G97" i="10"/>
  <c r="G93" i="10"/>
  <c r="O94" i="10"/>
  <c r="O95" i="10"/>
  <c r="O96" i="10"/>
  <c r="O97" i="10"/>
  <c r="O93" i="10"/>
  <c r="P94" i="10"/>
  <c r="P95" i="10"/>
  <c r="P96" i="10"/>
  <c r="P97" i="10"/>
  <c r="P93" i="10"/>
  <c r="AD40" i="9"/>
  <c r="M94" i="10"/>
  <c r="M95" i="10"/>
  <c r="M96" i="10"/>
  <c r="M93" i="10"/>
  <c r="X40" i="9"/>
  <c r="P1" i="23" l="1"/>
  <c r="D182" i="23" l="1"/>
  <c r="D181" i="23"/>
  <c r="D179" i="23"/>
  <c r="D178" i="23"/>
  <c r="D177" i="23"/>
  <c r="D176" i="23"/>
  <c r="D175" i="23"/>
  <c r="D173" i="23"/>
  <c r="D172" i="23"/>
  <c r="D171" i="23"/>
  <c r="D170" i="23"/>
  <c r="D169" i="23"/>
  <c r="D168" i="23"/>
  <c r="D166" i="23"/>
  <c r="D165" i="23"/>
  <c r="D164" i="23"/>
  <c r="D163" i="23"/>
  <c r="D162" i="23"/>
  <c r="D161" i="23"/>
  <c r="D159" i="23"/>
  <c r="D158" i="23"/>
  <c r="D157" i="23"/>
  <c r="D156" i="23"/>
  <c r="D155" i="23"/>
  <c r="D154" i="23"/>
  <c r="D153" i="23"/>
  <c r="D152" i="23"/>
  <c r="D151" i="23"/>
  <c r="D150" i="23"/>
  <c r="D148" i="23"/>
  <c r="D147" i="23"/>
  <c r="D146" i="23"/>
  <c r="D145" i="23"/>
  <c r="D144" i="23"/>
  <c r="D142" i="23"/>
  <c r="D141" i="23"/>
  <c r="D140" i="23"/>
  <c r="D139" i="23"/>
  <c r="D137" i="23"/>
  <c r="D136" i="23"/>
  <c r="D135" i="23"/>
  <c r="D134" i="23"/>
  <c r="D133" i="23"/>
  <c r="D131" i="23"/>
  <c r="D130" i="23"/>
  <c r="D129" i="23"/>
  <c r="D128" i="23"/>
  <c r="D127" i="23"/>
  <c r="D126" i="23"/>
  <c r="D124" i="23"/>
  <c r="D123" i="23"/>
  <c r="D122" i="23"/>
  <c r="D121" i="23"/>
  <c r="D120" i="23"/>
  <c r="D118" i="23"/>
  <c r="D117" i="23"/>
  <c r="D116" i="23"/>
  <c r="D115" i="23"/>
  <c r="D114" i="23"/>
  <c r="D112" i="23"/>
  <c r="D111" i="23"/>
  <c r="D110" i="23"/>
  <c r="D109" i="23"/>
  <c r="D107" i="23"/>
  <c r="D106" i="23"/>
  <c r="D105" i="23"/>
  <c r="D104" i="23"/>
  <c r="D102" i="23"/>
  <c r="D101" i="23"/>
  <c r="D100" i="23"/>
  <c r="D99" i="23"/>
  <c r="D98" i="23"/>
  <c r="D97" i="23"/>
  <c r="D95" i="23"/>
  <c r="D94" i="23"/>
  <c r="D93" i="23"/>
  <c r="D92" i="23"/>
  <c r="D91" i="23"/>
  <c r="D89" i="23"/>
  <c r="D88" i="23"/>
  <c r="D87" i="23"/>
  <c r="D86" i="23"/>
  <c r="D84" i="23"/>
  <c r="D83" i="23"/>
  <c r="D82" i="23"/>
  <c r="D81" i="23"/>
  <c r="D80" i="23"/>
  <c r="D79" i="23"/>
  <c r="D78" i="23"/>
  <c r="D77" i="23"/>
  <c r="D75" i="23"/>
  <c r="D74" i="23"/>
  <c r="D73" i="23"/>
  <c r="D72" i="23"/>
  <c r="D71" i="23"/>
  <c r="D70" i="23"/>
  <c r="D68" i="23"/>
  <c r="D67" i="23"/>
  <c r="D66" i="23"/>
  <c r="D65" i="23"/>
  <c r="D63" i="23"/>
  <c r="D62" i="23"/>
  <c r="D61" i="23"/>
  <c r="D60" i="23"/>
  <c r="D59"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5" i="23"/>
  <c r="V65" i="23"/>
  <c r="U66" i="23"/>
  <c r="V66" i="23"/>
  <c r="U67" i="23"/>
  <c r="V67" i="23"/>
  <c r="U68" i="23"/>
  <c r="V68" i="23"/>
  <c r="U70" i="23"/>
  <c r="V70" i="23"/>
  <c r="U71" i="23"/>
  <c r="V71" i="23"/>
  <c r="U72" i="23"/>
  <c r="V72" i="23"/>
  <c r="U73" i="23"/>
  <c r="V73" i="23"/>
  <c r="U74" i="23"/>
  <c r="V74" i="23"/>
  <c r="U75" i="23"/>
  <c r="V75" i="23"/>
  <c r="U77" i="23"/>
  <c r="V77" i="23"/>
  <c r="U78" i="23"/>
  <c r="V78" i="23"/>
  <c r="U79" i="23"/>
  <c r="V79" i="23"/>
  <c r="U80" i="23"/>
  <c r="V80" i="23"/>
  <c r="U81" i="23"/>
  <c r="V81" i="23"/>
  <c r="U82" i="23"/>
  <c r="V82" i="23"/>
  <c r="U83" i="23"/>
  <c r="V83" i="23"/>
  <c r="U84" i="23"/>
  <c r="V84" i="23"/>
  <c r="U86" i="23"/>
  <c r="V86" i="23"/>
  <c r="U87" i="23"/>
  <c r="V87" i="23"/>
  <c r="U88" i="23"/>
  <c r="V88" i="23"/>
  <c r="U89" i="23"/>
  <c r="V89" i="23"/>
  <c r="U91" i="23"/>
  <c r="V91" i="23"/>
  <c r="U92" i="23"/>
  <c r="V92" i="23"/>
  <c r="U93" i="23"/>
  <c r="V93" i="23"/>
  <c r="U94" i="23"/>
  <c r="V94" i="23"/>
  <c r="U95" i="23"/>
  <c r="V95" i="23"/>
  <c r="U97" i="23"/>
  <c r="V97" i="23"/>
  <c r="U98" i="23"/>
  <c r="V98" i="23"/>
  <c r="U99" i="23"/>
  <c r="V99" i="23"/>
  <c r="U100" i="23"/>
  <c r="V100" i="23"/>
  <c r="U101" i="23"/>
  <c r="V101" i="23"/>
  <c r="U102" i="23"/>
  <c r="V102" i="23"/>
  <c r="U104" i="23"/>
  <c r="V104" i="23"/>
  <c r="U105" i="23"/>
  <c r="V105" i="23"/>
  <c r="U106" i="23"/>
  <c r="V106" i="23"/>
  <c r="U107" i="23"/>
  <c r="V107" i="23"/>
  <c r="U109" i="23"/>
  <c r="V109" i="23"/>
  <c r="U110" i="23"/>
  <c r="V110" i="23"/>
  <c r="U111" i="23"/>
  <c r="V111" i="23"/>
  <c r="U112" i="23"/>
  <c r="V112" i="23"/>
  <c r="U114" i="23"/>
  <c r="V114" i="23"/>
  <c r="U115" i="23"/>
  <c r="V115" i="23"/>
  <c r="U116" i="23"/>
  <c r="V116" i="23"/>
  <c r="U117" i="23"/>
  <c r="V117" i="23"/>
  <c r="U118" i="23"/>
  <c r="V118" i="23"/>
  <c r="U120" i="23"/>
  <c r="V120" i="23"/>
  <c r="U121" i="23"/>
  <c r="V121" i="23"/>
  <c r="U122" i="23"/>
  <c r="V122" i="23"/>
  <c r="U123" i="23"/>
  <c r="V123" i="23"/>
  <c r="U124" i="23"/>
  <c r="V124" i="23"/>
  <c r="U126" i="23"/>
  <c r="V126" i="23"/>
  <c r="U127" i="23"/>
  <c r="V127" i="23"/>
  <c r="U128" i="23"/>
  <c r="V128" i="23"/>
  <c r="U129" i="23"/>
  <c r="V129" i="23"/>
  <c r="U130" i="23"/>
  <c r="V130" i="23"/>
  <c r="U131" i="23"/>
  <c r="V131" i="23"/>
  <c r="U133" i="23"/>
  <c r="V133" i="23"/>
  <c r="U134" i="23"/>
  <c r="V134" i="23"/>
  <c r="U135" i="23"/>
  <c r="V135" i="23"/>
  <c r="U136" i="23"/>
  <c r="V136" i="23"/>
  <c r="U137" i="23"/>
  <c r="V137" i="23"/>
  <c r="U139" i="23"/>
  <c r="V139" i="23"/>
  <c r="U140" i="23"/>
  <c r="V140" i="23"/>
  <c r="U141" i="23"/>
  <c r="V141" i="23"/>
  <c r="U142" i="23"/>
  <c r="V142" i="23"/>
  <c r="U144" i="23"/>
  <c r="V144" i="23"/>
  <c r="U145" i="23"/>
  <c r="V145" i="23"/>
  <c r="U146" i="23"/>
  <c r="V146" i="23"/>
  <c r="U147" i="23"/>
  <c r="V147" i="23"/>
  <c r="U148" i="23"/>
  <c r="V148" i="23"/>
  <c r="U150" i="23"/>
  <c r="V150" i="23"/>
  <c r="U151" i="23"/>
  <c r="V151" i="23"/>
  <c r="U152" i="23"/>
  <c r="V152" i="23"/>
  <c r="U153" i="23"/>
  <c r="V153" i="23"/>
  <c r="U154" i="23"/>
  <c r="V154" i="23"/>
  <c r="U155" i="23"/>
  <c r="V155" i="23"/>
  <c r="U156" i="23"/>
  <c r="V156" i="23"/>
  <c r="U157" i="23"/>
  <c r="V157" i="23"/>
  <c r="U158" i="23"/>
  <c r="V158" i="23"/>
  <c r="U159" i="23"/>
  <c r="V159" i="23"/>
  <c r="U161" i="23"/>
  <c r="V161" i="23"/>
  <c r="U162" i="23"/>
  <c r="V162" i="23"/>
  <c r="U163" i="23"/>
  <c r="V163" i="23"/>
  <c r="U164" i="23"/>
  <c r="V164" i="23"/>
  <c r="U165" i="23"/>
  <c r="V165" i="23"/>
  <c r="U166" i="23"/>
  <c r="V166" i="23"/>
  <c r="U168" i="23"/>
  <c r="V168" i="23"/>
  <c r="U169" i="23"/>
  <c r="V169" i="23"/>
  <c r="U170" i="23"/>
  <c r="V170" i="23"/>
  <c r="U171" i="23"/>
  <c r="V171" i="23"/>
  <c r="U172" i="23"/>
  <c r="V172" i="23"/>
  <c r="U173" i="23"/>
  <c r="V173" i="23"/>
  <c r="U175" i="23"/>
  <c r="V175" i="23"/>
  <c r="U176" i="23"/>
  <c r="V176" i="23"/>
  <c r="U177" i="23"/>
  <c r="V177" i="23"/>
  <c r="U178" i="23"/>
  <c r="V178" i="23"/>
  <c r="U179" i="23"/>
  <c r="V179" i="23"/>
  <c r="U181" i="23"/>
  <c r="V181" i="23"/>
  <c r="U182" i="23"/>
  <c r="V182" i="23"/>
  <c r="S65" i="23"/>
  <c r="S66" i="23"/>
  <c r="S67" i="23"/>
  <c r="S68" i="23"/>
  <c r="S70" i="23"/>
  <c r="S71" i="23"/>
  <c r="S72" i="23"/>
  <c r="S73" i="23"/>
  <c r="S74" i="23"/>
  <c r="S75" i="23"/>
  <c r="S77" i="23"/>
  <c r="S78" i="23"/>
  <c r="S79" i="23"/>
  <c r="S80" i="23"/>
  <c r="S81" i="23"/>
  <c r="S82" i="23"/>
  <c r="S83" i="23"/>
  <c r="S84" i="23"/>
  <c r="S86" i="23"/>
  <c r="S87" i="23"/>
  <c r="S88" i="23"/>
  <c r="S89" i="23"/>
  <c r="S91" i="23"/>
  <c r="S92" i="23"/>
  <c r="S93" i="23"/>
  <c r="S94" i="23"/>
  <c r="S95" i="23"/>
  <c r="S97" i="23"/>
  <c r="S98" i="23"/>
  <c r="S99" i="23"/>
  <c r="S100" i="23"/>
  <c r="S101" i="23"/>
  <c r="S102" i="23"/>
  <c r="S104" i="23"/>
  <c r="S105" i="23"/>
  <c r="S106" i="23"/>
  <c r="S107" i="23"/>
  <c r="S109" i="23"/>
  <c r="S110" i="23"/>
  <c r="S111" i="23"/>
  <c r="S112" i="23"/>
  <c r="S114" i="23"/>
  <c r="S115" i="23"/>
  <c r="S116" i="23"/>
  <c r="S117" i="23"/>
  <c r="S118" i="23"/>
  <c r="S120" i="23"/>
  <c r="S121" i="23"/>
  <c r="S122" i="23"/>
  <c r="S123" i="23"/>
  <c r="S124" i="23"/>
  <c r="S126" i="23"/>
  <c r="S127" i="23"/>
  <c r="S128" i="23"/>
  <c r="S129" i="23"/>
  <c r="S130" i="23"/>
  <c r="S131" i="23"/>
  <c r="S133" i="23"/>
  <c r="S134" i="23"/>
  <c r="S135" i="23"/>
  <c r="S136" i="23"/>
  <c r="S137" i="23"/>
  <c r="S139" i="23"/>
  <c r="S140" i="23"/>
  <c r="S141" i="23"/>
  <c r="S142" i="23"/>
  <c r="S144" i="23"/>
  <c r="S145" i="23"/>
  <c r="S146" i="23"/>
  <c r="S147" i="23"/>
  <c r="S148" i="23"/>
  <c r="S150" i="23"/>
  <c r="S151" i="23"/>
  <c r="S152" i="23"/>
  <c r="S153" i="23"/>
  <c r="S154" i="23"/>
  <c r="S155" i="23"/>
  <c r="S156" i="23"/>
  <c r="S157" i="23"/>
  <c r="S158" i="23"/>
  <c r="S159" i="23"/>
  <c r="S161" i="23"/>
  <c r="S162" i="23"/>
  <c r="S163" i="23"/>
  <c r="S164" i="23"/>
  <c r="S165" i="23"/>
  <c r="S166" i="23"/>
  <c r="S168" i="23"/>
  <c r="S169" i="23"/>
  <c r="S170" i="23"/>
  <c r="S171" i="23"/>
  <c r="S172" i="23"/>
  <c r="S173" i="23"/>
  <c r="S175" i="23"/>
  <c r="S176" i="23"/>
  <c r="S177" i="23"/>
  <c r="S178" i="23"/>
  <c r="S179" i="23"/>
  <c r="S181" i="23"/>
  <c r="S182" i="23"/>
  <c r="R65" i="23"/>
  <c r="R66" i="23"/>
  <c r="R67" i="23"/>
  <c r="R68" i="23"/>
  <c r="R70" i="23"/>
  <c r="R71" i="23"/>
  <c r="R72" i="23"/>
  <c r="R73" i="23"/>
  <c r="R74" i="23"/>
  <c r="R75" i="23"/>
  <c r="R77" i="23"/>
  <c r="R78" i="23"/>
  <c r="R79" i="23"/>
  <c r="R80" i="23"/>
  <c r="R81" i="23"/>
  <c r="R82" i="23"/>
  <c r="R83" i="23"/>
  <c r="R84" i="23"/>
  <c r="R86" i="23"/>
  <c r="R87" i="23"/>
  <c r="R88" i="23"/>
  <c r="R89" i="23"/>
  <c r="R91" i="23"/>
  <c r="R92" i="23"/>
  <c r="R93" i="23"/>
  <c r="R94" i="23"/>
  <c r="R95" i="23"/>
  <c r="R97" i="23"/>
  <c r="R98" i="23"/>
  <c r="R99" i="23"/>
  <c r="R100" i="23"/>
  <c r="R101" i="23"/>
  <c r="R102" i="23"/>
  <c r="R104" i="23"/>
  <c r="R105" i="23"/>
  <c r="R106" i="23"/>
  <c r="R107" i="23"/>
  <c r="R109" i="23"/>
  <c r="R110" i="23"/>
  <c r="R111" i="23"/>
  <c r="R112" i="23"/>
  <c r="R114" i="23"/>
  <c r="R115" i="23"/>
  <c r="R116" i="23"/>
  <c r="R117" i="23"/>
  <c r="R118" i="23"/>
  <c r="R120" i="23"/>
  <c r="R121" i="23"/>
  <c r="R122" i="23"/>
  <c r="R123" i="23"/>
  <c r="R124" i="23"/>
  <c r="R126" i="23"/>
  <c r="R127" i="23"/>
  <c r="R128" i="23"/>
  <c r="R129" i="23"/>
  <c r="R130" i="23"/>
  <c r="R131" i="23"/>
  <c r="R133" i="23"/>
  <c r="R134" i="23"/>
  <c r="R135" i="23"/>
  <c r="R136" i="23"/>
  <c r="R137" i="23"/>
  <c r="R139" i="23"/>
  <c r="R140" i="23"/>
  <c r="R141" i="23"/>
  <c r="R142" i="23"/>
  <c r="R144" i="23"/>
  <c r="R145" i="23"/>
  <c r="R146" i="23"/>
  <c r="R147" i="23"/>
  <c r="R148" i="23"/>
  <c r="R150" i="23"/>
  <c r="R151" i="23"/>
  <c r="R152" i="23"/>
  <c r="R153" i="23"/>
  <c r="R154" i="23"/>
  <c r="R155" i="23"/>
  <c r="R156" i="23"/>
  <c r="R157" i="23"/>
  <c r="R158" i="23"/>
  <c r="R159" i="23"/>
  <c r="R161" i="23"/>
  <c r="R162" i="23"/>
  <c r="R163" i="23"/>
  <c r="R164" i="23"/>
  <c r="R165" i="23"/>
  <c r="R166" i="23"/>
  <c r="R168" i="23"/>
  <c r="R169" i="23"/>
  <c r="R170" i="23"/>
  <c r="R171" i="23"/>
  <c r="R172" i="23"/>
  <c r="R173" i="23"/>
  <c r="R175" i="23"/>
  <c r="R176" i="23"/>
  <c r="R177" i="23"/>
  <c r="R178" i="23"/>
  <c r="R179" i="23"/>
  <c r="R181" i="23"/>
  <c r="R182" i="23"/>
  <c r="U63" i="23"/>
  <c r="U60" i="23"/>
  <c r="U61" i="23"/>
  <c r="U62" i="23"/>
  <c r="S60" i="23"/>
  <c r="S61" i="23"/>
  <c r="S62" i="23"/>
  <c r="S63" i="23"/>
  <c r="U59" i="23"/>
  <c r="S59" i="23"/>
  <c r="V60" i="23"/>
  <c r="V61" i="23"/>
  <c r="V62" i="23"/>
  <c r="V63" i="23"/>
  <c r="V59" i="23"/>
  <c r="R60" i="23"/>
  <c r="R61" i="23"/>
  <c r="R62" i="23"/>
  <c r="R63" i="23"/>
  <c r="R59" i="23"/>
  <c r="B184" i="23"/>
  <c r="S26" i="10" l="1"/>
  <c r="S34" i="10"/>
  <c r="R23" i="10"/>
  <c r="R31" i="10"/>
  <c r="Q20" i="10"/>
  <c r="Q28" i="10"/>
  <c r="Q36" i="10"/>
  <c r="P25" i="10"/>
  <c r="P33" i="10"/>
  <c r="S18" i="10"/>
  <c r="O26" i="10"/>
  <c r="O34" i="10"/>
  <c r="R28" i="10"/>
  <c r="P18" i="10"/>
  <c r="S24" i="10"/>
  <c r="P23" i="10"/>
  <c r="S19" i="10"/>
  <c r="S27" i="10"/>
  <c r="S35" i="10"/>
  <c r="R24" i="10"/>
  <c r="R32" i="10"/>
  <c r="Q21" i="10"/>
  <c r="Q29" i="10"/>
  <c r="Q37" i="10"/>
  <c r="P26" i="10"/>
  <c r="P34" i="10"/>
  <c r="O18" i="10"/>
  <c r="O27" i="10"/>
  <c r="O35" i="10"/>
  <c r="Q25" i="10"/>
  <c r="O31" i="10"/>
  <c r="S32" i="10"/>
  <c r="Q34" i="10"/>
  <c r="S20" i="10"/>
  <c r="S28" i="10"/>
  <c r="S36" i="10"/>
  <c r="R25" i="10"/>
  <c r="R33" i="10"/>
  <c r="Q22" i="10"/>
  <c r="Q30" i="10"/>
  <c r="P19" i="10"/>
  <c r="P27" i="10"/>
  <c r="P35" i="10"/>
  <c r="O20" i="10"/>
  <c r="O28" i="10"/>
  <c r="O36" i="10"/>
  <c r="R20" i="10"/>
  <c r="P30" i="10"/>
  <c r="R29" i="10"/>
  <c r="P31" i="10"/>
  <c r="S21" i="10"/>
  <c r="S29" i="10"/>
  <c r="S37" i="10"/>
  <c r="R26" i="10"/>
  <c r="R34" i="10"/>
  <c r="Q23" i="10"/>
  <c r="Q31" i="10"/>
  <c r="P20" i="10"/>
  <c r="P28" i="10"/>
  <c r="P36" i="10"/>
  <c r="O21" i="10"/>
  <c r="O29" i="10"/>
  <c r="O37" i="10"/>
  <c r="S31" i="10"/>
  <c r="O23" i="10"/>
  <c r="R21" i="10"/>
  <c r="Q18" i="10"/>
  <c r="S22" i="10"/>
  <c r="S30" i="10"/>
  <c r="R19" i="10"/>
  <c r="R27" i="10"/>
  <c r="R35" i="10"/>
  <c r="Q24" i="10"/>
  <c r="Q32" i="10"/>
  <c r="P21" i="10"/>
  <c r="P29" i="10"/>
  <c r="P37" i="10"/>
  <c r="O22" i="10"/>
  <c r="O30" i="10"/>
  <c r="S23" i="10"/>
  <c r="Q33" i="10"/>
  <c r="R37" i="10"/>
  <c r="O24" i="10"/>
  <c r="S25" i="10"/>
  <c r="S33" i="10"/>
  <c r="R22" i="10"/>
  <c r="R30" i="10"/>
  <c r="Q19" i="10"/>
  <c r="Q27" i="10"/>
  <c r="Q35" i="10"/>
  <c r="P24" i="10"/>
  <c r="P32" i="10"/>
  <c r="R18" i="10"/>
  <c r="O25" i="10"/>
  <c r="O33" i="10"/>
  <c r="R36" i="10"/>
  <c r="P22" i="10"/>
  <c r="Q26" i="10"/>
  <c r="O32"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P38" i="10" l="1"/>
  <c r="Q38" i="10"/>
  <c r="R38" i="10"/>
  <c r="S38" i="10"/>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3" i="23" l="1"/>
  <c r="T59" i="23"/>
  <c r="T63" i="23"/>
  <c r="T156" i="23"/>
  <c r="T129" i="23"/>
  <c r="T177" i="23"/>
  <c r="T141" i="23"/>
  <c r="T105" i="23"/>
  <c r="T133" i="23"/>
  <c r="T68" i="23"/>
  <c r="T80" i="23"/>
  <c r="T182" i="23"/>
  <c r="T109" i="23"/>
  <c r="T72" i="23"/>
  <c r="T60" i="23"/>
  <c r="T93" i="23"/>
  <c r="T66" i="23"/>
  <c r="T161" i="23"/>
  <c r="T153" i="23"/>
  <c r="T116" i="23"/>
  <c r="T73" i="23"/>
  <c r="T107" i="23"/>
  <c r="T175" i="23"/>
  <c r="T102" i="23"/>
  <c r="T162" i="23"/>
  <c r="T117" i="23"/>
  <c r="T100" i="23"/>
  <c r="T128" i="23"/>
  <c r="T91" i="23"/>
  <c r="L23" i="10" s="1"/>
  <c r="T101" i="23"/>
  <c r="T112" i="23"/>
  <c r="T84" i="23"/>
  <c r="T77" i="23"/>
  <c r="T171" i="23"/>
  <c r="T135" i="23"/>
  <c r="T140" i="23"/>
  <c r="T127" i="23"/>
  <c r="T99" i="23"/>
  <c r="T148" i="23"/>
  <c r="T178" i="23"/>
  <c r="T124" i="23"/>
  <c r="T79" i="23"/>
  <c r="T118" i="23"/>
  <c r="T92" i="23"/>
  <c r="T170" i="23"/>
  <c r="T82" i="23"/>
  <c r="T62" i="23"/>
  <c r="T137" i="23"/>
  <c r="T110" i="23"/>
  <c r="T121" i="23"/>
  <c r="T122" i="23"/>
  <c r="T94" i="23"/>
  <c r="T86" i="23"/>
  <c r="T181" i="23"/>
  <c r="L37" i="10" s="1"/>
  <c r="T145" i="23"/>
  <c r="T158" i="23"/>
  <c r="T136" i="23"/>
  <c r="T165" i="23"/>
  <c r="T61" i="23"/>
  <c r="T83" i="23"/>
  <c r="T152" i="23"/>
  <c r="T106" i="23"/>
  <c r="T176" i="23"/>
  <c r="T81" i="23"/>
  <c r="T75" i="23"/>
  <c r="T126" i="23"/>
  <c r="T71" i="23"/>
  <c r="T147" i="23"/>
  <c r="T120" i="23"/>
  <c r="L28" i="10" s="1"/>
  <c r="T150" i="23"/>
  <c r="T131" i="23"/>
  <c r="T123" i="23"/>
  <c r="T95" i="23"/>
  <c r="T172" i="23"/>
  <c r="T168" i="23"/>
  <c r="T146" i="23"/>
  <c r="T89" i="23"/>
  <c r="T139" i="23"/>
  <c r="L31" i="10" s="1"/>
  <c r="T65" i="23"/>
  <c r="T169" i="23"/>
  <c r="T142" i="23"/>
  <c r="T115" i="23"/>
  <c r="T97" i="23"/>
  <c r="L24" i="10" s="1"/>
  <c r="T157" i="23"/>
  <c r="T70" i="23"/>
  <c r="L20" i="10" s="1"/>
  <c r="T155" i="23"/>
  <c r="T166" i="23"/>
  <c r="T74" i="23"/>
  <c r="T151" i="23"/>
  <c r="T104" i="23"/>
  <c r="T179" i="23"/>
  <c r="T134" i="23"/>
  <c r="T78" i="23"/>
  <c r="T154" i="23"/>
  <c r="T111" i="23"/>
  <c r="T88" i="23"/>
  <c r="T164" i="23"/>
  <c r="T159" i="23"/>
  <c r="T114" i="23"/>
  <c r="L27" i="10" s="1"/>
  <c r="T67" i="23"/>
  <c r="T144" i="23"/>
  <c r="T87" i="23"/>
  <c r="T163" i="23"/>
  <c r="T130" i="23"/>
  <c r="T98" i="23"/>
  <c r="J192" i="23"/>
  <c r="J190" i="23"/>
  <c r="J198" i="23"/>
  <c r="J196" i="23"/>
  <c r="J194" i="23"/>
  <c r="L32" i="10" l="1"/>
  <c r="E3" i="21" a="1"/>
  <c r="E3" i="21" s="1"/>
  <c r="E11" i="21" a="1"/>
  <c r="E11" i="21" s="1"/>
  <c r="E19" i="21" a="1"/>
  <c r="E19" i="21" s="1"/>
  <c r="D7" i="21" a="1"/>
  <c r="D7" i="21" s="1"/>
  <c r="D15" i="21" a="1"/>
  <c r="D15" i="21" s="1"/>
  <c r="D4" i="21" a="1"/>
  <c r="D4" i="21" s="1"/>
  <c r="D20" i="21" a="1"/>
  <c r="D20" i="21" s="1"/>
  <c r="E4" i="21" a="1"/>
  <c r="E4" i="21" s="1"/>
  <c r="E12" i="21" a="1"/>
  <c r="E12" i="21" s="1"/>
  <c r="E20" i="21" a="1"/>
  <c r="E20" i="21"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D5" i="21" a="1"/>
  <c r="D5" i="21" s="1"/>
  <c r="E7" i="21" a="1"/>
  <c r="E7" i="21" s="1"/>
  <c r="E15" i="21" a="1"/>
  <c r="E15" i="21" s="1"/>
  <c r="D3" i="21" a="1"/>
  <c r="D3" i="21" s="1"/>
  <c r="D11" i="21" a="1"/>
  <c r="D11" i="21" s="1"/>
  <c r="D19" i="21" a="1"/>
  <c r="D19" i="21" s="1"/>
  <c r="E16" i="21" a="1"/>
  <c r="E16" i="21" s="1"/>
  <c r="E17" i="21" a="1"/>
  <c r="E17" i="21" s="1"/>
  <c r="E10" i="21" a="1"/>
  <c r="E10" i="21" s="1"/>
  <c r="E18" i="21" a="1"/>
  <c r="E18" i="21" s="1"/>
  <c r="D6" i="21" a="1"/>
  <c r="D6" i="21" s="1"/>
  <c r="D14" i="21" a="1"/>
  <c r="D14" i="21" s="1"/>
  <c r="D2" i="21" a="1"/>
  <c r="D2" i="21" s="1"/>
  <c r="D13" i="21" a="1"/>
  <c r="D13" i="21" s="1"/>
  <c r="L19" i="10"/>
  <c r="L29" i="10"/>
  <c r="L25" i="10"/>
  <c r="L36" i="10"/>
  <c r="L33" i="10"/>
  <c r="L22" i="10"/>
  <c r="L26" i="10"/>
  <c r="L35" i="10"/>
  <c r="L34" i="10"/>
  <c r="E3" i="24" a="1"/>
  <c r="E3" i="24" s="1"/>
  <c r="E11" i="24" a="1"/>
  <c r="E11" i="24" s="1"/>
  <c r="E19" i="24" a="1"/>
  <c r="E19" i="24" s="1"/>
  <c r="D7" i="24" a="1"/>
  <c r="D7" i="24" s="1"/>
  <c r="D15" i="24" a="1"/>
  <c r="D15" i="24" s="1"/>
  <c r="E4" i="24" a="1"/>
  <c r="E4" i="24" s="1"/>
  <c r="B45" i="10" s="1"/>
  <c r="E12" i="24" a="1"/>
  <c r="E12" i="24" s="1"/>
  <c r="E20" i="24" a="1"/>
  <c r="E20" i="24" s="1"/>
  <c r="D8" i="24" a="1"/>
  <c r="D8" i="24" s="1"/>
  <c r="D16" i="24" a="1"/>
  <c r="D16" i="24" s="1"/>
  <c r="D19" i="24" a="1"/>
  <c r="D19" i="24" s="1"/>
  <c r="E5" i="24" a="1"/>
  <c r="E5" i="24" s="1"/>
  <c r="E13" i="24" a="1"/>
  <c r="E13" i="24" s="1"/>
  <c r="B54" i="10" s="1"/>
  <c r="E21" i="24" a="1"/>
  <c r="E21" i="24" s="1"/>
  <c r="B62" i="10" s="1"/>
  <c r="D9" i="24" a="1"/>
  <c r="D9" i="24" s="1"/>
  <c r="D17" i="24" a="1"/>
  <c r="D17" i="24" s="1"/>
  <c r="E6" i="24" a="1"/>
  <c r="E6" i="24" s="1"/>
  <c r="E14" i="24" a="1"/>
  <c r="E14" i="24" s="1"/>
  <c r="E2" i="24" a="1"/>
  <c r="E2" i="24" s="1"/>
  <c r="D10" i="24" a="1"/>
  <c r="D10" i="24" s="1"/>
  <c r="D18" i="24" a="1"/>
  <c r="D18" i="24" s="1"/>
  <c r="E15" i="24" a="1"/>
  <c r="E15" i="24" s="1"/>
  <c r="B56" i="10" s="1"/>
  <c r="E7" i="24" a="1"/>
  <c r="E7" i="24" s="1"/>
  <c r="E8" i="24" a="1"/>
  <c r="E8" i="24" s="1"/>
  <c r="E16" i="24" a="1"/>
  <c r="E16" i="24" s="1"/>
  <c r="D4" i="24" a="1"/>
  <c r="D4" i="24" s="1"/>
  <c r="D12" i="24" a="1"/>
  <c r="D12" i="24" s="1"/>
  <c r="D20" i="24" a="1"/>
  <c r="D20" i="24" s="1"/>
  <c r="D3" i="24" a="1"/>
  <c r="D3" i="24" s="1"/>
  <c r="E9" i="24" a="1"/>
  <c r="E9" i="24" s="1"/>
  <c r="B50" i="10" s="1"/>
  <c r="E17" i="24" a="1"/>
  <c r="E17" i="24" s="1"/>
  <c r="D5" i="24" a="1"/>
  <c r="D5" i="24" s="1"/>
  <c r="D13" i="24" a="1"/>
  <c r="D13" i="24" s="1"/>
  <c r="D21" i="24" a="1"/>
  <c r="D21" i="24" s="1"/>
  <c r="E10" i="24" a="1"/>
  <c r="E10" i="24" s="1"/>
  <c r="E18" i="24" a="1"/>
  <c r="E18" i="24" s="1"/>
  <c r="D6" i="24" a="1"/>
  <c r="D6" i="24" s="1"/>
  <c r="D14" i="24" a="1"/>
  <c r="D14" i="24" s="1"/>
  <c r="D2" i="24" a="1"/>
  <c r="D2" i="24" s="1"/>
  <c r="D11" i="24" a="1"/>
  <c r="D11" i="24" s="1"/>
  <c r="L21" i="10"/>
  <c r="L30" i="10"/>
  <c r="A2" i="24" a="1"/>
  <c r="A116" i="24" s="1"/>
  <c r="A2" i="21" a="1"/>
  <c r="A24" i="21" s="1"/>
  <c r="O19" i="10"/>
  <c r="O38" i="10" s="1"/>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A113" i="24"/>
  <c r="K23" i="10"/>
  <c r="M23" i="10"/>
  <c r="J23" i="10"/>
  <c r="A34" i="24"/>
  <c r="J26" i="10"/>
  <c r="M26" i="10"/>
  <c r="K26" i="10"/>
  <c r="A52" i="21"/>
  <c r="A30" i="24"/>
  <c r="M31" i="10"/>
  <c r="K31" i="10"/>
  <c r="J31" i="10"/>
  <c r="A82" i="21"/>
  <c r="A5" i="24"/>
  <c r="A84" i="24"/>
  <c r="A21" i="21"/>
  <c r="A42" i="24"/>
  <c r="A42" i="21"/>
  <c r="A120" i="21"/>
  <c r="A120" i="24"/>
  <c r="A10" i="21"/>
  <c r="AB43" i="9"/>
  <c r="J27" i="10"/>
  <c r="Z43" i="9"/>
  <c r="Y43" i="9"/>
  <c r="M27" i="10"/>
  <c r="K27" i="10"/>
  <c r="AA43" i="9"/>
  <c r="A57" i="24"/>
  <c r="A122" i="24"/>
  <c r="A122" i="21"/>
  <c r="M24" i="10"/>
  <c r="K24" i="10"/>
  <c r="J24" i="10"/>
  <c r="A40" i="24"/>
  <c r="J35" i="10"/>
  <c r="M35" i="10"/>
  <c r="K35" i="10"/>
  <c r="A111" i="24"/>
  <c r="A90" i="24"/>
  <c r="A90" i="21"/>
  <c r="A26" i="24"/>
  <c r="A26" i="21"/>
  <c r="A37" i="24"/>
  <c r="A37" i="21"/>
  <c r="A35" i="24"/>
  <c r="A83" i="24"/>
  <c r="A83" i="21"/>
  <c r="A71" i="21"/>
  <c r="A71" i="24"/>
  <c r="A59" i="24"/>
  <c r="A59" i="21"/>
  <c r="A125" i="24"/>
  <c r="A99" i="24"/>
  <c r="A99" i="21"/>
  <c r="A112" i="24"/>
  <c r="A112" i="21"/>
  <c r="A119" i="24"/>
  <c r="A119" i="21"/>
  <c r="A55" i="21"/>
  <c r="A55" i="24"/>
  <c r="A32" i="24"/>
  <c r="A32" i="21"/>
  <c r="A44" i="21"/>
  <c r="A44" i="24"/>
  <c r="A58" i="24"/>
  <c r="A58" i="21"/>
  <c r="A115" i="24"/>
  <c r="A14" i="24"/>
  <c r="A14" i="21"/>
  <c r="A4" i="21"/>
  <c r="A4" i="24"/>
  <c r="A65" i="24"/>
  <c r="A65" i="21"/>
  <c r="A61" i="24"/>
  <c r="A78" i="24"/>
  <c r="A78" i="21"/>
  <c r="A43" i="21"/>
  <c r="A43" i="24"/>
  <c r="A96" i="21"/>
  <c r="A96" i="24"/>
  <c r="A23" i="24"/>
  <c r="A6" i="24"/>
  <c r="A73" i="21"/>
  <c r="A73" i="24"/>
  <c r="A38" i="24"/>
  <c r="A38" i="21"/>
  <c r="A97" i="24"/>
  <c r="A74" i="24"/>
  <c r="A91" i="21"/>
  <c r="A91" i="24"/>
  <c r="A3" i="21"/>
  <c r="A3" i="24"/>
  <c r="Y40" i="9"/>
  <c r="J20" i="10"/>
  <c r="AB40" i="9"/>
  <c r="K20" i="10"/>
  <c r="Z40" i="9"/>
  <c r="AC40" i="9"/>
  <c r="AC42" i="9" s="1"/>
  <c r="AC44" i="9" s="1"/>
  <c r="AA40" i="9"/>
  <c r="M20" i="10"/>
  <c r="A13" i="24"/>
  <c r="A13" i="21"/>
  <c r="J37" i="10"/>
  <c r="M37" i="10"/>
  <c r="K37" i="10"/>
  <c r="A124" i="24"/>
  <c r="A124" i="21"/>
  <c r="A50" i="21"/>
  <c r="A50" i="24"/>
  <c r="A102" i="24"/>
  <c r="A102" i="21"/>
  <c r="J25" i="10"/>
  <c r="M25" i="10"/>
  <c r="K25" i="10"/>
  <c r="A47" i="24"/>
  <c r="A47" i="21"/>
  <c r="A41" i="21"/>
  <c r="A41" i="24"/>
  <c r="A107" i="24"/>
  <c r="A107" i="21"/>
  <c r="A94" i="21"/>
  <c r="A94" i="24"/>
  <c r="A85" i="21"/>
  <c r="A85" i="24"/>
  <c r="B60" i="10"/>
  <c r="B69" i="10"/>
  <c r="B77" i="10"/>
  <c r="B85" i="10"/>
  <c r="M18" i="10"/>
  <c r="K18" i="10"/>
  <c r="Z41" i="9"/>
  <c r="B76" i="10"/>
  <c r="B59" i="10"/>
  <c r="B55" i="10"/>
  <c r="B51" i="10"/>
  <c r="B47" i="10"/>
  <c r="B43" i="10"/>
  <c r="B78" i="10"/>
  <c r="B86" i="10"/>
  <c r="L18" i="10"/>
  <c r="B84" i="10"/>
  <c r="B71" i="10"/>
  <c r="B44" i="10"/>
  <c r="B58" i="10"/>
  <c r="B46" i="10"/>
  <c r="C2" i="24" a="1"/>
  <c r="B72" i="10"/>
  <c r="B80" i="10"/>
  <c r="AA41" i="9"/>
  <c r="B73" i="10"/>
  <c r="B81" i="10"/>
  <c r="J18" i="10"/>
  <c r="AB41" i="9"/>
  <c r="B48" i="10"/>
  <c r="B61" i="10"/>
  <c r="B57" i="10"/>
  <c r="B53" i="10"/>
  <c r="B49" i="10"/>
  <c r="B82" i="10"/>
  <c r="Y41" i="9"/>
  <c r="B68" i="10"/>
  <c r="B75" i="10"/>
  <c r="B83" i="10"/>
  <c r="C2" i="21" a="1"/>
  <c r="B52" i="10"/>
  <c r="A2" i="24"/>
  <c r="A2" i="21"/>
  <c r="J29" i="10"/>
  <c r="M29" i="10"/>
  <c r="K29" i="10"/>
  <c r="A69" i="24"/>
  <c r="A69" i="21"/>
  <c r="A108" i="21"/>
  <c r="A108" i="24"/>
  <c r="A64" i="21"/>
  <c r="A64" i="24"/>
  <c r="A22" i="21"/>
  <c r="A22" i="24"/>
  <c r="A114" i="21"/>
  <c r="A114" i="24"/>
  <c r="A60" i="24"/>
  <c r="A60" i="21"/>
  <c r="J34" i="10"/>
  <c r="M34" i="10"/>
  <c r="K34" i="10"/>
  <c r="A104" i="24"/>
  <c r="A104" i="21"/>
  <c r="A11" i="24"/>
  <c r="A11" i="21"/>
  <c r="AC41" i="9"/>
  <c r="AC43" i="9" s="1"/>
  <c r="U41" i="9"/>
  <c r="V41" i="9"/>
  <c r="T41" i="9"/>
  <c r="U42" i="9"/>
  <c r="V42" i="9"/>
  <c r="T42" i="9"/>
  <c r="V44" i="9"/>
  <c r="T44" i="9"/>
  <c r="U44" i="9"/>
  <c r="V40" i="9"/>
  <c r="T40" i="9"/>
  <c r="U40" i="9"/>
  <c r="V43" i="9"/>
  <c r="T43" i="9"/>
  <c r="U43" i="9"/>
  <c r="L38" i="10" l="1"/>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X42" i="9" s="1"/>
  <c r="W43" i="9"/>
  <c r="X43" i="9" s="1"/>
  <c r="W44" i="9"/>
  <c r="X44" i="9" s="1"/>
  <c r="AD43" i="9"/>
  <c r="AD41" i="9"/>
  <c r="W40" i="9"/>
  <c r="W41" i="9"/>
  <c r="X41" i="9" s="1"/>
  <c r="N38" i="10" l="1"/>
  <c r="AE43" i="9"/>
  <c r="AE41" i="9"/>
  <c r="N192" i="23" s="1"/>
  <c r="Y59" i="9" s="1"/>
  <c r="AD44" i="9"/>
  <c r="AE44" i="9" s="1"/>
  <c r="AD42" i="9"/>
  <c r="AE42" i="9" s="1"/>
  <c r="AE40" i="9"/>
  <c r="N196" i="23" l="1"/>
  <c r="Y61" i="9" s="1"/>
  <c r="AA61" i="9" s="1"/>
  <c r="AA59" i="9"/>
  <c r="N190" i="23"/>
  <c r="Y58" i="9" s="1"/>
  <c r="AA58" i="9" s="1"/>
  <c r="N198" i="23"/>
  <c r="Y62" i="9" s="1"/>
  <c r="AA62" i="9" s="1"/>
  <c r="N194" i="23"/>
  <c r="Y60" i="9" s="1"/>
  <c r="AA60" i="9" s="1"/>
  <c r="AB58" i="9" l="1"/>
  <c r="Y80" i="9" l="1"/>
  <c r="Z79" i="9" s="1"/>
  <c r="AB79" i="9" s="1"/>
  <c r="G6" i="10" s="1"/>
  <c r="AD58" i="9"/>
  <c r="J200"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<sst xmlns="http://schemas.openxmlformats.org/spreadsheetml/2006/main" count="7163" uniqueCount="2155">
  <si>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</si>
  <si>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</si>
  <si>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</si>
  <si>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</si>
  <si>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</si>
  <si>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</si>
  <si>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</si>
  <si>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</si>
  <si>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</si>
  <si>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</si>
  <si>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</si>
  <si>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</si>
  <si>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</si>
  <si>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</si>
  <si>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</si>
  <si>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</si>
  <si>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</si>
  <si>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</si>
  <si>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</si>
  <si>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</si>
  <si>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</si>
  <si>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</si>
  <si>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</si>
  <si>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</si>
  <si>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</si>
  <si>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</si>
  <si>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</si>
  <si>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</si>
  <si>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</si>
  <si>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</si>
  <si>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</si>
  <si>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</si>
  <si>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</si>
  <si>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</si>
  <si>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</si>
  <si>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</si>
  <si>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</si>
  <si>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</si>
  <si>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</si>
  <si>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</si>
  <si>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</si>
  <si>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</si>
  <si>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</si>
  <si>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</si>
  <si>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</si>
  <si>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</si>
  <si>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</si>
  <si>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</si>
  <si>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</si>
  <si>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</si>
  <si>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</si>
  <si>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</si>
  <si>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</si>
  <si>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</si>
  <si>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</si>
  <si>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</si>
  <si>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</si>
  <si>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</si>
  <si>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</si>
  <si>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</si>
  <si>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</si>
  <si>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</si>
  <si>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</si>
  <si>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</si>
  <si>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</si>
  <si>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</si>
  <si>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</si>
  <si>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</si>
  <si>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</si>
  <si>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</si>
  <si>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</si>
  <si>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</si>
  <si>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</si>
  <si>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</si>
  <si>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</si>
  <si>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</si>
  <si>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</si>
  <si>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</si>
  <si>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</si>
  <si>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</si>
  <si>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</si>
  <si>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</si>
  <si>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</si>
  <si>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</si>
  <si>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</si>
  <si>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</si>
  <si>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</si>
  <si>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</si>
  <si>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</si>
  <si>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</si>
  <si>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</si>
  <si>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</si>
  <si>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</si>
  <si>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</si>
  <si>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</si>
  <si>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</si>
  <si>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</si>
  <si>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</si>
  <si>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</si>
  <si>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</si>
  <si>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</si>
  <si>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</si>
  <si>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</si>
  <si>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</si>
  <si>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</si>
  <si>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</si>
  <si>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</si>
  <si>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</si>
  <si>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</si>
  <si>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</si>
  <si>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</si>
  <si>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</si>
  <si>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</si>
  <si>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</si>
  <si>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</si>
  <si>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</si>
  <si>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</si>
  <si>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</si>
  <si>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</si>
  <si>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</si>
  <si>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</si>
  <si>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</si>
  <si>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</si>
  <si>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</si>
  <si>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</si>
  <si>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</si>
  <si>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</si>
  <si>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</si>
  <si>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</si>
  <si>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</si>
  <si>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</si>
  <si>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</si>
  <si>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</si>
  <si>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</si>
  <si>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</si>
  <si>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</si>
  <si>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</si>
  <si>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</si>
  <si>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</si>
  <si>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</si>
  <si>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</si>
  <si>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</si>
  <si>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</si>
  <si>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</si>
  <si>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</si>
  <si>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</si>
  <si>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</si>
  <si>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</si>
  <si>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</si>
  <si>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</si>
  <si>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</si>
  <si>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</si>
  <si>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</si>
  <si>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</si>
  <si>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</si>
  <si>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</si>
  <si>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</si>
  <si>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</si>
  <si>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</si>
  <si>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</si>
  <si>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</si>
  <si>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</si>
  <si>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</si>
  <si>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</si>
  <si>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</si>
  <si>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</si>
  <si>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</si>
  <si>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</si>
  <si>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</si>
  <si>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</si>
  <si>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</si>
  <si>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</si>
  <si>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</si>
  <si>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</si>
  <si>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</si>
  <si>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</si>
  <si>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</si>
  <si>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</si>
  <si>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</si>
  <si>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</si>
  <si>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</si>
  <si>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</si>
  <si>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</si>
  <si>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</si>
  <si>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</si>
  <si>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</si>
  <si>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</si>
  <si>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</si>
  <si>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</si>
  <si>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</si>
  <si>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</si>
  <si>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</si>
  <si>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</si>
  <si>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</si>
  <si>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</si>
  <si>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</si>
  <si>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</si>
  <si>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</si>
  <si>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</si>
  <si>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</si>
  <si>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</si>
  <si>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</si>
  <si>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</si>
  <si>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</si>
  <si>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</si>
  <si>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</si>
  <si>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</si>
  <si>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</si>
  <si>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</si>
  <si>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</si>
  <si>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</si>
  <si>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</si>
  <si>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</si>
  <si>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</si>
  <si>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</si>
  <si>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</si>
  <si>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</si>
  <si>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</si>
  <si>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</si>
  <si>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</si>
  <si>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</si>
  <si>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</si>
  <si>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</si>
  <si>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</si>
  <si>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</si>
  <si>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</si>
  <si>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</si>
  <si>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</si>
  <si>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</si>
  <si>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</si>
  <si>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</si>
  <si>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</si>
  <si>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</si>
  <si>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</si>
  <si>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</si>
  <si>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</si>
  <si>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</si>
  <si>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</si>
  <si>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</si>
  <si>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</si>
  <si>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</si>
  <si>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</si>
  <si>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</si>
  <si>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</si>
  <si>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</si>
  <si>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</si>
  <si>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</si>
  <si>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</si>
  <si>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</si>
  <si>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</si>
  <si>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</si>
  <si>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</si>
  <si>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</si>
  <si>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</si>
  <si>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</si>
  <si>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</si>
  <si>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</si>
  <si>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</si>
  <si>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</si>
  <si>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</si>
  <si>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</si>
  <si>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</si>
  <si>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</si>
  <si>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</si>
  <si>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</si>
  <si>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</si>
  <si>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</si>
  <si>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</si>
  <si>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</si>
  <si>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</si>
  <si>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</si>
  <si>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</si>
  <si>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</si>
  <si>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</si>
  <si>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</si>
  <si>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</si>
  <si>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</si>
  <si>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</si>
  <si>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</si>
  <si>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</si>
  <si>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</si>
  <si>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</si>
  <si>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</si>
  <si>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</si>
  <si>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</si>
  <si>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</si>
  <si>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</si>
  <si>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</si>
  <si>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</si>
  <si>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</si>
  <si>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</si>
  <si>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</si>
  <si>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</si>
  <si>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</si>
  <si>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</si>
  <si>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</si>
  <si>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</si>
  <si>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</si>
  <si>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</si>
  <si>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</si>
  <si>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</si>
  <si>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</si>
  <si>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</si>
  <si>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</si>
  <si>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</si>
  <si>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</si>
  <si>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</si>
  <si>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</si>
  <si>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</si>
  <si>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</si>
  <si>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</si>
  <si>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</si>
  <si>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</si>
  <si>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</si>
  <si>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</si>
  <si>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</si>
  <si>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</si>
  <si>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</si>
  <si>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</si>
  <si>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</si>
  <si>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</si>
  <si>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</si>
  <si>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</si>
  <si>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</si>
  <si>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</si>
  <si>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</si>
  <si>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</si>
  <si>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</si>
  <si>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</si>
  <si>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</si>
  <si>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</si>
  <si>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</si>
  <si>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</si>
  <si>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</si>
  <si>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</si>
  <si>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</si>
  <si>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</si>
  <si>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</si>
  <si>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</si>
  <si>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</si>
  <si>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</si>
  <si>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</si>
  <si>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</si>
  <si>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</si>
  <si>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</si>
  <si>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</si>
  <si>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</si>
  <si>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</si>
  <si>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</si>
  <si>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</si>
  <si>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</si>
  <si>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</si>
  <si>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</si>
  <si>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</si>
  <si>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</si>
  <si>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</si>
  <si>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</si>
  <si>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</si>
  <si>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</si>
  <si>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</si>
  <si>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</si>
  <si>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</si>
  <si>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</si>
  <si>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</si>
  <si>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</si>
  <si>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</si>
  <si>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</si>
  <si>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</si>
  <si>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</si>
  <si>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</si>
  <si>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</si>
  <si>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</si>
  <si>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</si>
  <si>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</si>
  <si>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</si>
  <si>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</si>
  <si>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</si>
  <si>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</si>
  <si>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</si>
  <si>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</si>
  <si>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</si>
  <si>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</si>
  <si>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</si>
  <si>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</si>
  <si>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</si>
  <si>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</si>
  <si>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</si>
  <si>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</si>
  <si>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</si>
  <si>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</si>
  <si>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</si>
  <si>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</si>
  <si>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</si>
  <si>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</si>
  <si>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</si>
  <si>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</si>
  <si>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</si>
  <si>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</si>
  <si>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</si>
  <si>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</si>
  <si>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</si>
  <si>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</si>
  <si>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</si>
  <si>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</si>
  <si>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</si>
  <si>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</si>
  <si>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</si>
  <si>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</si>
  <si>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</si>
  <si>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</si>
  <si>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</si>
  <si>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</si>
  <si>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</si>
  <si>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</si>
  <si>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</si>
  <si>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</si>
  <si>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</si>
  <si>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</si>
  <si>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</si>
  <si>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</si>
  <si>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</si>
  <si>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</si>
  <si>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</si>
  <si>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</si>
  <si>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</si>
  <si>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</si>
  <si>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</si>
  <si>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</si>
  <si>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</si>
  <si>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</si>
  <si>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</si>
  <si>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</si>
  <si>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</si>
  <si>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</si>
  <si>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</si>
  <si>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</si>
  <si>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</si>
  <si>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</si>
  <si>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</si>
  <si>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</si>
  <si>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</si>
  <si>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</si>
  <si>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</si>
  <si>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</si>
  <si>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</si>
  <si>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</si>
  <si>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</si>
  <si>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</si>
  <si>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</si>
  <si>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</si>
  <si>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</si>
  <si>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</si>
  <si>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</si>
  <si>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</si>
  <si>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</si>
  <si>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</si>
  <si>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</si>
  <si>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</si>
  <si>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</si>
  <si>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</si>
  <si>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</si>
  <si>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</si>
  <si>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</si>
  <si>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</si>
  <si>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</si>
  <si>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</si>
  <si>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</si>
  <si>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</si>
  <si>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</si>
  <si>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</si>
  <si>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</si>
  <si>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</si>
  <si>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</si>
  <si>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</si>
  <si>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</si>
  <si>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</si>
  <si>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</si>
  <si>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</si>
  <si>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</si>
  <si>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</si>
  <si>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</si>
  <si>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</si>
  <si>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</si>
  <si>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</si>
  <si>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</si>
  <si>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</si>
  <si>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</si>
  <si>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</si>
  <si>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</si>
  <si>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</si>
  <si>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</si>
  <si>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</si>
  <si>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</si>
  <si>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</si>
  <si>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</si>
  <si>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</si>
  <si>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</si>
  <si>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</si>
  <si>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</si>
  <si>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</si>
  <si>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</si>
  <si>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</si>
  <si>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</si>
  <si>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</si>
  <si>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</si>
  <si>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</si>
  <si>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</si>
  <si>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</si>
  <si>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</si>
  <si>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</si>
  <si>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</si>
  <si>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</si>
  <si>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</si>
  <si>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</si>
  <si>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</si>
  <si>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</si>
  <si>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</si>
  <si>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</si>
  <si>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</si>
  <si>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</si>
  <si>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</si>
  <si>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</si>
  <si>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</si>
  <si>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</si>
  <si>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</si>
  <si>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</si>
  <si>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</si>
  <si>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</si>
  <si>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</si>
  <si>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</si>
  <si>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</si>
  <si>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</si>
  <si>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</si>
  <si>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</si>
  <si>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</si>
  <si>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</si>
  <si>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</si>
  <si>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</si>
  <si>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</si>
  <si>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</si>
  <si>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</si>
  <si>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</si>
  <si>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</si>
  <si>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</si>
  <si>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</si>
  <si>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</si>
  <si>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</si>
  <si>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</si>
  <si>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</si>
  <si>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</si>
  <si>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</si>
  <si>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</si>
  <si>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</si>
  <si>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</si>
  <si>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</si>
  <si>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</si>
  <si>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</si>
  <si>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</si>
  <si>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</si>
  <si>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</si>
  <si>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</si>
  <si>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</si>
  <si>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</si>
  <si>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</si>
  <si>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</si>
  <si>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</si>
  <si>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</si>
  <si>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</si>
  <si>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</si>
  <si>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</si>
  <si>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</si>
  <si>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</si>
  <si>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</si>
  <si>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</si>
  <si>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</si>
  <si>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</si>
  <si>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</si>
  <si>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</si>
  <si>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</si>
  <si>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</si>
  <si>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</si>
  <si>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</si>
  <si>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</si>
  <si>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</si>
  <si>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</si>
  <si>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</si>
  <si>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</si>
  <si>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</si>
  <si>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</si>
  <si>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</si>
  <si>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</si>
  <si>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</si>
  <si>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</si>
  <si>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</si>
  <si>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</si>
  <si>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</si>
  <si>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</si>
  <si>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</si>
  <si>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</si>
  <si>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</si>
  <si>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</si>
  <si>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</si>
  <si>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</si>
  <si>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</si>
  <si>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</si>
  <si>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</si>
  <si>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</si>
  <si>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</si>
  <si>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</si>
  <si>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</si>
  <si>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</si>
  <si>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</si>
  <si>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</si>
  <si>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</si>
  <si>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</si>
  <si>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</si>
  <si>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</si>
  <si>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</si>
  <si>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</si>
  <si>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</si>
  <si>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</si>
  <si>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</si>
  <si>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</si>
  <si>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</si>
  <si>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</si>
  <si>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</si>
  <si>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</si>
  <si>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</si>
  <si>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</si>
  <si>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</si>
  <si>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</si>
  <si>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</si>
  <si>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</si>
  <si>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</si>
  <si>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</si>
  <si>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</si>
  <si>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</si>
  <si>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</si>
  <si>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</si>
  <si>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</si>
  <si>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</si>
  <si>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</si>
  <si>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</si>
  <si>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</si>
  <si>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</si>
  <si>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</si>
  <si>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</si>
  <si>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</si>
  <si>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</si>
  <si>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</si>
  <si>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</si>
  <si>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</si>
  <si>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</si>
  <si>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</si>
  <si>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</si>
  <si>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</si>
  <si>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</si>
  <si>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</si>
  <si>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</si>
  <si>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</si>
  <si>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</si>
  <si>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</si>
  <si>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</si>
  <si>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</si>
  <si>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</si>
  <si>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</si>
  <si>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</si>
  <si>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</si>
  <si>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</si>
  <si>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</si>
  <si>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</si>
  <si>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</si>
  <si>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</si>
  <si>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</si>
  <si>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</si>
  <si>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</si>
  <si>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</si>
  <si>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</si>
  <si>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</si>
  <si>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</si>
  <si>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</si>
  <si>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</si>
  <si>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</si>
  <si>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</si>
  <si>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</si>
  <si>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</si>
  <si>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</si>
  <si>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</si>
  <si>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</si>
  <si>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</si>
  <si>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</si>
  <si>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</si>
  <si>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</si>
  <si>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</si>
  <si>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</si>
  <si>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</si>
  <si>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</si>
  <si>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</si>
  <si>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</si>
  <si>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</si>
  <si>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</si>
  <si>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</si>
  <si>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</si>
  <si>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</si>
  <si>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</si>
  <si>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</si>
  <si>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</si>
  <si>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</si>
  <si>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</si>
  <si>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</si>
  <si>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</si>
  <si>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</si>
  <si>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</si>
  <si>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</si>
  <si>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</si>
  <si>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</si>
  <si>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</si>
  <si>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</si>
  <si>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</si>
  <si>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</si>
  <si>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</si>
  <si>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</si>
  <si>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</si>
  <si>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</si>
  <si>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</si>
  <si>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</si>
  <si>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</si>
  <si>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</si>
  <si>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</si>
  <si>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</si>
  <si>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</si>
  <si>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</si>
  <si>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</si>
  <si>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</si>
  <si>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</si>
  <si>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</si>
  <si>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</si>
  <si>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</si>
  <si>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</si>
  <si>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</si>
  <si>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</si>
  <si>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</si>
  <si>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</si>
  <si>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</si>
  <si>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</si>
  <si>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</si>
  <si>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</si>
  <si>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</si>
  <si>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</si>
  <si>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</si>
  <si>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</si>
  <si>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</si>
  <si>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</si>
  <si>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</si>
  <si>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</si>
  <si>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</si>
  <si>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</si>
  <si>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</si>
  <si>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</si>
  <si>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</si>
  <si>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</si>
  <si>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</si>
  <si>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</si>
  <si>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</si>
  <si>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</si>
  <si>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</si>
  <si>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</si>
  <si>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</si>
  <si>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</si>
  <si>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</si>
  <si>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</si>
  <si>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</si>
  <si>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</si>
  <si>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</si>
  <si>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</si>
  <si>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</si>
  <si>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</si>
  <si>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</si>
  <si>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</si>
  <si>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</si>
  <si>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</si>
  <si>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</si>
  <si>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</si>
  <si>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</si>
  <si>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</si>
  <si>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</si>
  <si>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</si>
  <si>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</si>
  <si>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</si>
  <si>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</si>
  <si>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</si>
  <si>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</si>
  <si>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</si>
  <si>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</si>
  <si>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</si>
  <si>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</si>
  <si>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</si>
  <si>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</si>
  <si>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</si>
  <si>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</si>
  <si>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</si>
  <si>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</si>
  <si>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</si>
  <si>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</si>
  <si>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</si>
  <si>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</si>
  <si>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</si>
  <si>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</si>
  <si>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</si>
  <si>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</si>
  <si>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</si>
  <si>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</si>
  <si>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</si>
  <si>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</si>
  <si>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</si>
  <si>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</si>
  <si>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</si>
  <si>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</si>
  <si>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</si>
  <si>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</si>
  <si>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</si>
  <si>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</si>
  <si>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</si>
  <si>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</si>
  <si>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</si>
  <si>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</si>
  <si>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</si>
  <si>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</si>
  <si>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</si>
  <si>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</si>
  <si>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</si>
  <si>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</si>
  <si>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</si>
  <si>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</si>
  <si>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</si>
  <si>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</si>
  <si>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</si>
  <si>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</si>
  <si>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</si>
  <si>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</si>
  <si>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</si>
  <si>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</si>
  <si>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</si>
  <si>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</si>
  <si>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</si>
  <si>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</si>
  <si>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</si>
  <si>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</si>
  <si>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</si>
  <si>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</si>
  <si>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</si>
  <si>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</si>
  <si>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</si>
  <si>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</si>
  <si>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</si>
  <si>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</si>
  <si>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</si>
  <si>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</si>
  <si>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</si>
  <si>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</si>
  <si>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</si>
  <si>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</si>
  <si>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</si>
  <si>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</si>
  <si>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</si>
  <si>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</si>
  <si>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</si>
  <si>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</si>
  <si>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</si>
  <si>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</si>
  <si>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</si>
  <si>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</si>
  <si>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</si>
  <si>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</si>
  <si>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</si>
  <si>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</si>
  <si>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</si>
  <si>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</si>
  <si>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</si>
  <si>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</si>
  <si>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</si>
  <si>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</si>
  <si>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</si>
  <si>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</si>
  <si>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</si>
  <si>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</si>
  <si>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</si>
  <si>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</si>
  <si>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</si>
  <si>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</si>
  <si>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</si>
  <si>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</si>
  <si>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</si>
  <si>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</si>
  <si>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</si>
  <si>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</si>
  <si>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</si>
  <si>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</si>
  <si>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</si>
  <si>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</si>
  <si>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</si>
  <si>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</si>
  <si>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</si>
  <si>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</si>
  <si>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</si>
  <si>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</si>
  <si>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</si>
  <si>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</si>
  <si>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</si>
  <si>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</si>
  <si>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</si>
  <si>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</si>
  <si>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</si>
  <si>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</si>
  <si>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</si>
  <si>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</si>
  <si>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</si>
  <si>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</si>
  <si>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</si>
  <si>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</si>
  <si>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</si>
  <si>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</si>
  <si>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</si>
  <si>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</si>
  <si>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</si>
  <si>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</si>
  <si>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</si>
  <si>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</si>
  <si>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</si>
  <si>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</si>
  <si>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</si>
  <si>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</si>
  <si>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</si>
  <si>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</si>
  <si>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</si>
  <si>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</si>
  <si>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</si>
  <si>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</si>
  <si>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</si>
  <si>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</si>
  <si>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</si>
  <si>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</si>
  <si>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</si>
  <si>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</si>
  <si>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</si>
  <si>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</si>
  <si>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</si>
  <si>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</si>
  <si>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</si>
  <si>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</si>
  <si>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</si>
  <si>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</si>
  <si>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</si>
  <si>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</si>
  <si>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</si>
  <si>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</si>
  <si>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</si>
  <si>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</si>
  <si>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</si>
  <si>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</si>
  <si>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</si>
  <si>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</si>
  <si>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</si>
  <si>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</si>
  <si>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</si>
  <si>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</si>
  <si>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</si>
  <si>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</si>
  <si>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</si>
  <si>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</si>
  <si>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</si>
  <si>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</si>
  <si>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</si>
  <si>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</si>
  <si>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</si>
  <si>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</si>
  <si>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</si>
  <si>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</si>
  <si>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</si>
  <si>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</si>
  <si>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</si>
  <si>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</si>
  <si>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</si>
  <si>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</si>
  <si>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</si>
  <si>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</si>
  <si>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</si>
  <si>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</si>
  <si>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</si>
  <si>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</si>
  <si>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</si>
  <si>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</si>
  <si>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</si>
  <si>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</si>
  <si>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</si>
  <si>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</si>
  <si>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</si>
  <si>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</si>
  <si>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</si>
  <si>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</si>
  <si>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</si>
  <si>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</si>
  <si>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</si>
  <si>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</si>
  <si>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</si>
  <si>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</si>
  <si>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</si>
  <si>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</si>
  <si>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</si>
  <si>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</si>
  <si>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</si>
  <si>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</si>
  <si>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</si>
  <si>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</si>
  <si>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</si>
  <si>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</si>
  <si>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</si>
  <si>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</si>
  <si>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</si>
  <si>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</si>
  <si>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</si>
  <si>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</si>
  <si>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</si>
  <si>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</si>
  <si>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</si>
  <si>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</si>
  <si>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</si>
  <si>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</si>
  <si>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</si>
  <si>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</si>
  <si>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</si>
  <si>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</si>
  <si>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</si>
  <si>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</si>
  <si>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</si>
  <si>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</si>
  <si>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</si>
  <si>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</si>
  <si>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</si>
  <si>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</si>
  <si>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</si>
  <si>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</si>
  <si>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</si>
  <si>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</si>
  <si>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</si>
  <si>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</si>
  <si>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</si>
  <si>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</si>
  <si>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</si>
  <si>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</si>
  <si>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</si>
  <si>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</si>
  <si>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</si>
  <si>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</si>
  <si>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</si>
  <si>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</si>
  <si>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</si>
  <si>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</si>
  <si>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</si>
  <si>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</si>
  <si>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</si>
  <si>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</si>
  <si>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</si>
  <si>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</si>
  <si>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</si>
  <si>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</si>
  <si>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</si>
  <si>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</si>
  <si>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</si>
  <si>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</si>
  <si>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</si>
  <si>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</si>
  <si>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</si>
  <si>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</si>
  <si>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</si>
  <si>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</si>
  <si>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</si>
  <si>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</si>
  <si>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</si>
  <si>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</si>
  <si>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</si>
  <si>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</si>
  <si>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</si>
  <si>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</si>
  <si>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</si>
  <si>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</si>
  <si>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</si>
  <si>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</si>
  <si>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</si>
  <si>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</si>
  <si>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</si>
  <si>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</si>
  <si>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</si>
  <si>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</si>
  <si>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</si>
  <si>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</si>
  <si>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</si>
  <si>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</si>
  <si>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</si>
  <si>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</si>
  <si>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</si>
  <si>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</si>
  <si>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</si>
  <si>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</si>
  <si>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</si>
  <si>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</si>
  <si>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</si>
  <si>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</si>
  <si>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</si>
  <si>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</si>
  <si>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</si>
  <si>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</si>
  <si>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</si>
  <si>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</si>
  <si>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</si>
  <si>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</si>
  <si>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</si>
  <si>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</si>
  <si>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</si>
  <si>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</si>
  <si>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</si>
  <si>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</si>
  <si>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</si>
  <si>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</si>
  <si>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</si>
  <si>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</si>
  <si>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</si>
  <si>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</si>
  <si>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</si>
  <si>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</si>
  <si>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</si>
  <si>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</si>
  <si>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</si>
  <si>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</si>
  <si>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</si>
  <si>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</si>
  <si>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</si>
  <si>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</si>
  <si>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</si>
  <si>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</si>
  <si>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</si>
  <si>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</si>
  <si>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</si>
  <si>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</si>
  <si>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</si>
  <si>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</si>
  <si>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</si>
  <si>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</si>
  <si>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</si>
  <si>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</si>
  <si>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</si>
  <si>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</si>
  <si>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</si>
  <si>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</si>
  <si>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</si>
  <si>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</si>
  <si>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</si>
  <si>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</si>
  <si>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</si>
  <si>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</si>
  <si>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</si>
  <si>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</si>
  <si>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</si>
  <si>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</si>
  <si>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</si>
  <si>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</si>
  <si>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</si>
  <si>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</si>
  <si>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</si>
  <si>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</si>
  <si>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</si>
  <si>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</si>
  <si>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</si>
  <si>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</si>
  <si>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</si>
  <si>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</si>
  <si>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</si>
  <si>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</si>
  <si>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</si>
  <si>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</si>
  <si>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</si>
  <si>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</si>
  <si>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</si>
  <si>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</si>
  <si>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</si>
  <si>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</si>
  <si>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</si>
  <si>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</si>
  <si>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</si>
  <si>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</si>
  <si>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</si>
  <si>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</si>
  <si>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</si>
  <si>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</si>
  <si>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</si>
  <si>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</si>
  <si>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</si>
  <si>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</si>
  <si>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</si>
  <si>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</si>
  <si>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</si>
  <si>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</si>
  <si>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</si>
  <si>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</si>
  <si>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</si>
  <si>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</si>
  <si>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</si>
  <si>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</si>
  <si>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</si>
  <si>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</si>
  <si>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</si>
  <si>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</si>
  <si>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</si>
  <si>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</si>
  <si>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</si>
  <si>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</si>
  <si>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</si>
  <si>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</si>
  <si>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</si>
  <si>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</si>
  <si>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</si>
  <si>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</si>
  <si>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</si>
  <si>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</si>
  <si>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</si>
  <si>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</si>
  <si>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</si>
  <si>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</si>
  <si>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</si>
  <si>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</si>
  <si>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</si>
  <si>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</si>
  <si>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</si>
  <si>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</si>
  <si>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</si>
  <si>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</si>
  <si>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</si>
  <si>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</si>
  <si>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</si>
  <si>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</si>
  <si>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</si>
  <si>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</si>
  <si>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</si>
  <si>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</si>
  <si>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</si>
  <si>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</si>
  <si>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</si>
  <si>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</si>
  <si>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</si>
  <si>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</si>
  <si>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</si>
  <si>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</si>
  <si>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</si>
  <si>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</si>
  <si>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</si>
  <si>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</si>
  <si>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</si>
  <si>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</si>
  <si>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</si>
  <si>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</si>
  <si>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</si>
  <si>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</si>
  <si>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</si>
  <si>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</si>
  <si>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</si>
  <si>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</si>
  <si>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</si>
  <si>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</si>
  <si>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</si>
  <si>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</si>
  <si>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</si>
  <si>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</si>
  <si>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</si>
  <si>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</si>
  <si>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</si>
  <si>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</si>
  <si>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</si>
  <si>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</si>
  <si>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</si>
  <si>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</si>
  <si>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</si>
  <si>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</si>
  <si>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</si>
  <si>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</si>
  <si>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</si>
  <si>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</si>
  <si>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</si>
  <si>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</si>
  <si>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</si>
  <si>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</si>
  <si>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</si>
  <si>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</si>
  <si>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</si>
  <si>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</si>
  <si>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</si>
  <si>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</si>
  <si>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</si>
  <si>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</si>
  <si>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</si>
  <si>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</si>
  <si>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</si>
  <si>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</si>
  <si>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</si>
  <si>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</si>
  <si>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</si>
  <si>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</si>
  <si>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</si>
  <si>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</si>
  <si>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</si>
  <si>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</si>
  <si>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</si>
  <si>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</si>
  <si>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</si>
  <si>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</si>
  <si>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</si>
  <si>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</si>
  <si>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</si>
  <si>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</si>
  <si>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</si>
  <si>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</si>
  <si>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</si>
  <si>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</si>
  <si>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</si>
  <si>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</si>
  <si>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</si>
  <si>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</si>
  <si>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</si>
  <si>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</si>
  <si>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</si>
  <si>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</si>
  <si>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</si>
  <si>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</si>
  <si>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</si>
  <si>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</si>
  <si>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</si>
  <si>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</si>
  <si>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</si>
  <si>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</si>
  <si>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</si>
  <si>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</si>
  <si>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</si>
  <si>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</si>
  <si>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</si>
  <si>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</si>
  <si>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</si>
  <si>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</si>
  <si>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</si>
  <si>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</si>
  <si>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</si>
  <si>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</si>
  <si>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</si>
  <si>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</si>
  <si>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</si>
  <si>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</si>
  <si>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</si>
  <si>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</si>
  <si>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</si>
  <si>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</si>
  <si>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</si>
  <si>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</si>
  <si>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</si>
  <si>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</si>
  <si>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</si>
  <si>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</si>
  <si>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</si>
  <si>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</si>
  <si>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</si>
  <si>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</si>
  <si>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</si>
  <si>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</si>
  <si>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</si>
  <si>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</si>
  <si>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</si>
  <si>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</si>
  <si>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</si>
  <si>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</si>
  <si>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</si>
  <si>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</si>
  <si>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</si>
  <si>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</si>
  <si>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</si>
  <si>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</si>
  <si>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</si>
  <si>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</si>
  <si>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</si>
  <si>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</si>
  <si>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</si>
  <si>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</si>
  <si>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</si>
  <si>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</si>
  <si>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</si>
  <si>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</si>
  <si>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</si>
  <si>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</si>
  <si>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</si>
  <si>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</si>
  <si>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</si>
  <si>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</si>
  <si>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</si>
  <si>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</si>
  <si>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</si>
  <si>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</si>
  <si>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</si>
  <si>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</si>
  <si>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</si>
  <si>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</si>
  <si>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</si>
  <si>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</si>
  <si>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</si>
  <si>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</si>
  <si>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</si>
  <si>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</si>
  <si>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</si>
  <si>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</si>
  <si>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</si>
  <si>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</si>
  <si>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</si>
  <si>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</si>
  <si>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</si>
  <si>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</si>
  <si>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</si>
  <si>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</si>
  <si>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</si>
  <si>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</si>
  <si>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</si>
  <si>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</si>
  <si>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</si>
  <si>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</si>
  <si>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</si>
  <si>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</si>
  <si>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</si>
  <si>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</si>
  <si>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</si>
  <si>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</si>
  <si>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</si>
  <si>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</si>
  <si>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</si>
  <si>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</si>
  <si>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</si>
  <si>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</si>
  <si>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</si>
  <si>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</si>
  <si>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</si>
  <si>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</si>
  <si>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</si>
  <si>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</si>
  <si>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</si>
  <si>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</si>
  <si>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</si>
  <si>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</si>
  <si>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</si>
  <si>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</si>
  <si>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</si>
  <si>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</si>
  <si>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</si>
  <si>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</si>
  <si>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</si>
  <si>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</si>
  <si>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</si>
  <si>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</si>
  <si>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</si>
  <si>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</si>
  <si>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</si>
  <si>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</si>
  <si>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</si>
  <si>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</si>
  <si>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</si>
  <si>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</si>
  <si>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</si>
  <si>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</si>
  <si>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</si>
  <si>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</si>
  <si>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</si>
  <si>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</si>
  <si>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</si>
  <si>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</si>
  <si>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</si>
  <si>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</si>
  <si>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</si>
  <si>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</si>
  <si>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</si>
  <si>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</si>
  <si>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</si>
  <si>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</si>
  <si>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</si>
  <si>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</si>
  <si>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</si>
  <si>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</si>
  <si>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</si>
  <si>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</si>
  <si>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</si>
  <si>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</si>
  <si>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</si>
  <si>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</si>
  <si>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</si>
  <si>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</si>
  <si>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</si>
  <si>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</si>
  <si>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</si>
  <si>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</si>
  <si>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</si>
  <si>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</si>
  <si>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</si>
  <si>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</si>
  <si>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</si>
  <si>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</si>
  <si>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</si>
  <si>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</si>
  <si>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</si>
  <si>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</si>
  <si>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</si>
  <si>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</si>
  <si>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</si>
  <si>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</si>
  <si>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</si>
  <si>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</si>
  <si>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</si>
  <si>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</si>
  <si>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</si>
  <si>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</si>
  <si>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</si>
  <si>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</si>
  <si>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</si>
  <si>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</si>
  <si>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</si>
  <si>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</si>
  <si>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</si>
  <si>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</si>
  <si>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</si>
  <si>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</si>
  <si>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</si>
  <si>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</si>
  <si>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</si>
  <si>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</si>
  <si>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</si>
  <si>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</si>
  <si>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</si>
  <si>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</si>
  <si>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</si>
  <si>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</si>
  <si>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</si>
  <si>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</si>
  <si>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</si>
  <si>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</si>
  <si>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</si>
  <si>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</si>
  <si>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</si>
  <si>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</si>
  <si>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</si>
  <si>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</si>
  <si>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</si>
  <si>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</si>
  <si>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</si>
  <si>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</si>
  <si>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</si>
  <si>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</si>
  <si>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</si>
  <si>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</si>
  <si>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</si>
  <si>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</si>
  <si>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</si>
  <si>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</si>
  <si>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</si>
  <si>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</si>
  <si>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</si>
  <si>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</si>
  <si>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</si>
  <si>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</si>
  <si>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</si>
  <si>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</si>
  <si>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</si>
  <si>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</si>
  <si>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</si>
  <si>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</si>
  <si>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</si>
  <si>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</si>
  <si>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</si>
  <si>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</si>
  <si>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</si>
  <si>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</si>
  <si>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</si>
  <si>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</si>
  <si>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</si>
  <si>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</si>
  <si>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</si>
  <si>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</si>
  <si>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</si>
  <si>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</si>
  <si>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</si>
  <si>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</si>
  <si>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</si>
  <si>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</si>
  <si>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</si>
  <si>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</si>
  <si>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</si>
  <si>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</si>
  <si>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</si>
  <si>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</si>
  <si>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</si>
  <si>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</si>
  <si>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</si>
  <si>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</si>
  <si>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</si>
  <si>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</si>
  <si>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</si>
  <si>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</si>
  <si>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</si>
  <si>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</si>
  <si>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</si>
  <si>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</si>
  <si>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</si>
  <si>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</si>
  <si>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</si>
  <si>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</si>
  <si>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</si>
  <si>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</si>
  <si>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</si>
  <si>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</si>
  <si>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</si>
  <si>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</si>
  <si>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</si>
  <si>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</si>
  <si>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</si>
  <si>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</si>
  <si>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</si>
  <si>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</si>
  <si>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</si>
  <si>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</si>
  <si>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</si>
  <si>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</si>
  <si>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</si>
  <si>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</si>
  <si>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</si>
  <si>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</si>
  <si>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</si>
  <si>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</si>
  <si>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</si>
  <si>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</si>
  <si>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</si>
  <si>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</si>
  <si>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</si>
  <si>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</si>
  <si>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</si>
  <si>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</si>
  <si>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</si>
  <si>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</si>
  <si>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</si>
  <si>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</si>
  <si>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</si>
  <si>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</si>
  <si>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</si>
  <si>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</si>
  <si>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</si>
  <si>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</si>
  <si>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</si>
  <si>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</si>
  <si>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</si>
  <si>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</si>
  <si>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</si>
  <si>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</si>
  <si>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</si>
  <si>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</si>
  <si>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</si>
  <si>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</si>
  <si>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</si>
  <si>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</si>
  <si>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</si>
  <si>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</si>
  <si>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</si>
  <si>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</si>
  <si>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</si>
  <si>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</si>
  <si>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</si>
  <si>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</si>
  <si>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</si>
  <si>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</si>
  <si>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</si>
  <si>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</si>
  <si>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</si>
  <si>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</si>
  <si>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</si>
  <si>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</si>
  <si>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</si>
  <si>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</si>
  <si>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</si>
  <si>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</si>
  <si>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</si>
  <si>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</si>
  <si>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</si>
  <si>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</si>
  <si>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</si>
  <si>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</si>
  <si>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</si>
  <si>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</si>
  <si>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</si>
  <si>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</si>
  <si>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</si>
  <si>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</si>
  <si>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</si>
  <si>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</si>
  <si>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</si>
  <si>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</si>
  <si>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</si>
  <si>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</si>
  <si>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</si>
  <si>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</si>
  <si>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</si>
  <si>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</si>
  <si>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</si>
  <si>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</si>
  <si>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</si>
  <si>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</si>
  <si>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</si>
  <si>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</si>
  <si>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</si>
  <si>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</si>
  <si>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</si>
  <si>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</si>
  <si>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</si>
  <si>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</si>
  <si>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</si>
  <si>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</si>
  <si>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</si>
  <si>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</si>
  <si>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</si>
  <si>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</si>
  <si>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</si>
  <si>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</si>
  <si>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</si>
  <si>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</si>
  <si>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</si>
  <si>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</si>
  <si>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</si>
  <si>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</si>
  <si>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</si>
  <si>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</si>
  <si>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</si>
  <si>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</si>
  <si>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</si>
  <si>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</si>
  <si>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</si>
  <si>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</si>
  <si>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</si>
  <si>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</si>
  <si>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</si>
  <si>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</si>
  <si>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</si>
  <si>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</si>
  <si>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</si>
  <si>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</si>
  <si>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</si>
  <si>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</si>
  <si>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</si>
  <si>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</si>
  <si>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</si>
  <si>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</si>
  <si>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</si>
  <si>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</si>
  <si>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</si>
  <si>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</si>
  <si>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</si>
  <si>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</si>
  <si>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</si>
  <si>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</si>
  <si>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</si>
  <si>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</si>
  <si>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</si>
  <si>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</si>
  <si>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</si>
  <si>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</si>
  <si>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</si>
  <si>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</si>
  <si>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</si>
  <si>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</si>
  <si>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</si>
  <si>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</si>
  <si>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</si>
  <si>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</si>
  <si>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</si>
  <si>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</si>
  <si>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</si>
  <si>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</si>
  <si>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</si>
  <si>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</si>
  <si>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</si>
  <si>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</si>
  <si>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</si>
  <si>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</si>
  <si>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</si>
  <si>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</si>
  <si>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</si>
  <si>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</si>
  <si>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</si>
  <si>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</si>
  <si>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</si>
  <si>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</si>
  <si>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</si>
  <si>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</si>
  <si>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</si>
  <si>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</si>
  <si>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</si>
  <si>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</si>
  <si>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</si>
  <si>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</si>
  <si>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</si>
  <si>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</si>
  <si>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</si>
  <si>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</si>
  <si>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</si>
  <si>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</si>
  <si>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</si>
  <si>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</si>
  <si>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</si>
  <si>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</si>
  <si>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</si>
  <si>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</si>
  <si>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</si>
  <si>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</si>
  <si>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</si>
  <si>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</si>
  <si>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</si>
  <si>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</si>
  <si>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</si>
  <si>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</si>
  <si>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</si>
  <si>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</si>
  <si>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</si>
  <si>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</si>
  <si>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</si>
  <si>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</si>
  <si>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</si>
  <si>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</si>
  <si>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</si>
  <si>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</si>
  <si>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</si>
  <si>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</si>
  <si>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</si>
  <si>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</si>
  <si>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</si>
  <si>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</si>
  <si>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</si>
  <si>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</si>
  <si>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</si>
  <si>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</si>
  <si>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</si>
  <si>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</si>
  <si>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</si>
  <si>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</si>
  <si>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</si>
  <si>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</si>
  <si>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</si>
  <si>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</si>
  <si>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</si>
  <si>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</si>
  <si>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</si>
  <si>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</si>
  <si>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</si>
  <si>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</si>
  <si>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</si>
  <si>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</si>
  <si>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</si>
  <si>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</si>
  <si>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</si>
  <si>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</si>
  <si>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</si>
  <si>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</si>
  <si>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</si>
  <si>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</si>
  <si>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</si>
  <si>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</si>
  <si>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</si>
  <si>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</si>
  <si>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</si>
  <si>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</si>
  <si>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</si>
  <si>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</si>
  <si>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</si>
  <si>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</si>
  <si>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</si>
  <si>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</si>
  <si>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</si>
  <si>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</si>
  <si>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</si>
  <si>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</si>
  <si>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</si>
  <si>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</si>
  <si>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</si>
  <si>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</si>
  <si>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</si>
  <si>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</si>
  <si>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</si>
  <si>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</si>
  <si>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</si>
  <si>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</si>
  <si>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</si>
  <si>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</si>
  <si>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</si>
  <si>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</si>
  <si>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</si>
  <si>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</si>
  <si>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</si>
  <si>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</si>
  <si>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</si>
  <si>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</si>
  <si>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</si>
  <si>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</si>
  <si>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</si>
  <si>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</si>
  <si>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</si>
  <si>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</si>
  <si>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</si>
  <si>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</si>
  <si>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</si>
  <si>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</si>
  <si>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</si>
  <si>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</si>
  <si>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</si>
  <si>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</si>
  <si>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</si>
  <si>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</si>
  <si>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</si>
  <si>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</si>
  <si>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</si>
  <si>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</si>
  <si>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</si>
  <si>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</si>
  <si>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</si>
  <si>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</si>
  <si>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</si>
  <si>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</si>
  <si>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</si>
  <si>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</si>
  <si>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</si>
  <si>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</si>
  <si>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</si>
  <si>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</si>
  <si>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</si>
  <si>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</si>
  <si>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</si>
  <si>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</si>
  <si>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</si>
  <si>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</si>
  <si>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</si>
  <si>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</si>
  <si>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</si>
  <si>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</si>
  <si>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</si>
  <si>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</si>
  <si>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</si>
  <si>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</si>
  <si>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</si>
  <si>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</si>
  <si>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</si>
  <si>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</si>
  <si>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</si>
  <si>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</si>
  <si>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</si>
  <si>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</si>
  <si>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</si>
  <si>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</si>
  <si>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</si>
  <si>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</si>
  <si>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</si>
  <si>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</si>
  <si>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</si>
  <si>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</si>
  <si>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</si>
  <si>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</si>
  <si>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</si>
  <si>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</si>
  <si>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</si>
  <si>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</si>
  <si>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</si>
  <si>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</si>
  <si>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</si>
  <si>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</si>
  <si>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</si>
  <si>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</si>
  <si>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</si>
  <si>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</si>
  <si>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</si>
  <si>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</si>
  <si>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</si>
  <si>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</si>
  <si>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</si>
  <si>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</si>
  <si>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</si>
  <si>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</si>
  <si>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</si>
  <si>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</si>
  <si>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</si>
  <si>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</si>
  <si>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</si>
  <si>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</si>
  <si>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</si>
  <si>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</si>
  <si>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</si>
  <si>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</si>
  <si>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</si>
  <si>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</si>
  <si>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</si>
  <si>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</si>
  <si>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</si>
  <si>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</si>
  <si>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</si>
  <si>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</si>
  <si>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</si>
  <si>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</si>
  <si>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</si>
  <si>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</si>
  <si>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</si>
  <si>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</si>
  <si>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</si>
  <si>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</si>
  <si>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</si>
  <si>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</si>
  <si>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</si>
  <si>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</si>
  <si>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</si>
  <si>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</si>
  <si>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</si>
  <si>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</si>
  <si>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</si>
  <si>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</si>
  <si>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</si>
  <si>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</si>
  <si>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</si>
  <si>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</si>
  <si>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</si>
  <si>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</si>
  <si>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</si>
  <si>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</si>
  <si>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</si>
  <si>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</si>
  <si>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</si>
  <si>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</si>
  <si>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G10</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</si>
  <si>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</si>
  <si>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</si>
  <si>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</si>
  <si>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</si>
  <si>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</si>
  <si>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</si>
  <si>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</si>
  <si>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</si>
  <si>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</si>
  <si>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</si>
  <si>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</si>
  <si>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</si>
  <si>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</si>
  <si>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</si>
  <si>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</si>
  <si>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</si>
  <si>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</si>
  <si>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</si>
  <si>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</si>
  <si>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</si>
  <si>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</si>
  <si>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</si>
  <si>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</si>
  <si>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</si>
  <si>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</si>
  <si>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</si>
  <si>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</si>
  <si>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</si>
  <si>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</si>
  <si>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</si>
  <si>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</si>
  <si>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</si>
  <si>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</si>
  <si>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</si>
  <si>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</si>
  <si>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</si>
  <si>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</si>
  <si>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</si>
  <si>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Technology Assessment Questionnaire Results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</si>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</sst>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9">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2">
    <xf numFmtId="0" fontId="0" fillId="0" borderId="0"/>
    <xf numFmtId="9" fontId="26" fillId="0" borderId="0" applyFont="0" applyFill="0" applyBorder="0" applyAlignment="0" applyProtection="0"/>
  </cellStyleXfs>
  <cellXfs count="785">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0" fillId="20" borderId="47" xfId="0" applyFill="1" applyBorder="1" applyAlignment="1">
      <alignment horizontal="center" vertical="center" textRotation="90"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0" borderId="1" xfId="0" applyFill="1" applyBorder="1" applyAlignment="1" applyProtection="1">
      <alignment horizontal="left" vertical="top" wrapText="1" indent="2"/>
      <protection locked="0"/>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0" fontId="0" fillId="0" borderId="2" xfId="0"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0" borderId="1" xfId="0" applyBorder="1" applyAlignment="1">
      <alignment horizontal="center"/>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9" fillId="20" borderId="0" xfId="0" applyFont="1" applyFill="1" applyBorder="1" applyAlignment="1">
      <alignment horizont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28" fillId="20" borderId="0" xfId="0" applyFont="1" applyFill="1" applyBorder="1" applyAlignment="1">
      <alignment horizontal="center"/>
    </xf>
    <xf numFmtId="0" fontId="28" fillId="20" borderId="4" xfId="0" applyFont="1" applyFill="1" applyBorder="1" applyAlignment="1">
      <alignment horizont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5" fillId="21" borderId="56" xfId="0" applyFont="1"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6"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cellXfs>
  <cellStyles count="2">
    <cellStyle name="Normal" xfId="0" builtinId="0"/>
    <cellStyle name="Percent" xfId="1" builtinId="5"/>
  </cellStyles>
  <dxfs count="127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816429</xdr:colOff>
      <xdr:row>0</xdr:row>
      <xdr:rowOff>762001</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846286" cy="707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711" dataDxfId="710">
  <autoFilter ref="A1:D21" xr:uid="{2F23FDDE-C8E3-4F8E-81F2-F83767650AD3}"/>
  <tableColumns count="4">
    <tableColumn id="1" xr3:uid="{1EE4A7E0-4B5C-4FE6-9B3B-A49ED13E352F}" name="Control Focus" dataDxfId="709"/>
    <tableColumn id="3" xr3:uid="{51A81C9E-9B02-442D-A4A8-27185B87FEEF}" name="Category" dataDxfId="708"/>
    <tableColumn id="4" xr3:uid="{8296E944-90B3-40F9-BF44-4481DCAC285B}" name="Description" dataDxfId="707"/>
    <tableColumn id="2" xr3:uid="{FF7DD3D1-BD49-4918-84FE-53D92E618999}" name="Why is this important?" dataDxfId="70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705"/>
    <tableColumn id="2" xr3:uid="{1A4E7FCC-4757-4647-8D29-EFF4CDD69834}" name="NIST Control Name" dataDxfId="704"/>
    <tableColumn id="3" xr3:uid="{96F74BA0-022B-AB46-82CC-5F19F17FDF03}" name="Priority" dataDxfId="703"/>
    <tableColumn id="4" xr3:uid="{8347725A-5183-254C-8A57-0BAF75FF3393}" name="CSC #1" dataDxfId="702"/>
    <tableColumn id="5" xr3:uid="{463C06BA-8654-624F-9F76-5A7394FBED29}" name="CSC #2" dataDxfId="701"/>
    <tableColumn id="6" xr3:uid="{87A5E5E5-87A3-BF4D-913A-D72E767FCF4B}" name="CSC #3" dataDxfId="700"/>
    <tableColumn id="7" xr3:uid="{00C89A9D-E840-4142-98A2-71075EFC9A00}" name="CSC #4" dataDxfId="699"/>
    <tableColumn id="8" xr3:uid="{6BD1B85E-DCEC-7A4F-92B6-52A191EC1300}" name="CSC #5" dataDxfId="698"/>
    <tableColumn id="9" xr3:uid="{543D89C5-F918-A24F-9CEC-9FC654FCA46A}" name="CSC #6" dataDxfId="697"/>
    <tableColumn id="10" xr3:uid="{6BE089C1-E3F4-BB4D-859F-0D85CD022244}" name="CSC #7" dataDxfId="696"/>
    <tableColumn id="11" xr3:uid="{DA7A63E7-A36E-504E-B479-1A391184ABE1}" name="CSC #8" dataDxfId="695"/>
    <tableColumn id="12" xr3:uid="{DD12FECB-2D76-5447-ADEE-C3AAA024555E}" name="CSC #9" dataDxfId="694"/>
    <tableColumn id="13" xr3:uid="{10DDEF99-C092-044E-AED2-831B5403506F}" name="CSC #10" dataDxfId="693"/>
    <tableColumn id="14" xr3:uid="{4CCAE864-1248-FB4D-A63E-44D7F30FC08B}" name="CSC #11" dataDxfId="692"/>
    <tableColumn id="15" xr3:uid="{A9FCBFC8-5FFB-3A40-A8BF-1FA8BA94432B}" name="CSC #12" dataDxfId="691"/>
    <tableColumn id="16" xr3:uid="{A245D5D8-C652-B340-86C1-973C62E57187}" name="CSC #13" dataDxfId="690"/>
    <tableColumn id="17" xr3:uid="{B1E05021-273E-454A-84ED-77DAAA969035}" name="CSC #14" dataDxfId="689"/>
    <tableColumn id="18" xr3:uid="{C4625EB5-E37C-764F-8D3D-7F0AD8393A78}" name="CSC #15" dataDxfId="688"/>
    <tableColumn id="19" xr3:uid="{56BD6E65-0132-334C-B901-88DB9C292B5C}" name="CSC #16" dataDxfId="687"/>
    <tableColumn id="20" xr3:uid="{FA4074DD-78B7-464A-8CD9-D6E09187FF05}" name="CSC #17" dataDxfId="686"/>
    <tableColumn id="21" xr3:uid="{FA2AD999-398B-ED4B-9E16-763F793E2798}" name="CSC #18" dataDxfId="685"/>
    <tableColumn id="22" xr3:uid="{A596A9EE-9757-8448-9852-64F56DC1EAA5}" name="CSC #19" dataDxfId="684"/>
    <tableColumn id="23" xr3:uid="{B43C159D-89F4-454D-9E67-8EEAA0B6753D}" name="CSC #20" dataDxfId="68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680" dataDxfId="679">
  <autoFilter ref="A3:FR45" xr:uid="{2A0A23BA-6889-4946-9D32-BF9CDFB618FB}"/>
  <tableColumns count="174">
    <tableColumn id="1" xr3:uid="{B2B2B209-AC76-6342-83FB-71DC408DA210}" name="HIPAA Control Area" dataDxfId="678"/>
    <tableColumn id="2" xr3:uid="{716B27B5-5A73-9A49-80ED-8AF53FAB1DCA}" name="CFR" dataDxfId="677"/>
    <tableColumn id="174" xr3:uid="{BB25C32A-9F7F-7545-BA9A-198BFD0C91A2}" name="Enforcement" dataDxfId="676"/>
    <tableColumn id="3" xr3:uid="{9D30DE28-89AE-514E-A0BE-C376201E7AB9}" name="Utilize an active discovery tool to identify devices connected to the organization's network and update the hardware asset inventory." dataDxfId="675"/>
    <tableColumn id="4" xr3:uid="{F3A5F3E4-D656-C745-B5B0-7310E76A91DC}" name="Utilize a passive discovery tool to identify devices connected to the organization's network and automatically update the organization's hardware asset inventory." dataDxfId="674"/>
    <tableColumn id="5" xr3:uid="{23CA6520-8617-0546-9617-5AB815CB3D59}" name="Use Dynamic Host Configuration Protocol (DHCP) logging on all DHCP servers or IP address management tools to update the organization's hardware asset inventory." dataDxfId="67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67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671"/>
    <tableColumn id="8" xr3:uid="{40070879-BAF1-F14E-9DDE-6DEC0A14924E}" name="Ensure that unauthorized assets are either removed from the network, quarantined or the inventory is updated in a timely manner." dataDxfId="67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669"/>
    <tableColumn id="10" xr3:uid="{686355F6-5723-EB49-A1BD-6E82DEBF4476}" name="Use client certificates to authenticate hardware assets connecting to the organization's trusted network." dataDxfId="668"/>
    <tableColumn id="11" xr3:uid="{9D06AC35-BC7B-974D-91BB-5EDAEDCE2E8B}" name="Maintain an up-to-date list of all authorized software that is required in the enterprise for any business purpose on any business system." dataDxfId="66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666"/>
    <tableColumn id="13" xr3:uid="{CD7EBEF7-45D0-1340-A57C-82FC7796DE79}" name="Utilize software inventory tools throughout the organization to automate the documentation of all software on business systems." dataDxfId="665"/>
    <tableColumn id="14" xr3:uid="{6C6C359D-13A0-EE42-975F-C1EC002EFC29}" name="The software inventory system should track the name, version, publisher, and install date for all software, including operating systems authorized by the organization." dataDxfId="664"/>
    <tableColumn id="15" xr3:uid="{E8494057-6D69-0C4A-842B-460787C65968}" name="The software inventory system should be tied into the hardware asset inventory so all devices and associated software are tracked from a single location." dataDxfId="663"/>
    <tableColumn id="16" xr3:uid="{C083F14E-2A88-934B-80E9-782A6E78CAF8}" name="Ensure that unauthorized software is either removed or the inventory is updated in a timely manner." dataDxfId="662"/>
    <tableColumn id="17" xr3:uid="{577F5523-946A-6048-8A6A-EDC9539DB655}" name="Utilize application whitelisting technology on all assets to ensure that only authorized software executes and all unauthorized software is blocked from executing on assets." dataDxfId="661"/>
    <tableColumn id="18" xr3:uid="{21CE8478-CA1C-8149-897D-2014270FB4AA}" name="The organization's application whitelisting software must ensure that only authorized software libraries (such as *.dll, *.ocx, *.so, etc.) are allowed to load into a system process." dataDxfId="660"/>
    <tableColumn id="19" xr3:uid="{947141AC-59D2-1941-BB1C-588EF36B76DD}" name="The organization's application whitelisting software must ensure that only authorized, digitally signed scripts (such as *.ps1,*.py, macros, etc.) are allowed to run on a system." dataDxfId="659"/>
    <tableColumn id="20" xr3:uid="{82BC6E65-A352-E44D-9A8D-AC98CB41B18B}" name="Physically or logically segregated systems should be used to isolate and run software that is required for business operations but incurs higher risk for the organization." dataDxfId="65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657"/>
    <tableColumn id="22" xr3:uid="{3727E704-B1E6-C04F-8FFC-F448F2D52C42}" name="Perform authenticated vulnerability scanning with agents running locally on each system or with remote scanners that are configured with elevated rights on the system being tested." dataDxfId="656"/>
    <tableColumn id="23" xr3:uid="{74B8EDF7-A44D-4F42-B214-3A005AB626F2}" name="Use a dedicated account for authenticated vulnerability scans, which should not be used for any other administrative activities and should be tied to specific machines at specific IP addresses." dataDxfId="655"/>
    <tableColumn id="24" xr3:uid="{2DDF82B0-9906-7B45-90FE-2E7796BE317F}" name="Deploy automated software update tools in order to ensure that the operating systems are running the most recent security updates provided by the software vendor." dataDxfId="654"/>
    <tableColumn id="25" xr3:uid="{DC9774F1-292E-464E-A9C4-2260E52C7307}" name="Deploy automated software update tools in order to ensure that third-party software on all systems is running the most recent security updates provided by the software vendor." dataDxfId="653"/>
    <tableColumn id="26" xr3:uid="{BFE60F97-F7AE-404E-8B72-123EFCA3B12C}" name="Regularly compare the results from consecutive vulnerability scans to verify that vulnerabilities have been remediated in a timely manner." dataDxfId="652"/>
    <tableColumn id="27" xr3:uid="{93413460-8CBC-344C-AEFE-49502C74DA33}" name="Utilize a risk-rating process to prioritize the remediation of discovered vulnerabilities." dataDxfId="651"/>
    <tableColumn id="28" xr3:uid="{16E14C5F-476C-B744-8A55-E06DA27D5491}" name="Use automated tools to inventory all administrative accounts, including domain and local accounts, to ensure that only authorized individuals have elevated privileges." dataDxfId="650"/>
    <tableColumn id="29" xr3:uid="{A4367EC8-B913-1846-8298-6FCE9AB5E471}" name="Before deploying any new asset, change all default passwords to have values consistent with administrative level accounts." dataDxfId="64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648"/>
    <tableColumn id="31" xr3:uid="{49B2BEFE-D8F7-CD4A-BFE1-22181E89EBB5}" name="Where multi-factor authentication is not supported (such as local administrator, root, or service accounts), accounts will use passwords that are unique to that system." dataDxfId="647"/>
    <tableColumn id="32" xr3:uid="{CD5F8FFC-B94A-7C40-AE9D-CB27CFF16932}" name="Use multi-factor authentication and encrypted channels for all administrative account access." dataDxfId="64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645"/>
    <tableColumn id="34" xr3:uid="{A95284B1-CE9F-6F47-9D16-620A33C9C40D}" name="Limit access to scripting tools (such as Microsoft® PowerShell and Python) to only administrative or development users with the need to access those capabilities." dataDxfId="644"/>
    <tableColumn id="35" xr3:uid="{0C741668-8CF5-8F4D-9470-52C16646A10D}" name="Configure systems to issue a log entry and alert when an account is added to or removed from any group assigned administrative privileges." dataDxfId="643"/>
    <tableColumn id="36" xr3:uid="{58ADE753-D1A1-9443-99CC-7999C5B0FF54}" name="Configure systems to issue a log entry and alert on unsuccessful logins to an administrative account." dataDxfId="642"/>
    <tableColumn id="37" xr3:uid="{75B5C75D-1623-6944-B7D6-B172E4F6954A}" name="Maintain documented security configuration standards for all authorized operating systems and software." dataDxfId="64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640"/>
    <tableColumn id="39" xr3:uid="{A25C7099-9089-914C-8F14-CE4DBDDD3C17}" name="Store the master images and templates on securely configured servers, validated with integrity monitoring tools, to ensure that only authorized changes to the images are possible." dataDxfId="639"/>
    <tableColumn id="40" xr3:uid="{D3CB84DE-40A2-4148-BEB4-44BF68E2C0D6}" name="Deploy system configuration management tools that will automatically enforce and redeploy configuration settings to systems at regularly scheduled intervals." dataDxfId="63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637"/>
    <tableColumn id="42" xr3:uid="{B09EFA75-D722-6D48-80A4-687334002145}" name="Use at least three synchronized time sources from which all servers and network devices retrieve time information on a regular basis so that timestamps in logs are consistent." dataDxfId="636"/>
    <tableColumn id="43" xr3:uid="{400C6A34-08FC-0F43-B6D6-0772AB7742A6}" name="Ensure that local logging has been enabled on all systems and networking devices." dataDxfId="635"/>
    <tableColumn id="44" xr3:uid="{BEB95C86-D6D2-2946-B67D-EA2F69BEB78E}" name="Enable system logging to include detailed information such as an event source, date, user, timestamp, source addresses, destination addresses, and other useful elements." dataDxfId="634"/>
    <tableColumn id="45" xr3:uid="{7C38DDB9-8D50-0747-A1A4-E639A607C2B4}" name="Ensure that all systems that store logs have adequate storage space for the logs generated." dataDxfId="633"/>
    <tableColumn id="46" xr3:uid="{1F0CA551-1C4F-3B4A-9095-481AF0718478}" name="Ensure that appropriate logs are being aggregated to a central log management system for analysis and review." dataDxfId="632"/>
    <tableColumn id="47" xr3:uid="{2603EF74-6062-834D-97CA-735F15BD5E74}" name="Deploy Security Information and Event Management (SIEM) or log analytic tools for log correlation and analysis" dataDxfId="631"/>
    <tableColumn id="48" xr3:uid="{9CC09B28-4AD4-E54F-B0B9-97F2C04E55F1}" name="On a regular basis, review logs to identify anomalies or abnormal events." dataDxfId="630"/>
    <tableColumn id="49" xr3:uid="{8DFD0968-4801-BF43-9C23-1878493EAECE}" name="On a regular basis, tune your SIEM system to better identify actionable events and decrease event noise." dataDxfId="629"/>
    <tableColumn id="50" xr3:uid="{BF316DC6-1FB5-7648-9BD9-30D52E85ADE8}" name="Ensure that only fully supported web browsers and email clients are allowed to execute in the organization, ideally only using the latest version of the browsers and email clients provided by the vendor." dataDxfId="628"/>
    <tableColumn id="51" xr3:uid="{9AE50414-C6D1-BC47-BC49-502C06C7CA1B}" name="Uninstall or disable any unauthorized browser or email client plugins or add-on applications." dataDxfId="627"/>
    <tableColumn id="52" xr3:uid="{086C2D5C-FEE5-0145-91C3-EC170A4C0FEE}" name="Ensure that only authorized scripting languages are able to run in all web browsers and email clients." dataDxfId="62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625"/>
    <tableColumn id="54" xr3:uid="{D544A087-3691-BF4C-9D0B-F637E4193C2A}" name="Subscribe to URL-categorization services to ensure that they are up-to-date with the most recent website category definitions available. Uncategorized sites shall be blocked by default." dataDxfId="62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623"/>
    <tableColumn id="56" xr3:uid="{A901FA38-48E6-B840-B94C-A470375A7437}" name="Use Domain Name System (DNS) filtering services to help block access to known malicious domains." dataDxfId="62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621"/>
    <tableColumn id="58" xr3:uid="{0B37013A-4B4C-CF40-9DC5-96485AA36CD2}" name="Block all email attachments entering the organization's email gateway if the file types are unnecessary for the organization's business." dataDxfId="620"/>
    <tableColumn id="59" xr3:uid="{EC73303E-F054-FD45-9D2B-46359BFFB485}" name="Use sandboxing to analyze and block inbound email attachments with malicious behavior." dataDxfId="619"/>
    <tableColumn id="60" xr3:uid="{76D037ED-07FE-A444-A5A4-A2C2128965D0}" name="Utilize centrally managed anti-malware software to continuously monitor and defend each of the organization's workstations and servers." dataDxfId="618"/>
    <tableColumn id="61" xr3:uid="{5D1307D7-227D-694A-AA31-859DDAD6148D}" name="Ensure that the organization's anti-malware software updates its scanning engine and signature database on a regular basis." dataDxfId="61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616"/>
    <tableColumn id="63" xr3:uid="{E8817927-6C23-4E42-91FF-66874271F788}" name="Configure devices so that they automatically conduct an anti-malware scan of removable media when inserted or connected." dataDxfId="615"/>
    <tableColumn id="64" xr3:uid="{61DDEB3B-CD3A-D946-9152-3267CFD04662}" name="Configure devices to not auto-run content from removable media." dataDxfId="614"/>
    <tableColumn id="65" xr3:uid="{E6F40358-AF0B-F945-9EA1-957CDCA7A68C}" name="Send all malware detection events to enterprise anti-malware administration tools and event log servers for analysis and alerting." dataDxfId="613"/>
    <tableColumn id="66" xr3:uid="{4D59398B-8F62-674B-A62E-41352B48A10E}" name="Enable Domain Name System (DNS) query logging to detect hostname lookups for known malicious domains." dataDxfId="612"/>
    <tableColumn id="67" xr3:uid="{3371615C-93B2-3B4C-BBFA-02065EC481F0}" name="Enable command-line audit logging for command shells, such as Microsoft PowerShell and Bash." dataDxfId="611"/>
    <tableColumn id="68" xr3:uid="{5AA9D3F9-6BCF-AD41-A37A-33B365CB1935}" name="Associate active ports, services, and protocols to the hardware assets in the asset inventory." dataDxfId="610"/>
    <tableColumn id="69" xr3:uid="{9B8FB814-BCD5-D84B-8F49-0C30B83D9A58}" name="Ensure that only network ports, protocols, and services listening on a system with validated business needs are running on each system." dataDxfId="609"/>
    <tableColumn id="70" xr3:uid="{1B9D82A8-5E6A-A74D-B51D-9FB5A2C62518}" name="Perform automated port scans on a regular basis against all systems and alert if unauthorized ports are detected on a system." dataDxfId="608"/>
    <tableColumn id="71" xr3:uid="{CCA360D3-C518-7841-B35F-ED6429C8EA4F}" name="Apply host-based firewalls or port-filtering tools on end systems, with a default-deny rule that drops all traffic except those services and ports that are explicitly allowed." dataDxfId="607"/>
    <tableColumn id="72" xr3:uid="{F975A88A-37FB-654E-BEC8-3156CA2BBBCC}" name="Place application firewalls in front of any critical servers to verify and validate the traffic going to the server. Any unauthorized traffic should be blocked and logged." dataDxfId="606"/>
    <tableColumn id="73" xr3:uid="{ED2A7538-B1E1-DA4D-BFF8-B4FB363ACB49}" name="Ensure that all system data is automatically backed up on a regular basis." dataDxfId="605"/>
    <tableColumn id="74" xr3:uid="{46B117DF-EBC2-5241-881B-F5B09D7310B0}" name="Ensure that all of the organization's key systems are backed up as a complete system, through processes such as imaging, to enable the quick recovery of an entire system." dataDxfId="604"/>
    <tableColumn id="75" xr3:uid="{5F53FF60-7679-A24C-A25F-27410BFD2F71}" name="Test data integrity on backup media on a regular basis by performing a data restoration process to ensure that the backup is properly working." dataDxfId="603"/>
    <tableColumn id="76" xr3:uid="{FD85A2C5-012B-1E42-8610-7B215DBD0614}" name="Ensure that backups are properly protected via physical security or encryption when they are stored, as well as when they are moved across the network. This includes remote backups and cloud services." dataDxfId="602"/>
    <tableColumn id="77" xr3:uid="{071FFAB7-9DED-2845-A135-5279D31891D3}" name="Ensure that all backups have at least one offline (i.e., not accessible via a network connection) backup destination." dataDxfId="601"/>
    <tableColumn id="78" xr3:uid="{37389DF7-6754-934D-9363-487AA4874417}" name="Maintain documented security configuration standards for all authorized network devices." dataDxfId="60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599"/>
    <tableColumn id="80" xr3:uid="{F930AC53-FF34-884F-A93E-B744355B8D81}" name="Compare all network device configurations against approved security configurations defined for each network device in use, and alert when any deviations are discovered." dataDxfId="598"/>
    <tableColumn id="81" xr3:uid="{D7B4980F-06E3-3B43-86A8-E8FF02E79826}" name="Install the latest stable version of any security-related updates on all network devices." dataDxfId="597"/>
    <tableColumn id="82" xr3:uid="{09B4A818-C8F9-5A4A-B1E8-C2A7CB4599B6}" name="Manage all network devices using multi-factor authentication and encrypted sessions." dataDxfId="59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59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594"/>
    <tableColumn id="85" xr3:uid="{CB3AE501-0843-F34F-A42E-54A13FD5D110}" name="Maintain an up-to-date inventory of all of the organization's network boundaries." dataDxfId="593"/>
    <tableColumn id="86" xr3:uid="{A5586A56-A5A6-2548-BB11-B043D25CC99A}" name="Perform regular scans from outside each trusted network boundary to detect any unauthorized connections which are accessible across the boundary." dataDxfId="592"/>
    <tableColumn id="87" xr3:uid="{6FDF262F-FFBE-9F49-8E8C-6366A6CDFB84}" name="Deny communications with known malicious or unused Internet IP addresses and limit access only to trusted and necessary IP address ranges at each of the organization's network boundaries." dataDxfId="59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590"/>
    <tableColumn id="89" xr3:uid="{2D921449-B33D-594A-89A5-A49A68539CC1}" name="Configure monitoring systems to record network packets passing through the boundary at each of the organization's network boundaries." dataDxfId="589"/>
    <tableColumn id="90" xr3:uid="{CC2C1BC0-B78A-464B-9AA7-AC364D7167F2}" name="Deploy network-based Intrusion Detection Systems (IDS) sensors to look for unusual attack mechanisms and detect compromise of these systems at each of the organization's network boundaries." dataDxfId="588"/>
    <tableColumn id="91" xr3:uid="{D48ACA26-3C75-7C4A-A028-C403129D4072}" name="Deploy network-based Intrusion Prevention Systems (IPS) to block malicious network traffic at each of the organization's network boundaries." dataDxfId="587"/>
    <tableColumn id="92" xr3:uid="{67E8EBB1-EC4F-C74A-80FB-B3FE79F37541}" name="Enable the collection of NetFlow and logging data on all network boundary devices." dataDxfId="586"/>
    <tableColumn id="93" xr3:uid="{B8E87F46-CCE1-BA44-86CD-49E5DF42C1C4}" name="Ensure that all network traffic to or from the Internet passes through an authenticated application layer proxy that is configured to filter unauthorized connections." dataDxfId="58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584"/>
    <tableColumn id="95" xr3:uid="{893C965C-DA1E-B847-BE42-5549A02344F2}" name="Require all remote login access to the organization's network to encrypt data in transit and use multi-factor authentication." dataDxfId="58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582"/>
    <tableColumn id="97" xr3:uid="{002FE4BF-E9EF-4E42-A65D-2B6411F21386}" name="Maintain an inventory of all sensitive information stored, processed, or transmitted by the organization's technology systems, including those located on-site or at a remote service provider." dataDxfId="58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580"/>
    <tableColumn id="99" xr3:uid="{637E2A47-3250-0343-8F50-A8DECF36E0E0}" name="Deploy an automated tool on network perimeters that monitors for unauthorized transfer of sensitive information and blocks such transfers while alerting information security professionals." dataDxfId="579"/>
    <tableColumn id="100" xr3:uid="{E9E3734B-33E2-EA43-A8BF-CFE1DDA92CA7}" name="Only allow access to authorized cloud storage or email providers." dataDxfId="578"/>
    <tableColumn id="101" xr3:uid="{61D118D9-49FF-6547-96D8-8E3CD5048783}" name="Monitor all traffic leaving the organization and detect any unauthorized use of encryption." dataDxfId="577"/>
    <tableColumn id="102" xr3:uid="{CA923AE6-0157-BE40-B16D-F02E100681F0}" name="Utilize approved cryptographic mechanisms to protect enterprise data stored on all mobile devices." dataDxfId="576"/>
    <tableColumn id="103" xr3:uid="{4E5D9326-456F-0B40-849A-087D9639E786}" name="If USB storage devices are required, enterprise software should be used that can configure systems to allow the use of specific devices. An inventory of such devices should be maintained." dataDxfId="575"/>
    <tableColumn id="104" xr3:uid="{3C91BCE8-FD5A-3341-87FC-BD1E8027E4BA}" name="Configure systems not to write data to external removable media, if there is no business need for supporting such devices." dataDxfId="574"/>
    <tableColumn id="105" xr3:uid="{F407A6EF-69DA-5244-B61A-0E5E1E902CD0}" name="If USB storage devices are required, all data stored on such devices must be encrypted while at rest." dataDxfId="573"/>
    <tableColumn id="106" xr3:uid="{8BDC8A2C-9A7E-7B4A-9F98-4A7BA587DD00}" name="Segment the network based on the label or classification level of the information stored on the servers, locate all sensitive information on separated Virtual Local Area Networks (VLANs)." dataDxfId="572"/>
    <tableColumn id="107" xr3:uid="{FEA237DD-27F2-6D43-8EB8-4D0784B2254F}" name="Enable firewall filtering between VLANs to ensure that only authorized systems are able to communicate with other systems necessary to fulfill their specific responsibilities." dataDxfId="571"/>
    <tableColumn id="108" xr3:uid="{BB1746C1-7632-6944-AC93-FB1B6FFC4613}" name="Disable all workstation-to-workstation communication to limit an attacker's ability to move laterally and compromise neighboring systems, through technologies such as private VLANs or micro segmentation." dataDxfId="570"/>
    <tableColumn id="109" xr3:uid="{AC654A61-B07B-6D4D-B7FA-9935D6E99213}" name="Encrypt all sensitive information in transit." dataDxfId="56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56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567"/>
    <tableColumn id="112" xr3:uid="{1650611C-105E-074B-92A7-9C289825733A}" name="Use an automated tool, such as host-based Data Loss Prevention, to enforce access controls to data even when the data is copied off a system." dataDxfId="566"/>
    <tableColumn id="113" xr3:uid="{C4AC0793-8304-1A47-AB8E-35753596DC9E}" name="Encrypt all sensitive information at rest using a tool that requires a secondary authentication mechanism not integrated into the operating system, in order to access the information." dataDxfId="565"/>
    <tableColumn id="114" xr3:uid="{777FD23C-D475-DB44-BACF-1C0466554AC4}" name="Enforce detailed audit logging for access to sensitive data or changes to sensitive data (utilizing tools such as File Integrity Monitoring or Security Information and Event Monitoring)." dataDxfId="564"/>
    <tableColumn id="115" xr3:uid="{90B2815D-CC39-BF49-8D8E-AE53DB08720C}" name="Maintain an inventory of authorized wireless access points connected to the wired network." dataDxfId="563"/>
    <tableColumn id="116" xr3:uid="{07B5698E-07F9-C54C-9374-31FE2394D6F3}" name="Configure network vulnerability scanning tools to detect and alert on unauthorized wireless access points connected to the wired network." dataDxfId="562"/>
    <tableColumn id="117" xr3:uid="{7BEF7C5C-04A2-BF41-96FB-076053410B80}" name="Use a wireless intrusion detection system (WIDS) to detect and alert on unauthorized wireless access points connected to the network." dataDxfId="561"/>
    <tableColumn id="118" xr3:uid="{538BECD9-4E3A-BC49-9535-A7BDAE294410}" name="Disable wireless access on devices that do not have a business purpose for wireless access." dataDxfId="560"/>
    <tableColumn id="119" xr3:uid="{D69311D3-E2C9-F04F-8645-8D3111DD787C}" name="Configure wireless access on client machines that do have an essential wireless business purpose, to allow access only to authorized wireless networks and to restrict access to other wireless networks." dataDxfId="559"/>
    <tableColumn id="120" xr3:uid="{B153232F-8867-184D-A76E-7D99E72F0C80}" name="Disable peer-to-peer (ad hoc) wireless network capabilities on wireless clients." dataDxfId="558"/>
    <tableColumn id="121" xr3:uid="{F6F329A2-E043-1D4B-A32B-E3FFF66372D9}" name="Leverage the Advanced Encryption Standard (AES) to encrypt wireless data in transit." dataDxfId="557"/>
    <tableColumn id="122" xr3:uid="{F733FD3C-8BB0-F143-9DAD-BB98352A5DE5}" name="Ensure that wireless networks use authentication protocols such as Extensible Authentication Protocol-Transport Layer Security (EAP/TLS), that requires mutual, multi-factor authentication." dataDxfId="556"/>
    <tableColumn id="123" xr3:uid="{8635FB04-157A-0643-B30C-14C4A1707EBD}" name="Disable wireless peripheral access of devices [such as Bluetooth and Near Field Communication (NFC)], unless such access is required for a business purpose." dataDxfId="555"/>
    <tableColumn id="124" xr3:uid="{6D635E68-D236-FC41-A064-EDE73A055E1B}" name="Create a separate wireless network for personal or untrusted devices. Enterprise access from this network should be treated as untrusted and filtered and audited accordingly." dataDxfId="554"/>
    <tableColumn id="125" xr3:uid="{B1F75558-167D-394F-B0D2-97CB71ABCF38}" name="Maintain an inventory of each of the organization's authentication systems, including those located on-site or at a remote service provider." dataDxfId="553"/>
    <tableColumn id="126" xr3:uid="{114DFE9B-0ACE-7F47-B555-66AA7FA328A6}" name="Configure access for all accounts through as few centralized points of authentication as possible, including network, security, and cloud systems." dataDxfId="552"/>
    <tableColumn id="127" xr3:uid="{5353EC48-8BC5-684A-BF5A-A9086349E1A7}" name="Require multi-factor authentication for all user accounts, on all systems, whether managed on-site or by a third-party provider." dataDxfId="551"/>
    <tableColumn id="128" xr3:uid="{97E0ABBD-8113-464F-A1E0-38F6701854D4}" name="Encrypt or hash with a salt all authentication credentials when stored." dataDxfId="550"/>
    <tableColumn id="129" xr3:uid="{C55D3D7E-E0D3-B94F-92A0-ED6E3C34371F}" name="Ensure that all account usernames and authentication credentials are transmitted across networks using encrypted channels." dataDxfId="549"/>
    <tableColumn id="130" xr3:uid="{A0025035-E189-874D-86B4-895766B8BC27}" name="Maintain an inventory of all accounts organized by authentication system." dataDxfId="54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547"/>
    <tableColumn id="132" xr3:uid="{34B64755-0237-E842-A5D1-1E8D66D81BE8}" name="Disable any account that cannot be associated with a business process or business owner." dataDxfId="546"/>
    <tableColumn id="133" xr3:uid="{9CF7B214-6D1D-194D-8209-7E48C4CF8713}" name="Automatically disable dormant accounts after a set period of inactivity." dataDxfId="545"/>
    <tableColumn id="134" xr3:uid="{EC4917CE-57DF-D64D-A1ED-432723837D11}" name="Ensure that all accounts have an expiration date that is monitored and enforced." dataDxfId="544"/>
    <tableColumn id="135" xr3:uid="{C00C732B-F5CF-C940-BE59-72379D9F0B95}" name="Automatically lock workstation sessions after a standard period of inactivity." dataDxfId="543"/>
    <tableColumn id="136" xr3:uid="{E8F3EA29-32B4-DE4C-901F-D02B2C259111}" name="Monitor attempts to access deactivated accounts through audit logging." dataDxfId="542"/>
    <tableColumn id="137" xr3:uid="{2E2A4995-10B0-6446-81E3-A1F890FA0409}" name="Alert when users deviate from normal login behavior, such as time-of-day, workstation location, and duration." dataDxfId="541"/>
    <tableColumn id="138" xr3:uid="{AAC76DC3-D4C8-7541-8E06-A21C0280097B}" name="Perform a skills gap analysis to understand the skills and behaviors workforce members are not adhering to, using this information to build a baseline education roadmap." dataDxfId="540"/>
    <tableColumn id="139" xr3:uid="{3DC73896-4B91-194A-8B03-2D85047BFADB}" name="Deliver training to address the skills gap identified to positively impact workforce members' security behavior." dataDxfId="53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538"/>
    <tableColumn id="141" xr3:uid="{B6CBF6B3-C342-D347-9B4D-4FAF84DCF9CB}" name="Ensure that the organization's security awareness program is updated frequently (at least annually) to address new technologies, threats, standards, and business requirements." dataDxfId="537"/>
    <tableColumn id="142" xr3:uid="{79B242FA-65D9-3742-AF09-415E184D1D4A}" name="Train workforce members on the importance of enabling and utilizing secure authentication." dataDxfId="536"/>
    <tableColumn id="143" xr3:uid="{A65B1ADF-9C74-2C49-ACBB-1A07005DE636}" name="Train the workforce on how to identify different forms of social engineering attacks, such as phishing, phone scams, and impersonation calls." dataDxfId="535"/>
    <tableColumn id="144" xr3:uid="{0B4F0354-AE67-504B-89E3-BD4CDD8AD15F}" name="Train workforce members on how to identify and properly store, transfer, archive, and destroy sensitive information." dataDxfId="534"/>
    <tableColumn id="145" xr3:uid="{8E132A92-E2F6-4C4C-AC85-BEA749E43C92}" name="Train workforce members to be aware of causes for unintentional data exposures, such as losing their mobile devices or emailing the wrong person due to autocomplete in email." dataDxfId="533"/>
    <tableColumn id="146" xr3:uid="{9CBA4ED5-7E0F-7346-B225-184919ABC940}" name="Train workforce members to be able to identify the most common indicators of an incident and be able to report such an incident." dataDxfId="532"/>
    <tableColumn id="147" xr3:uid="{3CA6C795-145B-F441-93D4-A0B6E727EAE6}" name="Establish secure coding practices appropriate to the programming language and development environment being used." dataDxfId="531"/>
    <tableColumn id="148" xr3:uid="{415E3BAE-1B76-0D41-8371-BF3CB6FA3731}" name="For in-house developed software, ensure that explicit error checking is performed and documented for all input, including for size, data type, and acceptable ranges or formats." dataDxfId="530"/>
    <tableColumn id="149" xr3:uid="{696FF511-C06C-7345-94A1-392BBB9BC9B3}" name="Verify that the version of all software acquired from outside your organization is still supported by the developer or appropriately hardened based on developer security recommendations." dataDxfId="529"/>
    <tableColumn id="150" xr3:uid="{A206EC50-10EA-CF44-B51E-267453739F8C}" name="Only use up-to-date and trusted third-party components for the software developed by the organization." dataDxfId="528"/>
    <tableColumn id="151" xr3:uid="{85B70E22-A724-7A41-AFEC-5B1DD17545E2}" name="Use only standardized, currently accepted, and extensively reviewed encryption algorithms." dataDxfId="527"/>
    <tableColumn id="152" xr3:uid="{37A79560-76F3-354D-8433-71D07D11A10E}" name="Ensure that all software development personnel receive training in writing secure code for their specific development environment and responsibilities." dataDxfId="526"/>
    <tableColumn id="153" xr3:uid="{BCCE9FF7-F039-0441-90E3-6E21CAA5D4C2}" name="Apply static and dynamic analysis tools to verify that secure coding practices are being adhered to for internally developed software." dataDxfId="525"/>
    <tableColumn id="154" xr3:uid="{45C21279-BE9A-AE4A-A286-4D7B4F553FB2}" name="Establish a process to accept and address reports of software vulnerabilities, including providing a means for external entities to contact your security group." dataDxfId="524"/>
    <tableColumn id="155" xr3:uid="{E913B8F4-FCCF-864F-878E-3C295913551C}" name="Maintain separate environments for production and non-production systems. Developers should not have unmonitored access to production environments." dataDxfId="52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522"/>
    <tableColumn id="157" xr3:uid="{CCABBBF4-FB77-544D-9FF3-93D9BA236AC2}" name="For applications that rely on a database, use standard hardening configuration templates. All systems that are part of critical business processes should also be tested." dataDxfId="521"/>
    <tableColumn id="158" xr3:uid="{A01723CC-E4CF-B743-9035-DEE4BA438B42}" name="Ensure that there are written incident response plans that define roles of personnel as well as phases of incident handling/management." dataDxfId="520"/>
    <tableColumn id="159" xr3:uid="{A75ABBF1-4BA0-B041-9834-A1ECA5058B39}" name="Assign job titles and duties for handling computer and network incidents to specific individuals, and ensure tracking and documentation throughout the incident through resolution." dataDxfId="519"/>
    <tableColumn id="160" xr3:uid="{AEC6ED85-4B41-4C4A-8FA2-04411C90E081}" name="Designate management personnel, as well as backups, who will support the incident handling process by acting in key decision-making roles." dataDxfId="51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51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516"/>
    <tableColumn id="163" xr3:uid="{D847A83A-AFA4-5A47-AFB8-B6E2B5FE6FC9}" name="Publish information for all workforce members, regarding reporting computer anomalies and incidents, to the incident handling team. Such information should be included in routine employee awareness activities." dataDxfId="51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514"/>
    <tableColumn id="165" xr3:uid="{F47F5BA7-E154-3447-9ED4-AE4DF77D6CDA}" name="Create incident scoring and prioritization schema based on known or potential impact to your organization. Utilize score to define frequency of status updates and escalation procedures." dataDxfId="513"/>
    <tableColumn id="166" xr3:uid="{409C49FB-5A16-9E41-85FA-F7B9FD3F699D}" name="Establish a program for penetration tests that includes a full scope of blended attacks, such as wireless, client-based, and web application attacks." dataDxfId="512"/>
    <tableColumn id="167" xr3:uid="{787C2A56-307D-DE48-BBAE-31B2461464C1}" name="Conduct regular external and internal penetration tests to identify vulnerabilities and attack vectors that can be used to exploit enterprise systems successfully." dataDxfId="511"/>
    <tableColumn id="168" xr3:uid="{6AC9004B-3A40-014B-913E-3A677BB04005}" name="Perform periodic Red Team exercises to test organizational readiness to identify and stop attacks or to respond quickly and effectively." dataDxfId="51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50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508"/>
    <tableColumn id="171" xr3:uid="{3A1E7631-3E54-5F45-85A9-2371533AE056}" name="Use vulnerability scanning and penetration testing tools in concert. The results of vulnerability scanning assessments should be used as a starting point to guide and focus penetration testing efforts." dataDxfId="50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50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5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504" dataDxfId="503">
  <autoFilter ref="A3:FQ83" xr:uid="{19543A7A-12EB-2040-9774-A596BA2F96F5}"/>
  <tableColumns count="173">
    <tableColumn id="1" xr3:uid="{33A87E68-0F67-2746-9F50-52D8F6613F7A}" name="PCI Control Description" dataDxfId="502"/>
    <tableColumn id="2" xr3:uid="{C48DE31C-FCA3-1641-83CD-F83B66DFE4F4}" name="Control #" dataDxfId="501"/>
    <tableColumn id="3" xr3:uid="{3A9C0B08-8C3E-D04B-891D-1B41AB511D7A}" name="Utilize an active discovery tool to identify devices connected to the organization's network and update the hardware asset inventory." dataDxfId="500"/>
    <tableColumn id="4" xr3:uid="{DB18BD8A-06AD-B143-8D63-2D9A862D1127}" name="Utilize a passive discovery tool to identify devices connected to the organization's network and automatically update the organization's hardware asset inventory." dataDxfId="499"/>
    <tableColumn id="5" xr3:uid="{356E5CD3-5500-7844-813D-D41CB1142BB8}" name="Use Dynamic Host Configuration Protocol (DHCP) logging on all DHCP servers or IP address management tools to update the organization's hardware asset inventory." dataDxfId="49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49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496"/>
    <tableColumn id="8" xr3:uid="{F0858F4E-3C44-3B4D-A297-58C33A1189B2}" name="Ensure that unauthorized assets are either removed from the network, quarantined or the inventory is updated in a timely manner." dataDxfId="49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494"/>
    <tableColumn id="10" xr3:uid="{9362CD7B-836A-CE43-8B95-62EA56EA3077}" name="Use client certificates to authenticate hardware assets connecting to the organization's trusted network." dataDxfId="493"/>
    <tableColumn id="11" xr3:uid="{A16543A8-B6D3-E746-8D8B-CF58D41EC5F0}" name="Maintain an up-to-date list of all authorized software that is required in the enterprise for any business purpose on any business system." dataDxfId="49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491"/>
    <tableColumn id="13" xr3:uid="{AEA0DE8A-7D8A-1246-939F-742DE33A70DB}" name="Utilize software inventory tools throughout the organization to automate the documentation of all software on business systems." dataDxfId="490"/>
    <tableColumn id="14" xr3:uid="{E0A8BA13-E450-E240-9057-CF1AEFDFA7D4}" name="The software inventory system should track the name, version, publisher, and install date for all software, including operating systems authorized by the organization." dataDxfId="489"/>
    <tableColumn id="15" xr3:uid="{E245E010-D8A6-624D-B7E5-CA588C1E12AF}" name="The software inventory system should be tied into the hardware asset inventory so all devices and associated software are tracked from a single location." dataDxfId="488"/>
    <tableColumn id="16" xr3:uid="{AA7D39B7-A89F-A241-B8CF-B69FA0D22D1C}" name="Ensure that unauthorized software is either removed or the inventory is updated in a timely manner." dataDxfId="487"/>
    <tableColumn id="17" xr3:uid="{A6A60BB1-2143-8048-9F27-5EECEBE03833}" name="Utilize application whitelisting technology on all assets to ensure that only authorized software executes and all unauthorized software is blocked from executing on assets." dataDxfId="486"/>
    <tableColumn id="18" xr3:uid="{3AC71534-E1FC-E54C-93FD-C9DCF79A824F}" name="The organization's application whitelisting software must ensure that only authorized software libraries (such as *.dll, *.ocx, *.so, etc.) are allowed to load into a system process." dataDxfId="485"/>
    <tableColumn id="19" xr3:uid="{BB435CC0-0986-C04D-9299-BD5C11C7CA9E}" name="The organization's application whitelisting software must ensure that only authorized, digitally signed scripts (such as *.ps1,*.py, macros, etc.) are allowed to run on a system." dataDxfId="484"/>
    <tableColumn id="20" xr3:uid="{A4CFEC1B-2C3D-EC48-BA92-C04DAC6D4E26}" name="Physically or logically segregated systems should be used to isolate and run software that is required for business operations but incurs higher risk for the organization." dataDxfId="48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482"/>
    <tableColumn id="22" xr3:uid="{90DBDF02-A96D-0945-83E7-E117651287C8}" name="Perform authenticated vulnerability scanning with agents running locally on each system or with remote scanners that are configured with elevated rights on the system being tested." dataDxfId="481"/>
    <tableColumn id="23" xr3:uid="{489113FA-AB80-7A4D-8474-06922E6398D4}" name="Use a dedicated account for authenticated vulnerability scans, which should not be used for any other administrative activities and should be tied to specific machines at specific IP addresses." dataDxfId="480"/>
    <tableColumn id="24" xr3:uid="{49C71001-5EA7-FF49-B5D9-C09FE134779F}" name="Deploy automated software update tools in order to ensure that the operating systems are running the most recent security updates provided by the software vendor." dataDxfId="479"/>
    <tableColumn id="25" xr3:uid="{6A66CC57-FE1C-7648-9062-7502C65BE559}" name="Deploy automated software update tools in order to ensure that third-party software on all systems is running the most recent security updates provided by the software vendor." dataDxfId="478"/>
    <tableColumn id="26" xr3:uid="{459AFC5A-07B7-8443-BA77-4C894F5BBC5F}" name="Regularly compare the results from consecutive vulnerability scans to verify that vulnerabilities have been remediated in a timely manner." dataDxfId="477"/>
    <tableColumn id="27" xr3:uid="{EEF0C024-3E99-7F4E-8F8A-A23DC8642DF5}" name="Utilize a risk-rating process to prioritize the remediation of discovered vulnerabilities." dataDxfId="476"/>
    <tableColumn id="28" xr3:uid="{EB85F7A7-1CE7-744C-A566-3E40DB3511D0}" name="Use automated tools to inventory all administrative accounts, including domain and local accounts, to ensure that only authorized individuals have elevated privileges." dataDxfId="475"/>
    <tableColumn id="29" xr3:uid="{22851DA5-31EC-4B4E-A2D1-394989A1D1A8}" name="Before deploying any new asset, change all default passwords to have values consistent with administrative level accounts." dataDxfId="47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473"/>
    <tableColumn id="31" xr3:uid="{F362CE95-E36E-AF41-8F0C-DCB85BED63D5}" name="Where multi-factor authentication is not supported (such as local administrator, root, or service accounts), accounts will use passwords that are unique to that system." dataDxfId="472"/>
    <tableColumn id="32" xr3:uid="{70B5A256-6440-2043-AEC9-B660217B4969}" name="Use multi-factor authentication and encrypted channels for all administrative account access." dataDxfId="47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470"/>
    <tableColumn id="34" xr3:uid="{D760C72D-2C8D-E14C-9AD2-F3790BCC530C}" name="Limit access to scripting tools (such as Microsoft® PowerShell and Python) to only administrative or development users with the need to access those capabilities." dataDxfId="469"/>
    <tableColumn id="35" xr3:uid="{8D5839EA-A080-0E41-ABC6-ACDAA579644E}" name="Configure systems to issue a log entry and alert when an account is added to or removed from any group assigned administrative privileges." dataDxfId="468"/>
    <tableColumn id="36" xr3:uid="{F23A395F-03EC-FA45-80B7-D6A5F1B91CBF}" name="Configure systems to issue a log entry and alert on unsuccessful logins to an administrative account." dataDxfId="467"/>
    <tableColumn id="37" xr3:uid="{ECF06445-BF09-084E-9AD3-57E1DE568DCB}" name="Maintain documented security configuration standards for all authorized operating systems and software." dataDxfId="46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465"/>
    <tableColumn id="39" xr3:uid="{D0A5D21E-E6FF-464E-AE82-9BF684C9FAD2}" name="Store the master images and templates on securely configured servers, validated with integrity monitoring tools, to ensure that only authorized changes to the images are possible." dataDxfId="464"/>
    <tableColumn id="40" xr3:uid="{9263FE47-3492-4A41-9E49-D57EDFB5A46A}" name="Deploy system configuration management tools that will automatically enforce and redeploy configuration settings to systems at regularly scheduled intervals." dataDxfId="46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462"/>
    <tableColumn id="42" xr3:uid="{2583E4D5-0880-B44B-B28D-01CF4396DA47}" name="Use at least three synchronized time sources from which all servers and network devices retrieve time information on a regular basis so that timestamps in logs are consistent." dataDxfId="461"/>
    <tableColumn id="43" xr3:uid="{B259DBCF-CDD4-FA41-80D6-7C751EAE3466}" name="Ensure that local logging has been enabled on all systems and networking devices." dataDxfId="460"/>
    <tableColumn id="44" xr3:uid="{A3746724-5821-4E4A-A2FE-6289B74BE6E3}" name="Enable system logging to include detailed information such as an event source, date, user, timestamp, source addresses, destination addresses, and other useful elements." dataDxfId="459"/>
    <tableColumn id="45" xr3:uid="{CD7FB87C-A8B7-C646-8F74-ACF0FEEFFAF7}" name="Ensure that all systems that store logs have adequate storage space for the logs generated." dataDxfId="458"/>
    <tableColumn id="46" xr3:uid="{866A5B48-C95F-E64C-A8A0-5A1763DF011C}" name="Ensure that appropriate logs are being aggregated to a central log management system for analysis and review." dataDxfId="457"/>
    <tableColumn id="47" xr3:uid="{7A614A2F-03B6-9642-8FAC-C6485D344ED4}" name="Deploy Security Information and Event Management (SIEM) or log analytic tools for log correlation and analysis" dataDxfId="456"/>
    <tableColumn id="48" xr3:uid="{F0D53B20-FCF2-FC4D-9352-70E2ADD959FD}" name="On a regular basis, review logs to identify anomalies or abnormal events." dataDxfId="455"/>
    <tableColumn id="49" xr3:uid="{9D3FA08B-15DB-CA41-A11E-55E0E11A44DD}" name="On a regular basis, tune your SIEM system to better identify actionable events and decrease event noise." dataDxfId="454"/>
    <tableColumn id="50" xr3:uid="{B38184BB-6139-6847-9A32-8B4E4D2D4686}" name="Ensure that only fully supported web browsers and email clients are allowed to execute in the organization, ideally only using the latest version of the browsers and email clients provided by the vendor." dataDxfId="453"/>
    <tableColumn id="51" xr3:uid="{203D5F7F-3A14-604D-A778-5F87D2B8B449}" name="Uninstall or disable any unauthorized browser or email client plugins or add-on applications." dataDxfId="452"/>
    <tableColumn id="52" xr3:uid="{2F2998F6-D55F-1345-8CF2-157365474A96}" name="Ensure that only authorized scripting languages are able to run in all web browsers and email clients." dataDxfId="45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450"/>
    <tableColumn id="54" xr3:uid="{6CA11685-232C-4E44-A7E5-10E2A42BD345}" name="Subscribe to URL-categorization services to ensure that they are up-to-date with the most recent website category definitions available. Uncategorized sites shall be blocked by default." dataDxfId="44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448"/>
    <tableColumn id="56" xr3:uid="{16400273-F2F4-8F41-B824-9321FEA8F4B2}" name="Use Domain Name System (DNS) filtering services to help block access to known malicious domains." dataDxfId="44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446"/>
    <tableColumn id="58" xr3:uid="{D4F534E1-7F80-7240-B011-2BC1C16913BB}" name="Block all email attachments entering the organization's email gateway if the file types are unnecessary for the organization's business." dataDxfId="445"/>
    <tableColumn id="59" xr3:uid="{E9A489FF-6D4C-9E42-AA07-E31A4515F0BC}" name="Use sandboxing to analyze and block inbound email attachments with malicious behavior." dataDxfId="444"/>
    <tableColumn id="60" xr3:uid="{E8384A97-FB77-D44D-A80D-9BC85034CF3F}" name="Utilize centrally managed anti-malware software to continuously monitor and defend each of the organization's workstations and servers." dataDxfId="443"/>
    <tableColumn id="61" xr3:uid="{886FEBFB-3F4E-D745-900C-189AC81D638D}" name="Ensure that the organization's anti-malware software updates its scanning engine and signature database on a regular basis." dataDxfId="44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441"/>
    <tableColumn id="63" xr3:uid="{1E7C6850-1803-2C45-8BDA-78C8D03A9C96}" name="Configure devices so that they automatically conduct an anti-malware scan of removable media when inserted or connected." dataDxfId="440"/>
    <tableColumn id="64" xr3:uid="{C18E314D-2507-114B-B61C-09D525317F01}" name="Configure devices to not auto-run content from removable media." dataDxfId="439"/>
    <tableColumn id="65" xr3:uid="{61F35686-A822-DE42-8E82-5BF1EC2D9D8A}" name="Send all malware detection events to enterprise anti-malware administration tools and event log servers for analysis and alerting." dataDxfId="438"/>
    <tableColumn id="66" xr3:uid="{C1E03AA1-AB45-914D-BB60-CE772F9D7478}" name="Enable Domain Name System (DNS) query logging to detect hostname lookups for known malicious domains." dataDxfId="437"/>
    <tableColumn id="67" xr3:uid="{962CC465-DBB1-6441-960D-262D3D65594F}" name="Enable command-line audit logging for command shells, such as Microsoft PowerShell and Bash." dataDxfId="436"/>
    <tableColumn id="68" xr3:uid="{884D2E5B-DDB8-754A-A233-6474739F0DDB}" name="Associate active ports, services, and protocols to the hardware assets in the asset inventory." dataDxfId="435"/>
    <tableColumn id="69" xr3:uid="{360AFD8D-3F38-CD49-AAE0-933FD03D27DF}" name="Ensure that only network ports, protocols, and services listening on a system with validated business needs are running on each system." dataDxfId="434"/>
    <tableColumn id="70" xr3:uid="{F1D2C1D2-AC57-0F43-8602-FD714BB00020}" name="Perform automated port scans on a regular basis against all systems and alert if unauthorized ports are detected on a system." dataDxfId="433"/>
    <tableColumn id="71" xr3:uid="{B199D8FF-C202-6344-AC87-1472846B55CC}" name="Apply host-based firewalls or port-filtering tools on end systems, with a default-deny rule that drops all traffic except those services and ports that are explicitly allowed." dataDxfId="432"/>
    <tableColumn id="72" xr3:uid="{97DC8EFF-B328-8642-A1B3-5F287B740317}" name="Place application firewalls in front of any critical servers to verify and validate the traffic going to the server. Any unauthorized traffic should be blocked and logged." dataDxfId="431"/>
    <tableColumn id="73" xr3:uid="{866EE81D-C860-6344-8F7C-B01A025F835B}" name="Ensure that all system data is automatically backed up on a regular basis." dataDxfId="430"/>
    <tableColumn id="74" xr3:uid="{DB4FDC87-8F31-C14D-9EB8-7162E5A2AFB7}" name="Ensure that all of the organization's key systems are backed up as a complete system, through processes such as imaging, to enable the quick recovery of an entire system." dataDxfId="429"/>
    <tableColumn id="75" xr3:uid="{6E7C34CB-3C2D-0749-8D92-EA682303D80D}" name="Test data integrity on backup media on a regular basis by performing a data restoration process to ensure that the backup is properly working." dataDxfId="428"/>
    <tableColumn id="76" xr3:uid="{5BB8F1B3-0582-9848-B2E5-F3FF229BD5B0}" name="Ensure that backups are properly protected via physical security or encryption when they are stored, as well as when they are moved across the network. This includes remote backups and cloud services." dataDxfId="427"/>
    <tableColumn id="77" xr3:uid="{7FFDEE24-7D5A-7040-91CE-1D77C76F366C}" name="Ensure that all backups have at least one offline (i.e., not accessible via a network connection) backup destination." dataDxfId="426"/>
    <tableColumn id="78" xr3:uid="{F0076CB2-65BE-FD43-AAE9-DCF6370722C4}" name="Maintain documented security configuration standards for all authorized network devices." dataDxfId="42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424"/>
    <tableColumn id="80" xr3:uid="{C5DEBC5E-4733-BD40-A5D1-00F8356BBFE5}" name="Compare all network device configurations against approved security configurations defined for each network device in use, and alert when any deviations are discovered." dataDxfId="423"/>
    <tableColumn id="81" xr3:uid="{C4572020-5EBF-7648-86F5-019212E0F8DE}" name="Install the latest stable version of any security-related updates on all network devices." dataDxfId="422"/>
    <tableColumn id="82" xr3:uid="{646FF647-CE7C-9C42-B301-F9ECB1C2FBA0}" name="Manage all network devices using multi-factor authentication and encrypted sessions." dataDxfId="42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42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419"/>
    <tableColumn id="85" xr3:uid="{5A3EA8DC-0977-3341-8E49-2C5901ECB0B3}" name="Maintain an up-to-date inventory of all of the organization's network boundaries." dataDxfId="418"/>
    <tableColumn id="86" xr3:uid="{BFB0808D-28C1-A444-9102-8DF4377BFF83}" name="Perform regular scans from outside each trusted network boundary to detect any unauthorized connections which are accessible across the boundary." dataDxfId="417"/>
    <tableColumn id="87" xr3:uid="{24D286A5-660A-104E-8E7E-15401213572B}" name="Deny communications with known malicious or unused Internet IP addresses and limit access only to trusted and necessary IP address ranges at each of the organization's network boundaries." dataDxfId="41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415"/>
    <tableColumn id="89" xr3:uid="{1F0D7C31-1BC3-BE4A-947C-EC5F98074C7F}" name="Configure monitoring systems to record network packets passing through the boundary at each of the organization's network boundaries." dataDxfId="414"/>
    <tableColumn id="90" xr3:uid="{D9DAD665-65F0-994D-9021-37E4A877333F}" name="Deploy network-based Intrusion Detection Systems (IDS) sensors to look for unusual attack mechanisms and detect compromise of these systems at each of the organization's network boundaries." dataDxfId="413"/>
    <tableColumn id="91" xr3:uid="{0F5755C2-C806-684D-A038-CB1A157D2D10}" name="Deploy network-based Intrusion Prevention Systems (IPS) to block malicious network traffic at each of the organization's network boundaries." dataDxfId="412"/>
    <tableColumn id="92" xr3:uid="{B06C93D2-D0FA-2747-8632-4792ABA65529}" name="Enable the collection of NetFlow and logging data on all network boundary devices." dataDxfId="411"/>
    <tableColumn id="93" xr3:uid="{481316CF-B408-614D-B318-534E5C540E8C}" name="Ensure that all network traffic to or from the Internet passes through an authenticated application layer proxy that is configured to filter unauthorized connections." dataDxfId="41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409"/>
    <tableColumn id="95" xr3:uid="{3D1A8659-BE71-C243-981A-004BECBB6852}" name="Require all remote login access to the organization's network to encrypt data in transit and use multi-factor authentication." dataDxfId="40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407"/>
    <tableColumn id="97" xr3:uid="{F1B2B706-DB00-344D-AE30-440DDDD073CA}" name="Maintain an inventory of all sensitive information stored, processed, or transmitted by the organization's technology systems, including those located on-site or at a remote service provider." dataDxfId="40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405"/>
    <tableColumn id="99" xr3:uid="{C6917176-9FF7-CF46-8651-345FAC6394DF}" name="Deploy an automated tool on network perimeters that monitors for unauthorized transfer of sensitive information and blocks such transfers while alerting information security professionals." dataDxfId="404"/>
    <tableColumn id="100" xr3:uid="{E4474C19-6E16-7B49-B9DB-8264DA630232}" name="Only allow access to authorized cloud storage or email providers." dataDxfId="403"/>
    <tableColumn id="101" xr3:uid="{21B37481-DCFF-3548-8EA7-739557453CD5}" name="Monitor all traffic leaving the organization and detect any unauthorized use of encryption." dataDxfId="402"/>
    <tableColumn id="102" xr3:uid="{FC77C3AD-664D-1E4E-9E2E-2D70D1EA4415}" name="Utilize approved cryptographic mechanisms to protect enterprise data stored on all mobile devices." dataDxfId="401"/>
    <tableColumn id="103" xr3:uid="{8F89C18D-01BE-7D48-AF3B-2E9923FB52C8}" name="If USB storage devices are required, enterprise software should be used that can configure systems to allow the use of specific devices. An inventory of such devices should be maintained." dataDxfId="400"/>
    <tableColumn id="104" xr3:uid="{C2C330E8-07B1-224B-8C6A-62CECBC78668}" name="Configure systems not to write data to external removable media, if there is no business need for supporting such devices." dataDxfId="399"/>
    <tableColumn id="105" xr3:uid="{AAC06D23-B164-F940-B3CC-82DC3899B70E}" name="If USB storage devices are required, all data stored on such devices must be encrypted while at rest." dataDxfId="398"/>
    <tableColumn id="106" xr3:uid="{ECF4FCC9-0803-9543-B7BC-84626F166D34}" name="Segment the network based on the label or classification level of the information stored on the servers, locate all sensitive information on separated Virtual Local Area Networks (VLANs)." dataDxfId="397"/>
    <tableColumn id="107" xr3:uid="{9266C558-EA57-A746-BF4C-A4A17389382B}" name="Enable firewall filtering between VLANs to ensure that only authorized systems are able to communicate with other systems necessary to fulfill their specific responsibilities." dataDxfId="396"/>
    <tableColumn id="108" xr3:uid="{452D39A8-98D2-8647-B6A1-704AB7206A4C}" name="Disable all workstation-to-workstation communication to limit an attacker's ability to move laterally and compromise neighboring systems, through technologies such as private VLANs or micro segmentation." dataDxfId="395"/>
    <tableColumn id="109" xr3:uid="{BB12A661-6224-594C-BD52-847C4F5796B1}" name="Encrypt all sensitive information in transit." dataDxfId="39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39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392"/>
    <tableColumn id="112" xr3:uid="{DF2AEB7A-83B9-144E-AFA1-B3ABE0BDF60A}" name="Use an automated tool, such as host-based Data Loss Prevention, to enforce access controls to data even when the data is copied off a system." dataDxfId="391"/>
    <tableColumn id="113" xr3:uid="{95B3D8F3-76FD-1B47-9A61-5E3709365A79}" name="Encrypt all sensitive information at rest using a tool that requires a secondary authentication mechanism not integrated into the operating system, in order to access the information." dataDxfId="390"/>
    <tableColumn id="114" xr3:uid="{05B493AF-3E3E-B646-AC35-9DF29323A7CC}" name="Enforce detailed audit logging for access to sensitive data or changes to sensitive data (utilizing tools such as File Integrity Monitoring or Security Information and Event Monitoring)." dataDxfId="389"/>
    <tableColumn id="115" xr3:uid="{F9AB721B-8360-EA40-9E6C-8B6051BCB4C4}" name="Maintain an inventory of authorized wireless access points connected to the wired network." dataDxfId="388"/>
    <tableColumn id="116" xr3:uid="{0F3D5879-F38E-2846-9ED0-7CD1066A6D0D}" name="Configure network vulnerability scanning tools to detect and alert on unauthorized wireless access points connected to the wired network." dataDxfId="387"/>
    <tableColumn id="117" xr3:uid="{71AB876E-0734-AE40-A654-EEF3B978AC82}" name="Use a wireless intrusion detection system (WIDS) to detect and alert on unauthorized wireless access points connected to the network." dataDxfId="386"/>
    <tableColumn id="118" xr3:uid="{8480E631-161C-1949-BE80-AE2F2834F5C6}" name="Disable wireless access on devices that do not have a business purpose for wireless access." dataDxfId="385"/>
    <tableColumn id="119" xr3:uid="{D7B7093B-F28D-8845-B021-AB8B9503E9DA}" name="Configure wireless access on client machines that do have an essential wireless business purpose, to allow access only to authorized wireless networks and to restrict access to other wireless networks." dataDxfId="384"/>
    <tableColumn id="120" xr3:uid="{D283AE11-E52C-6F4D-9C5A-0CB0CFE8E322}" name="Disable peer-to-peer (ad hoc) wireless network capabilities on wireless clients." dataDxfId="383"/>
    <tableColumn id="121" xr3:uid="{B51F1F4D-5CE5-BF4E-B423-8205C199AAC2}" name="Leverage the Advanced Encryption Standard (AES) to encrypt wireless data in transit." dataDxfId="382"/>
    <tableColumn id="122" xr3:uid="{6313B2DE-0B01-F24C-B96A-A1B80F0EB634}" name="Ensure that wireless networks use authentication protocols such as Extensible Authentication Protocol-Transport Layer Security (EAP/TLS), that requires mutual, multi-factor authentication." dataDxfId="381"/>
    <tableColumn id="123" xr3:uid="{F2C29E84-36E9-1B45-ACA4-7D01349CD42E}" name="Disable wireless peripheral access of devices [such as Bluetooth and Near Field Communication (NFC)], unless such access is required for a business purpose." dataDxfId="380"/>
    <tableColumn id="124" xr3:uid="{7A94DE3D-68B0-7944-A5E2-1676D3CBC667}" name="Create a separate wireless network for personal or untrusted devices. Enterprise access from this network should be treated as untrusted and filtered and audited accordingly." dataDxfId="379"/>
    <tableColumn id="125" xr3:uid="{CF8D0D82-7167-3746-AFF6-8EB06E65C799}" name="Maintain an inventory of each of the organization's authentication systems, including those located on-site or at a remote service provider." dataDxfId="378"/>
    <tableColumn id="126" xr3:uid="{BF9BAD33-7CF7-D54F-9AE2-1344FD80E824}" name="Configure access for all accounts through as few centralized points of authentication as possible, including network, security, and cloud systems." dataDxfId="377"/>
    <tableColumn id="127" xr3:uid="{55152F59-F1EB-064C-BB43-809CFF9DED42}" name="Require multi-factor authentication for all user accounts, on all systems, whether managed on-site or by a third-party provider." dataDxfId="376"/>
    <tableColumn id="128" xr3:uid="{AC41100A-0CCC-4140-B580-366F570D7413}" name="Encrypt or hash with a salt all authentication credentials when stored." dataDxfId="375"/>
    <tableColumn id="129" xr3:uid="{1256195A-F53C-0545-82D2-10EDE4F7AB48}" name="Ensure that all account usernames and authentication credentials are transmitted across networks using encrypted channels." dataDxfId="374"/>
    <tableColumn id="130" xr3:uid="{3DCF5D6B-8BBE-CA4A-A592-3596F622115F}" name="Maintain an inventory of all accounts organized by authentication system." dataDxfId="37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372"/>
    <tableColumn id="132" xr3:uid="{4A1EAEF4-AD4C-6F4E-845C-7DCB73E64197}" name="Disable any account that cannot be associated with a business process or business owner." dataDxfId="371"/>
    <tableColumn id="133" xr3:uid="{E953B14F-47A7-8342-84DD-DBBC9B6D51B3}" name="Automatically disable dormant accounts after a set period of inactivity." dataDxfId="370"/>
    <tableColumn id="134" xr3:uid="{57BB72DA-CADA-C045-90E8-D991ED058024}" name="Ensure that all accounts have an expiration date that is monitored and enforced." dataDxfId="369"/>
    <tableColumn id="135" xr3:uid="{69377FD6-5BA7-F345-A1DD-0CE91DB06C97}" name="Automatically lock workstation sessions after a standard period of inactivity." dataDxfId="368"/>
    <tableColumn id="136" xr3:uid="{999C1E5A-211E-E743-9779-AA7B68F6371B}" name="Monitor attempts to access deactivated accounts through audit logging." dataDxfId="367"/>
    <tableColumn id="137" xr3:uid="{53EBD0E5-58DE-A444-AC48-4829CC22DECF}" name="Alert when users deviate from normal login behavior, such as time-of-day, workstation location, and duration." dataDxfId="366"/>
    <tableColumn id="138" xr3:uid="{56F44031-A129-5546-857B-AAAD8848AA27}" name="Perform a skills gap analysis to understand the skills and behaviors workforce members are not adhering to, using this information to build a baseline education roadmap." dataDxfId="365"/>
    <tableColumn id="139" xr3:uid="{360B96E3-DD82-AB4D-B2C8-C0341E63C29A}" name="Deliver training to address the skills gap identified to positively impact workforce members' security behavior." dataDxfId="36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63"/>
    <tableColumn id="141" xr3:uid="{C3781F9D-A406-E644-831E-09A6D193AF6A}" name="Ensure that the organization's security awareness program is updated frequently (at least annually) to address new technologies, threats, standards, and business requirements." dataDxfId="362"/>
    <tableColumn id="142" xr3:uid="{EA133BC4-A2A8-B742-8EAC-63645786C4EA}" name="Train workforce members on the importance of enabling and utilizing secure authentication." dataDxfId="361"/>
    <tableColumn id="143" xr3:uid="{7597E348-569F-3C4D-99A9-22901CA322FF}" name="Train the workforce on how to identify different forms of social engineering attacks, such as phishing, phone scams, and impersonation calls." dataDxfId="360"/>
    <tableColumn id="144" xr3:uid="{787DA7B0-F101-0041-94D7-DD3BBE32639C}" name="Train workforce members on how to identify and properly store, transfer, archive, and destroy sensitive information." dataDxfId="359"/>
    <tableColumn id="145" xr3:uid="{8A3D6051-0B02-F74F-AAF8-9BBE07178535}" name="Train workforce members to be aware of causes for unintentional data exposures, such as losing their mobile devices or emailing the wrong person due to autocomplete in email." dataDxfId="358"/>
    <tableColumn id="146" xr3:uid="{7B74C2ED-5034-2B40-9240-453A7875669E}" name="Train workforce members to be able to identify the most common indicators of an incident and be able to report such an incident." dataDxfId="357"/>
    <tableColumn id="147" xr3:uid="{F1B3C2AC-DEE0-9847-88FB-E4B995820BA7}" name="Establish secure coding practices appropriate to the programming language and development environment being used." dataDxfId="356"/>
    <tableColumn id="148" xr3:uid="{9298A8BD-DC63-F646-8A68-F621A94A1B10}" name="For in-house developed software, ensure that explicit error checking is performed and documented for all input, including for size, data type, and acceptable ranges or formats." dataDxfId="355"/>
    <tableColumn id="149" xr3:uid="{21132511-8342-CE48-A4F1-F422AEDD82DD}" name="Verify that the version of all software acquired from outside your organization is still supported by the developer or appropriately hardened based on developer security recommendations." dataDxfId="354"/>
    <tableColumn id="150" xr3:uid="{A1DC81CB-ACEA-3C49-85F8-50535697F507}" name="Only use up-to-date and trusted third-party components for the software developed by the organization." dataDxfId="353"/>
    <tableColumn id="151" xr3:uid="{3C8E1BD5-AA9E-6F4A-B149-B6085688240F}" name="Use only standardized, currently accepted, and extensively reviewed encryption algorithms." dataDxfId="352"/>
    <tableColumn id="152" xr3:uid="{34DCD173-815A-1448-82FF-31C6700F4A0D}" name="Ensure that all software development personnel receive training in writing secure code for their specific development environment and responsibilities." dataDxfId="351"/>
    <tableColumn id="153" xr3:uid="{F8BABC28-6A6D-694E-99D0-9574F4982A58}" name="Apply static and dynamic analysis tools to verify that secure coding practices are being adhered to for internally developed software." dataDxfId="350"/>
    <tableColumn id="154" xr3:uid="{ADF826D4-96E4-254F-8C4A-009111B5D731}" name="Establish a process to accept and address reports of software vulnerabilities, including providing a means for external entities to contact your security group." dataDxfId="349"/>
    <tableColumn id="155" xr3:uid="{E9FEA6C4-E50A-2C4E-8CCA-5BE7D3EC21CA}" name="Maintain separate environments for production and non-production systems. Developers should not have unmonitored access to production environments." dataDxfId="34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347"/>
    <tableColumn id="157" xr3:uid="{7BF0A7BE-F094-F443-BC74-6614A31AE644}" name="For applications that rely on a database, use standard hardening configuration templates. All systems that are part of critical business processes should also be tested." dataDxfId="346"/>
    <tableColumn id="158" xr3:uid="{33963563-5A4D-2B4F-9959-9DD9A36742AD}" name="Ensure that there are written incident response plans that define roles of personnel as well as phases of incident handling/management." dataDxfId="345"/>
    <tableColumn id="159" xr3:uid="{A187F876-2BB6-C348-BD59-FCE7869DDA36}" name="Assign job titles and duties for handling computer and network incidents to specific individuals, and ensure tracking and documentation throughout the incident through resolution." dataDxfId="344"/>
    <tableColumn id="160" xr3:uid="{7472442C-3EBB-3048-8005-F33473EC7D1C}" name="Designate management personnel, as well as backups, who will support the incident handling process by acting in key decision-making roles." dataDxfId="34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34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341"/>
    <tableColumn id="163" xr3:uid="{B60C85F6-66F4-0C4B-9212-C4384694197E}" name="Publish information for all workforce members, regarding reporting computer anomalies and incidents, to the incident handling team. Such information should be included in routine employee awareness activities." dataDxfId="34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339"/>
    <tableColumn id="165" xr3:uid="{67CFC728-BF77-7D49-9EC2-2639A3E1212E}" name="Create incident scoring and prioritization schema based on known or potential impact to your organization. Utilize score to define frequency of status updates and escalation procedures." dataDxfId="338"/>
    <tableColumn id="166" xr3:uid="{7827FC37-0002-2A44-82C1-6A55EA1FE062}" name="Establish a program for penetration tests that includes a full scope of blended attacks, such as wireless, client-based, and web application attacks." dataDxfId="337"/>
    <tableColumn id="167" xr3:uid="{500A8170-95FB-F341-9919-B07CF8379330}" name="Conduct regular external and internal penetration tests to identify vulnerabilities and attack vectors that can be used to exploit enterprise systems successfully." dataDxfId="336"/>
    <tableColumn id="168" xr3:uid="{06C14040-4B35-1A4C-95F1-451A37317ADF}" name="Perform periodic Red Team exercises to test organizational readiness to identify and stop attacks or to respond quickly and effectively." dataDxfId="33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33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33"/>
    <tableColumn id="171" xr3:uid="{106E65F4-0970-4C41-9FBA-338D9C1EEB3B}" name="Use vulnerability scanning and penetration testing tools in concert. The results of vulnerability scanning assessments should be used as a starting point to guide and focus penetration testing efforts." dataDxfId="33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33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33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8"/>
  <sheetViews>
    <sheetView showGridLines="0" tabSelected="1" zoomScale="70" zoomScaleNormal="70" workbookViewId="0">
      <pane ySplit="1" topLeftCell="A2" activePane="bottomLeft" state="frozen"/>
      <selection pane="bottomLeft" activeCell="E6" sqref="E6:L6"/>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84" t="s">
        <v>2151</v>
      </c>
      <c r="E1" s="484"/>
      <c r="F1" s="484"/>
      <c r="G1" s="484"/>
      <c r="H1" s="484"/>
      <c r="I1" s="484"/>
      <c r="J1" s="484"/>
      <c r="K1" s="484"/>
      <c r="L1" s="484"/>
      <c r="M1" s="484"/>
      <c r="N1" s="482" t="s">
        <v>2011</v>
      </c>
      <c r="O1" s="483"/>
      <c r="P1" s="480">
        <f>(COUNTIF(L59:L182,"")-19)+(COUNTIF(L45:L54,""))</f>
        <v>115</v>
      </c>
      <c r="Q1" s="481"/>
      <c r="R1" s="304"/>
      <c r="S1" s="304"/>
      <c r="T1" s="304"/>
      <c r="U1" s="304"/>
      <c r="V1" s="304"/>
    </row>
    <row r="2" spans="1:23" ht="22" thickBot="1"/>
    <row r="3" spans="1:23" ht="27" thickTop="1">
      <c r="A3" s="491" t="s">
        <v>2152</v>
      </c>
      <c r="B3" s="492"/>
      <c r="C3" s="492"/>
      <c r="D3" s="492"/>
      <c r="E3" s="492"/>
      <c r="F3" s="492"/>
      <c r="G3" s="492"/>
      <c r="H3" s="492"/>
      <c r="I3" s="492"/>
      <c r="J3" s="492"/>
      <c r="K3" s="492"/>
      <c r="L3" s="492"/>
      <c r="M3" s="492"/>
      <c r="N3" s="492"/>
      <c r="O3" s="492"/>
      <c r="P3" s="492"/>
      <c r="Q3" s="492"/>
      <c r="R3" s="492"/>
      <c r="S3" s="492"/>
      <c r="T3" s="492"/>
      <c r="U3" s="492"/>
      <c r="V3" s="492"/>
      <c r="W3" s="493"/>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61" t="s">
        <v>2012</v>
      </c>
      <c r="C5" s="462"/>
      <c r="D5" s="462"/>
      <c r="E5" s="462"/>
      <c r="F5" s="462"/>
      <c r="G5" s="462"/>
      <c r="H5" s="462"/>
      <c r="I5" s="462"/>
      <c r="J5" s="462"/>
      <c r="K5" s="462"/>
      <c r="L5" s="462"/>
      <c r="M5" s="462"/>
      <c r="N5" s="462"/>
      <c r="O5" s="462"/>
      <c r="P5" s="462"/>
      <c r="Q5" s="463"/>
      <c r="R5" s="314"/>
      <c r="S5" s="314"/>
      <c r="T5" s="314"/>
      <c r="U5" s="314"/>
      <c r="V5" s="314"/>
      <c r="W5" s="275"/>
    </row>
    <row r="6" spans="1:23" ht="20.25" customHeight="1">
      <c r="A6" s="274"/>
      <c r="B6" s="478" t="s">
        <v>1480</v>
      </c>
      <c r="C6" s="478"/>
      <c r="D6" s="478"/>
      <c r="E6" s="472"/>
      <c r="F6" s="473"/>
      <c r="G6" s="473"/>
      <c r="H6" s="473"/>
      <c r="I6" s="473"/>
      <c r="J6" s="473"/>
      <c r="K6" s="473"/>
      <c r="L6" s="474"/>
      <c r="M6" s="266"/>
      <c r="N6" s="468" t="s">
        <v>2076</v>
      </c>
      <c r="O6" s="468"/>
      <c r="P6" s="498"/>
      <c r="Q6" s="499"/>
      <c r="R6" s="266"/>
      <c r="S6" s="266"/>
      <c r="T6" s="266"/>
      <c r="U6" s="266"/>
      <c r="V6" s="266"/>
      <c r="W6" s="275"/>
    </row>
    <row r="7" spans="1:23" ht="20.25" customHeight="1">
      <c r="A7" s="274"/>
      <c r="B7" s="478" t="s">
        <v>1484</v>
      </c>
      <c r="C7" s="478"/>
      <c r="D7" s="478"/>
      <c r="E7" s="469"/>
      <c r="F7" s="469"/>
      <c r="G7" s="469"/>
      <c r="H7" s="469"/>
      <c r="I7" s="469"/>
      <c r="J7" s="469"/>
      <c r="K7" s="469"/>
      <c r="L7" s="469"/>
      <c r="M7" s="266"/>
      <c r="N7" s="265"/>
      <c r="O7" s="267"/>
      <c r="P7" s="267"/>
      <c r="Q7" s="320"/>
      <c r="R7" s="266"/>
      <c r="S7" s="266"/>
      <c r="T7" s="266"/>
      <c r="U7" s="266"/>
      <c r="V7" s="266"/>
      <c r="W7" s="275"/>
    </row>
    <row r="8" spans="1:23" ht="20.25" customHeight="1">
      <c r="A8" s="274"/>
      <c r="B8" s="478" t="s">
        <v>2046</v>
      </c>
      <c r="C8" s="478"/>
      <c r="D8" s="478"/>
      <c r="E8" s="469"/>
      <c r="F8" s="469"/>
      <c r="G8" s="469"/>
      <c r="H8" s="469"/>
      <c r="I8" s="288"/>
      <c r="J8" s="288"/>
      <c r="K8" s="288"/>
      <c r="L8" s="289"/>
      <c r="M8" s="266"/>
      <c r="N8" s="265"/>
      <c r="O8" s="267"/>
      <c r="P8" s="267"/>
      <c r="Q8" s="320"/>
      <c r="R8" s="266"/>
      <c r="S8" s="266"/>
      <c r="T8" s="266"/>
      <c r="U8" s="266"/>
      <c r="V8" s="266"/>
      <c r="W8" s="275"/>
    </row>
    <row r="9" spans="1:23" ht="20.25" customHeight="1">
      <c r="A9" s="274"/>
      <c r="B9" s="478" t="s">
        <v>2154</v>
      </c>
      <c r="C9" s="478"/>
      <c r="D9" s="478"/>
      <c r="E9" s="469"/>
      <c r="F9" s="469"/>
      <c r="G9" s="469"/>
      <c r="H9" s="469"/>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61" t="s">
        <v>2014</v>
      </c>
      <c r="C11" s="462"/>
      <c r="D11" s="462"/>
      <c r="E11" s="462"/>
      <c r="F11" s="462"/>
      <c r="G11" s="462"/>
      <c r="H11" s="462"/>
      <c r="I11" s="462"/>
      <c r="J11" s="462"/>
      <c r="K11" s="462"/>
      <c r="L11" s="462"/>
      <c r="M11" s="462"/>
      <c r="N11" s="462"/>
      <c r="O11" s="462"/>
      <c r="P11" s="462"/>
      <c r="Q11" s="463"/>
      <c r="R11" s="305"/>
      <c r="S11" s="305"/>
      <c r="T11" s="305"/>
      <c r="U11" s="305"/>
      <c r="V11" s="305"/>
      <c r="W11" s="275"/>
    </row>
    <row r="12" spans="1:23" ht="20.25" customHeight="1">
      <c r="A12" s="274"/>
      <c r="B12" s="485" t="s">
        <v>1495</v>
      </c>
      <c r="C12" s="485"/>
      <c r="D12" s="485"/>
      <c r="E12" s="485"/>
      <c r="F12" s="479" t="s">
        <v>1485</v>
      </c>
      <c r="G12" s="479"/>
      <c r="H12" s="479"/>
      <c r="I12" s="479"/>
      <c r="J12" s="479" t="s">
        <v>2013</v>
      </c>
      <c r="K12" s="479"/>
      <c r="L12" s="479"/>
      <c r="M12" s="479"/>
      <c r="N12" s="479" t="s">
        <v>1486</v>
      </c>
      <c r="O12" s="479"/>
      <c r="P12" s="479"/>
      <c r="Q12" s="479"/>
      <c r="R12" s="290"/>
      <c r="S12" s="290"/>
      <c r="T12" s="290"/>
      <c r="U12" s="290"/>
      <c r="V12" s="290"/>
      <c r="W12" s="275"/>
    </row>
    <row r="13" spans="1:23" ht="20.25" customHeight="1">
      <c r="A13" s="274"/>
      <c r="B13" s="477" t="s">
        <v>2044</v>
      </c>
      <c r="C13" s="477"/>
      <c r="D13" s="477"/>
      <c r="E13" s="477"/>
      <c r="F13" s="475"/>
      <c r="G13" s="475"/>
      <c r="H13" s="475"/>
      <c r="I13" s="475"/>
      <c r="J13" s="475"/>
      <c r="K13" s="475"/>
      <c r="L13" s="475"/>
      <c r="M13" s="475"/>
      <c r="N13" s="475"/>
      <c r="O13" s="475"/>
      <c r="P13" s="475"/>
      <c r="Q13" s="475"/>
      <c r="R13" s="290"/>
      <c r="S13" s="290"/>
      <c r="T13" s="290"/>
      <c r="U13" s="290"/>
      <c r="V13" s="290"/>
      <c r="W13" s="275"/>
    </row>
    <row r="14" spans="1:23" ht="20.25" customHeight="1">
      <c r="A14" s="274"/>
      <c r="B14" s="477" t="s">
        <v>1482</v>
      </c>
      <c r="C14" s="477"/>
      <c r="D14" s="477"/>
      <c r="E14" s="477"/>
      <c r="F14" s="475"/>
      <c r="G14" s="475"/>
      <c r="H14" s="475"/>
      <c r="I14" s="475"/>
      <c r="J14" s="475"/>
      <c r="K14" s="475"/>
      <c r="L14" s="475"/>
      <c r="M14" s="475"/>
      <c r="N14" s="475"/>
      <c r="O14" s="475"/>
      <c r="P14" s="475"/>
      <c r="Q14" s="475"/>
      <c r="R14" s="290"/>
      <c r="S14" s="290"/>
      <c r="T14" s="290"/>
      <c r="U14" s="290"/>
      <c r="V14" s="290"/>
      <c r="W14" s="275"/>
    </row>
    <row r="15" spans="1:23" ht="20.25" customHeight="1">
      <c r="A15" s="274"/>
      <c r="B15" s="477" t="s">
        <v>1481</v>
      </c>
      <c r="C15" s="477"/>
      <c r="D15" s="477"/>
      <c r="E15" s="477"/>
      <c r="F15" s="475"/>
      <c r="G15" s="475"/>
      <c r="H15" s="475"/>
      <c r="I15" s="475"/>
      <c r="J15" s="475"/>
      <c r="K15" s="475"/>
      <c r="L15" s="475"/>
      <c r="M15" s="475"/>
      <c r="N15" s="475"/>
      <c r="O15" s="475"/>
      <c r="P15" s="475"/>
      <c r="Q15" s="475"/>
      <c r="R15" s="290"/>
      <c r="S15" s="290"/>
      <c r="T15" s="290"/>
      <c r="U15" s="290"/>
      <c r="V15" s="290"/>
      <c r="W15" s="275"/>
    </row>
    <row r="16" spans="1:23" ht="20.25" customHeight="1">
      <c r="A16" s="274"/>
      <c r="B16" s="477" t="s">
        <v>2045</v>
      </c>
      <c r="C16" s="477"/>
      <c r="D16" s="477"/>
      <c r="E16" s="477"/>
      <c r="F16" s="475"/>
      <c r="G16" s="475"/>
      <c r="H16" s="475"/>
      <c r="I16" s="475"/>
      <c r="J16" s="475"/>
      <c r="K16" s="475"/>
      <c r="L16" s="475"/>
      <c r="M16" s="475"/>
      <c r="N16" s="475"/>
      <c r="O16" s="475"/>
      <c r="P16" s="475"/>
      <c r="Q16" s="475"/>
      <c r="R16" s="290"/>
      <c r="S16" s="290"/>
      <c r="T16" s="290"/>
      <c r="U16" s="290"/>
      <c r="V16" s="290"/>
      <c r="W16" s="275"/>
    </row>
    <row r="17" spans="1:23" ht="20.25" customHeight="1">
      <c r="A17" s="274"/>
      <c r="B17" s="477" t="s">
        <v>1483</v>
      </c>
      <c r="C17" s="477"/>
      <c r="D17" s="477"/>
      <c r="E17" s="477"/>
      <c r="F17" s="475"/>
      <c r="G17" s="475"/>
      <c r="H17" s="475"/>
      <c r="I17" s="475"/>
      <c r="J17" s="475"/>
      <c r="K17" s="475"/>
      <c r="L17" s="475"/>
      <c r="M17" s="475"/>
      <c r="N17" s="475"/>
      <c r="O17" s="475"/>
      <c r="P17" s="475"/>
      <c r="Q17" s="475"/>
      <c r="R17" s="290"/>
      <c r="S17" s="290"/>
      <c r="T17" s="290"/>
      <c r="U17" s="290"/>
      <c r="V17" s="290"/>
      <c r="W17" s="275"/>
    </row>
    <row r="18" spans="1:23" ht="20.25" customHeight="1">
      <c r="A18" s="274"/>
      <c r="B18" s="477"/>
      <c r="C18" s="477"/>
      <c r="D18" s="477"/>
      <c r="E18" s="477"/>
      <c r="F18" s="475"/>
      <c r="G18" s="475"/>
      <c r="H18" s="475"/>
      <c r="I18" s="475"/>
      <c r="J18" s="475"/>
      <c r="K18" s="475"/>
      <c r="L18" s="475"/>
      <c r="M18" s="475"/>
      <c r="N18" s="475"/>
      <c r="O18" s="475"/>
      <c r="P18" s="475"/>
      <c r="Q18" s="475"/>
      <c r="R18" s="290"/>
      <c r="S18" s="290"/>
      <c r="T18" s="290"/>
      <c r="U18" s="290"/>
      <c r="V18" s="290"/>
      <c r="W18" s="275"/>
    </row>
    <row r="19" spans="1:23" ht="20.25" customHeight="1">
      <c r="A19" s="274"/>
      <c r="B19" s="451"/>
      <c r="C19" s="451"/>
      <c r="D19" s="451"/>
      <c r="E19" s="451"/>
      <c r="F19" s="476"/>
      <c r="G19" s="476"/>
      <c r="H19" s="476"/>
      <c r="I19" s="476"/>
      <c r="J19" s="476"/>
      <c r="K19" s="476"/>
      <c r="L19" s="476"/>
      <c r="M19" s="476"/>
      <c r="N19" s="476"/>
      <c r="O19" s="476"/>
      <c r="P19" s="476"/>
      <c r="Q19" s="476"/>
      <c r="R19" s="290"/>
      <c r="S19" s="290"/>
      <c r="T19" s="290"/>
      <c r="U19" s="290"/>
      <c r="V19" s="290"/>
      <c r="W19" s="275"/>
    </row>
    <row r="20" spans="1:23" ht="20.25" customHeight="1">
      <c r="A20" s="274"/>
      <c r="B20" s="461" t="s">
        <v>2015</v>
      </c>
      <c r="C20" s="462"/>
      <c r="D20" s="462"/>
      <c r="E20" s="462"/>
      <c r="F20" s="462"/>
      <c r="G20" s="462"/>
      <c r="H20" s="462"/>
      <c r="I20" s="462"/>
      <c r="J20" s="462"/>
      <c r="K20" s="462"/>
      <c r="L20" s="462"/>
      <c r="M20" s="462"/>
      <c r="N20" s="462"/>
      <c r="O20" s="462"/>
      <c r="P20" s="462"/>
      <c r="Q20" s="463"/>
      <c r="R20" s="306"/>
      <c r="S20" s="306"/>
      <c r="T20" s="306"/>
      <c r="U20" s="306"/>
      <c r="V20" s="306"/>
      <c r="W20" s="275"/>
    </row>
    <row r="21" spans="1:23" ht="20.25" customHeight="1">
      <c r="A21" s="274"/>
      <c r="B21" s="467" t="s">
        <v>1489</v>
      </c>
      <c r="C21" s="467"/>
      <c r="D21" s="467"/>
      <c r="E21" s="469"/>
      <c r="F21" s="469"/>
      <c r="G21" s="469"/>
      <c r="H21" s="469"/>
      <c r="I21" s="469"/>
      <c r="J21" s="469"/>
      <c r="K21" s="469"/>
      <c r="L21" s="266"/>
      <c r="M21" s="266"/>
      <c r="N21" s="265"/>
      <c r="O21" s="267"/>
      <c r="P21" s="267"/>
      <c r="Q21" s="320"/>
      <c r="R21" s="266"/>
      <c r="S21" s="266"/>
      <c r="T21" s="266"/>
      <c r="U21" s="266"/>
      <c r="V21" s="266"/>
      <c r="W21" s="275"/>
    </row>
    <row r="22" spans="1:23" ht="20.25" customHeight="1">
      <c r="A22" s="274"/>
      <c r="B22" s="467" t="s">
        <v>1490</v>
      </c>
      <c r="C22" s="467"/>
      <c r="D22" s="467"/>
      <c r="E22" s="469"/>
      <c r="F22" s="469"/>
      <c r="G22" s="469"/>
      <c r="H22" s="469"/>
      <c r="I22" s="469"/>
      <c r="J22" s="469"/>
      <c r="K22" s="469"/>
      <c r="L22" s="291"/>
      <c r="M22" s="266"/>
      <c r="N22" s="265"/>
      <c r="O22" s="267"/>
      <c r="P22" s="267"/>
      <c r="Q22" s="320"/>
      <c r="R22" s="266"/>
      <c r="S22" s="266"/>
      <c r="T22" s="266"/>
      <c r="U22" s="266"/>
      <c r="V22" s="266"/>
      <c r="W22" s="275"/>
    </row>
    <row r="23" spans="1:23" ht="20.25" customHeight="1">
      <c r="A23" s="274"/>
      <c r="B23" s="467" t="s">
        <v>1488</v>
      </c>
      <c r="C23" s="467"/>
      <c r="D23" s="467"/>
      <c r="E23" s="470"/>
      <c r="F23" s="470"/>
      <c r="G23" s="470"/>
      <c r="H23" s="470"/>
      <c r="I23" s="470"/>
      <c r="J23" s="470"/>
      <c r="K23" s="470"/>
      <c r="L23" s="266"/>
      <c r="M23" s="266"/>
      <c r="N23" s="265"/>
      <c r="O23" s="267"/>
      <c r="P23" s="267"/>
      <c r="Q23" s="320"/>
      <c r="R23" s="266"/>
      <c r="S23" s="266"/>
      <c r="T23" s="266"/>
      <c r="U23" s="266"/>
      <c r="V23" s="266"/>
      <c r="W23" s="275"/>
    </row>
    <row r="24" spans="1:23" ht="48" customHeight="1">
      <c r="A24" s="274"/>
      <c r="B24" s="468" t="s">
        <v>1487</v>
      </c>
      <c r="C24" s="468"/>
      <c r="D24" s="468"/>
      <c r="E24" s="471"/>
      <c r="F24" s="471"/>
      <c r="G24" s="471"/>
      <c r="H24" s="471"/>
      <c r="I24" s="471"/>
      <c r="J24" s="471"/>
      <c r="K24" s="471"/>
      <c r="L24" s="471"/>
      <c r="M24" s="471"/>
      <c r="N24" s="471"/>
      <c r="O24" s="471"/>
      <c r="P24" s="471"/>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61" t="s">
        <v>2047</v>
      </c>
      <c r="C26" s="462"/>
      <c r="D26" s="462"/>
      <c r="E26" s="462"/>
      <c r="F26" s="462"/>
      <c r="G26" s="462"/>
      <c r="H26" s="462"/>
      <c r="I26" s="462"/>
      <c r="J26" s="462"/>
      <c r="K26" s="462"/>
      <c r="L26" s="462"/>
      <c r="M26" s="462"/>
      <c r="N26" s="462"/>
      <c r="O26" s="462"/>
      <c r="P26" s="462"/>
      <c r="Q26" s="463"/>
      <c r="R26" s="305"/>
      <c r="S26" s="305"/>
      <c r="T26" s="305"/>
      <c r="U26" s="305"/>
      <c r="V26" s="305"/>
      <c r="W26" s="275"/>
    </row>
    <row r="27" spans="1:23" ht="21" customHeight="1">
      <c r="A27" s="274"/>
      <c r="B27" s="464" t="s">
        <v>1491</v>
      </c>
      <c r="C27" s="465"/>
      <c r="D27" s="465"/>
      <c r="E27" s="466"/>
      <c r="F27" s="464" t="s">
        <v>1493</v>
      </c>
      <c r="G27" s="465"/>
      <c r="H27" s="465"/>
      <c r="I27" s="466"/>
      <c r="J27" s="464" t="s">
        <v>1494</v>
      </c>
      <c r="K27" s="465"/>
      <c r="L27" s="465"/>
      <c r="M27" s="466"/>
      <c r="N27" s="464" t="s">
        <v>1528</v>
      </c>
      <c r="O27" s="465"/>
      <c r="P27" s="465"/>
      <c r="Q27" s="466"/>
      <c r="R27" s="307"/>
      <c r="S27" s="307"/>
      <c r="T27" s="307"/>
      <c r="U27" s="307"/>
      <c r="V27" s="307"/>
      <c r="W27" s="275"/>
    </row>
    <row r="28" spans="1:23" ht="21" customHeight="1">
      <c r="A28" s="274"/>
      <c r="B28" s="448"/>
      <c r="C28" s="449"/>
      <c r="D28" s="449"/>
      <c r="E28" s="450"/>
      <c r="F28" s="448"/>
      <c r="G28" s="449"/>
      <c r="H28" s="449"/>
      <c r="I28" s="450"/>
      <c r="J28" s="448"/>
      <c r="K28" s="449"/>
      <c r="L28" s="449"/>
      <c r="M28" s="450"/>
      <c r="N28" s="452" t="str">
        <f>('Risk Calc'!U14)</f>
        <v>Unknown</v>
      </c>
      <c r="O28" s="453"/>
      <c r="P28" s="453"/>
      <c r="Q28" s="454"/>
      <c r="R28" s="308"/>
      <c r="S28" s="308"/>
      <c r="T28" s="308"/>
      <c r="U28" s="308"/>
      <c r="V28" s="308"/>
      <c r="W28" s="275"/>
    </row>
    <row r="29" spans="1:23" ht="21" customHeight="1">
      <c r="A29" s="274"/>
      <c r="B29" s="448"/>
      <c r="C29" s="449"/>
      <c r="D29" s="449"/>
      <c r="E29" s="450"/>
      <c r="F29" s="448"/>
      <c r="G29" s="449"/>
      <c r="H29" s="449"/>
      <c r="I29" s="450"/>
      <c r="J29" s="448"/>
      <c r="K29" s="449"/>
      <c r="L29" s="449"/>
      <c r="M29" s="450"/>
      <c r="N29" s="455"/>
      <c r="O29" s="456"/>
      <c r="P29" s="456"/>
      <c r="Q29" s="457"/>
      <c r="R29" s="308"/>
      <c r="S29" s="308"/>
      <c r="T29" s="308"/>
      <c r="U29" s="308"/>
      <c r="V29" s="308"/>
      <c r="W29" s="275"/>
    </row>
    <row r="30" spans="1:23" ht="21" customHeight="1">
      <c r="A30" s="274"/>
      <c r="B30" s="448"/>
      <c r="C30" s="449"/>
      <c r="D30" s="449"/>
      <c r="E30" s="450"/>
      <c r="F30" s="448"/>
      <c r="G30" s="449"/>
      <c r="H30" s="449"/>
      <c r="I30" s="450"/>
      <c r="J30" s="448"/>
      <c r="K30" s="449"/>
      <c r="L30" s="449"/>
      <c r="M30" s="450"/>
      <c r="N30" s="455"/>
      <c r="O30" s="456"/>
      <c r="P30" s="456"/>
      <c r="Q30" s="457"/>
      <c r="R30" s="308"/>
      <c r="S30" s="308"/>
      <c r="T30" s="308"/>
      <c r="U30" s="308"/>
      <c r="V30" s="308"/>
      <c r="W30" s="275"/>
    </row>
    <row r="31" spans="1:23" ht="21" customHeight="1">
      <c r="A31" s="274"/>
      <c r="B31" s="448"/>
      <c r="C31" s="449"/>
      <c r="D31" s="449"/>
      <c r="E31" s="450"/>
      <c r="F31" s="448"/>
      <c r="G31" s="449"/>
      <c r="H31" s="449"/>
      <c r="I31" s="450"/>
      <c r="J31" s="448"/>
      <c r="K31" s="449"/>
      <c r="L31" s="449"/>
      <c r="M31" s="450"/>
      <c r="N31" s="455"/>
      <c r="O31" s="456"/>
      <c r="P31" s="456"/>
      <c r="Q31" s="457"/>
      <c r="R31" s="308"/>
      <c r="S31" s="308"/>
      <c r="T31" s="308"/>
      <c r="U31" s="308"/>
      <c r="V31" s="308"/>
      <c r="W31" s="275"/>
    </row>
    <row r="32" spans="1:23" ht="21" customHeight="1">
      <c r="A32" s="274"/>
      <c r="B32" s="448"/>
      <c r="C32" s="449"/>
      <c r="D32" s="449"/>
      <c r="E32" s="450"/>
      <c r="F32" s="448"/>
      <c r="G32" s="449"/>
      <c r="H32" s="449"/>
      <c r="I32" s="450"/>
      <c r="J32" s="448"/>
      <c r="K32" s="449"/>
      <c r="L32" s="449"/>
      <c r="M32" s="450"/>
      <c r="N32" s="458"/>
      <c r="O32" s="459"/>
      <c r="P32" s="459"/>
      <c r="Q32" s="460"/>
      <c r="R32" s="308"/>
      <c r="S32" s="308"/>
      <c r="T32" s="308"/>
      <c r="U32" s="308"/>
      <c r="V32" s="308"/>
      <c r="W32" s="275"/>
    </row>
    <row r="33" spans="1:23" ht="16">
      <c r="A33" s="274"/>
      <c r="B33" s="451"/>
      <c r="C33" s="451"/>
      <c r="D33" s="451"/>
      <c r="E33" s="451"/>
      <c r="F33" s="451"/>
      <c r="G33" s="451"/>
      <c r="H33" s="451"/>
      <c r="I33" s="451"/>
      <c r="J33" s="451"/>
      <c r="K33" s="451"/>
      <c r="L33" s="451"/>
      <c r="M33" s="451"/>
      <c r="N33" s="451"/>
      <c r="O33" s="451"/>
      <c r="P33" s="451"/>
      <c r="Q33" s="451"/>
      <c r="R33" s="290"/>
      <c r="S33" s="290"/>
      <c r="T33" s="290"/>
      <c r="U33" s="290"/>
      <c r="V33" s="290"/>
      <c r="W33" s="275"/>
    </row>
    <row r="34" spans="1:23" ht="16">
      <c r="A34" s="274"/>
      <c r="B34" s="410" t="s">
        <v>1577</v>
      </c>
      <c r="C34" s="411"/>
      <c r="D34" s="411"/>
      <c r="E34" s="411"/>
      <c r="F34" s="411"/>
      <c r="G34" s="411"/>
      <c r="H34" s="411"/>
      <c r="I34" s="411"/>
      <c r="J34" s="412" t="s">
        <v>1578</v>
      </c>
      <c r="K34" s="413"/>
      <c r="L34" s="413"/>
      <c r="M34" s="413"/>
      <c r="N34" s="413"/>
      <c r="O34" s="413"/>
      <c r="P34" s="413"/>
      <c r="Q34" s="414"/>
      <c r="R34" s="306"/>
      <c r="S34" s="306"/>
      <c r="T34" s="306"/>
      <c r="U34" s="306"/>
      <c r="V34" s="306"/>
      <c r="W34" s="275"/>
    </row>
    <row r="35" spans="1:23" ht="16">
      <c r="A35" s="274"/>
      <c r="B35" s="415" t="s">
        <v>1492</v>
      </c>
      <c r="C35" s="416"/>
      <c r="D35" s="416" t="s">
        <v>1418</v>
      </c>
      <c r="E35" s="416"/>
      <c r="F35" s="416"/>
      <c r="G35" s="416" t="s">
        <v>1573</v>
      </c>
      <c r="H35" s="416"/>
      <c r="I35" s="416"/>
      <c r="J35" s="417" t="s">
        <v>1508</v>
      </c>
      <c r="K35" s="407"/>
      <c r="L35" s="407" t="s">
        <v>1418</v>
      </c>
      <c r="M35" s="407"/>
      <c r="N35" s="407"/>
      <c r="O35" s="407" t="s">
        <v>1573</v>
      </c>
      <c r="P35" s="407"/>
      <c r="Q35" s="408"/>
      <c r="R35" s="305"/>
      <c r="S35" s="305"/>
      <c r="T35" s="305"/>
      <c r="U35" s="305"/>
      <c r="V35" s="305"/>
      <c r="W35" s="275"/>
    </row>
    <row r="36" spans="1:23" ht="50.25" customHeight="1">
      <c r="A36" s="274"/>
      <c r="B36" s="401" t="s">
        <v>1574</v>
      </c>
      <c r="C36" s="402"/>
      <c r="D36" s="403" t="s">
        <v>1872</v>
      </c>
      <c r="E36" s="403"/>
      <c r="F36" s="403"/>
      <c r="G36" s="403" t="s">
        <v>2019</v>
      </c>
      <c r="H36" s="403"/>
      <c r="I36" s="404"/>
      <c r="J36" s="405" t="s">
        <v>1497</v>
      </c>
      <c r="K36" s="402"/>
      <c r="L36" s="403" t="s">
        <v>1868</v>
      </c>
      <c r="M36" s="403"/>
      <c r="N36" s="403"/>
      <c r="O36" s="403" t="s">
        <v>2025</v>
      </c>
      <c r="P36" s="403"/>
      <c r="Q36" s="406"/>
      <c r="R36" s="309"/>
      <c r="S36" s="309"/>
      <c r="T36" s="309"/>
      <c r="U36" s="309"/>
      <c r="V36" s="309"/>
      <c r="W36" s="275"/>
    </row>
    <row r="37" spans="1:23" ht="50.25" customHeight="1">
      <c r="A37" s="274"/>
      <c r="B37" s="401" t="s">
        <v>1575</v>
      </c>
      <c r="C37" s="402"/>
      <c r="D37" s="403" t="s">
        <v>2018</v>
      </c>
      <c r="E37" s="403"/>
      <c r="F37" s="403"/>
      <c r="G37" s="403" t="s">
        <v>2020</v>
      </c>
      <c r="H37" s="403"/>
      <c r="I37" s="404"/>
      <c r="J37" s="405" t="s">
        <v>1498</v>
      </c>
      <c r="K37" s="402"/>
      <c r="L37" s="403" t="s">
        <v>1869</v>
      </c>
      <c r="M37" s="403"/>
      <c r="N37" s="403"/>
      <c r="O37" s="403" t="s">
        <v>2024</v>
      </c>
      <c r="P37" s="403"/>
      <c r="Q37" s="406"/>
      <c r="R37" s="309"/>
      <c r="S37" s="309"/>
      <c r="T37" s="309"/>
      <c r="U37" s="309"/>
      <c r="V37" s="309"/>
      <c r="W37" s="275"/>
    </row>
    <row r="38" spans="1:23" ht="50.25" customHeight="1">
      <c r="A38" s="274"/>
      <c r="B38" s="401" t="s">
        <v>1576</v>
      </c>
      <c r="C38" s="402"/>
      <c r="D38" s="403" t="s">
        <v>2017</v>
      </c>
      <c r="E38" s="403"/>
      <c r="F38" s="403"/>
      <c r="G38" s="403" t="s">
        <v>2026</v>
      </c>
      <c r="H38" s="403"/>
      <c r="I38" s="404"/>
      <c r="J38" s="405" t="s">
        <v>1499</v>
      </c>
      <c r="K38" s="402"/>
      <c r="L38" s="403" t="s">
        <v>1579</v>
      </c>
      <c r="M38" s="403"/>
      <c r="N38" s="403"/>
      <c r="O38" s="403" t="s">
        <v>2022</v>
      </c>
      <c r="P38" s="403"/>
      <c r="Q38" s="406"/>
      <c r="R38" s="309"/>
      <c r="S38" s="309"/>
      <c r="T38" s="309"/>
      <c r="U38" s="309"/>
      <c r="V38" s="309"/>
      <c r="W38" s="275"/>
    </row>
    <row r="39" spans="1:23" ht="50.25" customHeight="1">
      <c r="A39" s="274"/>
      <c r="B39" s="395" t="s">
        <v>1496</v>
      </c>
      <c r="C39" s="396"/>
      <c r="D39" s="397" t="s">
        <v>2016</v>
      </c>
      <c r="E39" s="397"/>
      <c r="F39" s="397"/>
      <c r="G39" s="397" t="s">
        <v>2021</v>
      </c>
      <c r="H39" s="397"/>
      <c r="I39" s="398"/>
      <c r="J39" s="399" t="s">
        <v>1500</v>
      </c>
      <c r="K39" s="396"/>
      <c r="L39" s="397" t="s">
        <v>1871</v>
      </c>
      <c r="M39" s="397"/>
      <c r="N39" s="397"/>
      <c r="O39" s="397" t="s">
        <v>2023</v>
      </c>
      <c r="P39" s="397"/>
      <c r="Q39" s="400"/>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491" t="s">
        <v>2087</v>
      </c>
      <c r="B41" s="492"/>
      <c r="C41" s="492"/>
      <c r="D41" s="492"/>
      <c r="E41" s="492"/>
      <c r="F41" s="492"/>
      <c r="G41" s="492"/>
      <c r="H41" s="492"/>
      <c r="I41" s="492"/>
      <c r="J41" s="492"/>
      <c r="K41" s="492"/>
      <c r="L41" s="492"/>
      <c r="M41" s="492"/>
      <c r="N41" s="492"/>
      <c r="O41" s="492"/>
      <c r="P41" s="492"/>
      <c r="Q41" s="492"/>
      <c r="R41" s="492"/>
      <c r="S41" s="492"/>
      <c r="T41" s="492"/>
      <c r="U41" s="492"/>
      <c r="V41" s="492"/>
      <c r="W41" s="493"/>
    </row>
    <row r="42" spans="1:23" ht="48" customHeight="1">
      <c r="A42" s="274"/>
      <c r="B42" s="494" t="s">
        <v>2153</v>
      </c>
      <c r="C42" s="494"/>
      <c r="D42" s="494"/>
      <c r="E42" s="494"/>
      <c r="F42" s="494"/>
      <c r="G42" s="494"/>
      <c r="H42" s="494"/>
      <c r="I42" s="494"/>
      <c r="J42" s="494"/>
      <c r="K42" s="494"/>
      <c r="L42" s="494"/>
      <c r="M42" s="494"/>
      <c r="N42" s="494"/>
      <c r="O42" s="494"/>
      <c r="P42" s="494"/>
      <c r="Q42" s="494"/>
      <c r="R42" s="266"/>
      <c r="S42" s="266"/>
      <c r="T42" s="266"/>
      <c r="U42" s="266"/>
      <c r="V42" s="266"/>
      <c r="W42" s="275"/>
    </row>
    <row r="43" spans="1:23" ht="30.75" customHeight="1">
      <c r="A43" s="274"/>
      <c r="B43" s="495" t="s">
        <v>2085</v>
      </c>
      <c r="C43" s="495"/>
      <c r="D43" s="495"/>
      <c r="E43" s="495"/>
      <c r="F43" s="495"/>
      <c r="G43" s="495"/>
      <c r="H43" s="495"/>
      <c r="I43" s="495"/>
      <c r="J43" s="495"/>
      <c r="K43" s="495"/>
      <c r="L43" s="495"/>
      <c r="M43" s="495"/>
      <c r="N43" s="495"/>
      <c r="O43" s="495"/>
      <c r="P43" s="495"/>
      <c r="Q43" s="495"/>
      <c r="R43" s="266"/>
      <c r="S43" s="266"/>
      <c r="T43" s="266"/>
      <c r="U43" s="266"/>
      <c r="V43" s="266"/>
      <c r="W43" s="275"/>
    </row>
    <row r="44" spans="1:23" ht="36.75" customHeight="1">
      <c r="A44" s="274"/>
      <c r="B44" s="388"/>
      <c r="C44" s="389"/>
      <c r="D44" s="430"/>
      <c r="E44" s="431"/>
      <c r="F44" s="431"/>
      <c r="G44" s="431"/>
      <c r="H44" s="431"/>
      <c r="I44" s="431"/>
      <c r="J44" s="431"/>
      <c r="K44" s="432"/>
      <c r="L44" s="434" t="s">
        <v>209</v>
      </c>
      <c r="M44" s="434"/>
      <c r="N44" s="435" t="s">
        <v>2086</v>
      </c>
      <c r="O44" s="435"/>
      <c r="P44" s="435"/>
      <c r="Q44" s="435"/>
      <c r="R44" s="310"/>
      <c r="S44" s="310"/>
      <c r="T44" s="310"/>
      <c r="U44" s="310"/>
      <c r="V44" s="310"/>
      <c r="W44" s="275"/>
    </row>
    <row r="45" spans="1:23" ht="48" customHeight="1">
      <c r="A45" s="274"/>
      <c r="B45" s="439" t="s">
        <v>2082</v>
      </c>
      <c r="C45" s="56" t="s">
        <v>2027</v>
      </c>
      <c r="D45" s="436" t="s">
        <v>2041</v>
      </c>
      <c r="E45" s="436"/>
      <c r="F45" s="436"/>
      <c r="G45" s="436"/>
      <c r="H45" s="436"/>
      <c r="I45" s="436"/>
      <c r="J45" s="436"/>
      <c r="K45" s="436"/>
      <c r="L45" s="437"/>
      <c r="M45" s="437"/>
      <c r="N45" s="427"/>
      <c r="O45" s="428"/>
      <c r="P45" s="428"/>
      <c r="Q45" s="429"/>
      <c r="R45" s="290"/>
      <c r="S45" s="290"/>
      <c r="T45" s="290"/>
      <c r="U45" s="290"/>
      <c r="V45" s="290"/>
      <c r="W45" s="275"/>
    </row>
    <row r="46" spans="1:23" ht="48" customHeight="1">
      <c r="A46" s="274"/>
      <c r="B46" s="440"/>
      <c r="C46" s="56" t="s">
        <v>2028</v>
      </c>
      <c r="D46" s="436" t="s">
        <v>2042</v>
      </c>
      <c r="E46" s="436"/>
      <c r="F46" s="436"/>
      <c r="G46" s="436"/>
      <c r="H46" s="436"/>
      <c r="I46" s="436"/>
      <c r="J46" s="436"/>
      <c r="K46" s="436"/>
      <c r="L46" s="437"/>
      <c r="M46" s="437"/>
      <c r="N46" s="427"/>
      <c r="O46" s="428"/>
      <c r="P46" s="428"/>
      <c r="Q46" s="429"/>
      <c r="R46" s="290"/>
      <c r="S46" s="290"/>
      <c r="T46" s="290"/>
      <c r="U46" s="290"/>
      <c r="V46" s="290"/>
      <c r="W46" s="275"/>
    </row>
    <row r="47" spans="1:23" ht="48" customHeight="1">
      <c r="A47" s="274"/>
      <c r="B47" s="440"/>
      <c r="C47" s="56" t="s">
        <v>2029</v>
      </c>
      <c r="D47" s="436" t="s">
        <v>2048</v>
      </c>
      <c r="E47" s="436"/>
      <c r="F47" s="436"/>
      <c r="G47" s="436"/>
      <c r="H47" s="436"/>
      <c r="I47" s="436"/>
      <c r="J47" s="436"/>
      <c r="K47" s="436"/>
      <c r="L47" s="437"/>
      <c r="M47" s="437"/>
      <c r="N47" s="427"/>
      <c r="O47" s="428"/>
      <c r="P47" s="428"/>
      <c r="Q47" s="429"/>
      <c r="R47" s="290"/>
      <c r="S47" s="290"/>
      <c r="T47" s="290"/>
      <c r="U47" s="290"/>
      <c r="V47" s="290"/>
      <c r="W47" s="275"/>
    </row>
    <row r="48" spans="1:23" ht="48" customHeight="1">
      <c r="A48" s="274"/>
      <c r="B48" s="440"/>
      <c r="C48" s="56" t="s">
        <v>2030</v>
      </c>
      <c r="D48" s="436" t="s">
        <v>2043</v>
      </c>
      <c r="E48" s="436"/>
      <c r="F48" s="436"/>
      <c r="G48" s="436"/>
      <c r="H48" s="436"/>
      <c r="I48" s="436"/>
      <c r="J48" s="436"/>
      <c r="K48" s="436"/>
      <c r="L48" s="437"/>
      <c r="M48" s="437"/>
      <c r="N48" s="427"/>
      <c r="O48" s="428"/>
      <c r="P48" s="428"/>
      <c r="Q48" s="429"/>
      <c r="R48" s="290"/>
      <c r="S48" s="290"/>
      <c r="T48" s="290"/>
      <c r="U48" s="290"/>
      <c r="V48" s="290"/>
      <c r="W48" s="275"/>
    </row>
    <row r="49" spans="1:23" ht="48" customHeight="1">
      <c r="A49" s="274"/>
      <c r="B49" s="440"/>
      <c r="C49" s="56" t="s">
        <v>2031</v>
      </c>
      <c r="D49" s="436" t="s">
        <v>2038</v>
      </c>
      <c r="E49" s="436"/>
      <c r="F49" s="436"/>
      <c r="G49" s="436"/>
      <c r="H49" s="436"/>
      <c r="I49" s="436"/>
      <c r="J49" s="436"/>
      <c r="K49" s="436"/>
      <c r="L49" s="437"/>
      <c r="M49" s="437"/>
      <c r="N49" s="427"/>
      <c r="O49" s="428"/>
      <c r="P49" s="428"/>
      <c r="Q49" s="429"/>
      <c r="R49" s="290"/>
      <c r="S49" s="290"/>
      <c r="T49" s="290"/>
      <c r="U49" s="290"/>
      <c r="V49" s="290"/>
      <c r="W49" s="275"/>
    </row>
    <row r="50" spans="1:23" ht="48" customHeight="1">
      <c r="A50" s="274"/>
      <c r="B50" s="440"/>
      <c r="C50" s="56" t="s">
        <v>2032</v>
      </c>
      <c r="D50" s="442" t="s">
        <v>2037</v>
      </c>
      <c r="E50" s="443"/>
      <c r="F50" s="443"/>
      <c r="G50" s="443"/>
      <c r="H50" s="443"/>
      <c r="I50" s="443"/>
      <c r="J50" s="443"/>
      <c r="K50" s="444"/>
      <c r="L50" s="437"/>
      <c r="M50" s="437"/>
      <c r="N50" s="427"/>
      <c r="O50" s="428"/>
      <c r="P50" s="428"/>
      <c r="Q50" s="429"/>
      <c r="R50" s="290"/>
      <c r="S50" s="290"/>
      <c r="T50" s="290"/>
      <c r="U50" s="290"/>
      <c r="V50" s="290"/>
      <c r="W50" s="275"/>
    </row>
    <row r="51" spans="1:23" ht="48" customHeight="1">
      <c r="A51" s="274"/>
      <c r="B51" s="440"/>
      <c r="C51" s="56" t="s">
        <v>2033</v>
      </c>
      <c r="D51" s="436" t="s">
        <v>2040</v>
      </c>
      <c r="E51" s="436"/>
      <c r="F51" s="436"/>
      <c r="G51" s="436"/>
      <c r="H51" s="436"/>
      <c r="I51" s="436"/>
      <c r="J51" s="436"/>
      <c r="K51" s="436"/>
      <c r="L51" s="437"/>
      <c r="M51" s="437"/>
      <c r="N51" s="427"/>
      <c r="O51" s="428"/>
      <c r="P51" s="428"/>
      <c r="Q51" s="429"/>
      <c r="R51" s="290"/>
      <c r="S51" s="290"/>
      <c r="T51" s="290"/>
      <c r="U51" s="290"/>
      <c r="V51" s="290"/>
      <c r="W51" s="275"/>
    </row>
    <row r="52" spans="1:23" ht="48" customHeight="1">
      <c r="A52" s="274"/>
      <c r="B52" s="440"/>
      <c r="C52" s="56" t="s">
        <v>2034</v>
      </c>
      <c r="D52" s="436" t="s">
        <v>2049</v>
      </c>
      <c r="E52" s="436"/>
      <c r="F52" s="436"/>
      <c r="G52" s="436"/>
      <c r="H52" s="436"/>
      <c r="I52" s="436"/>
      <c r="J52" s="436"/>
      <c r="K52" s="436"/>
      <c r="L52" s="437"/>
      <c r="M52" s="437"/>
      <c r="N52" s="427"/>
      <c r="O52" s="428"/>
      <c r="P52" s="428"/>
      <c r="Q52" s="429"/>
      <c r="R52" s="290"/>
      <c r="S52" s="290"/>
      <c r="T52" s="290"/>
      <c r="U52" s="290"/>
      <c r="V52" s="290"/>
      <c r="W52" s="275"/>
    </row>
    <row r="53" spans="1:23" ht="48" customHeight="1">
      <c r="A53" s="274"/>
      <c r="B53" s="440"/>
      <c r="C53" s="56" t="s">
        <v>2035</v>
      </c>
      <c r="D53" s="436" t="s">
        <v>2039</v>
      </c>
      <c r="E53" s="436"/>
      <c r="F53" s="436"/>
      <c r="G53" s="436"/>
      <c r="H53" s="436"/>
      <c r="I53" s="436"/>
      <c r="J53" s="436"/>
      <c r="K53" s="436"/>
      <c r="L53" s="437"/>
      <c r="M53" s="437"/>
      <c r="N53" s="427"/>
      <c r="O53" s="428"/>
      <c r="P53" s="428"/>
      <c r="Q53" s="429"/>
      <c r="R53" s="290"/>
      <c r="S53" s="290"/>
      <c r="T53" s="290"/>
      <c r="U53" s="290"/>
      <c r="V53" s="290"/>
      <c r="W53" s="275"/>
    </row>
    <row r="54" spans="1:23" ht="48" customHeight="1">
      <c r="A54" s="274"/>
      <c r="B54" s="441"/>
      <c r="C54" s="56" t="s">
        <v>2036</v>
      </c>
      <c r="D54" s="436"/>
      <c r="E54" s="436"/>
      <c r="F54" s="436"/>
      <c r="G54" s="436"/>
      <c r="H54" s="436"/>
      <c r="I54" s="436"/>
      <c r="J54" s="436"/>
      <c r="K54" s="436"/>
      <c r="L54" s="437"/>
      <c r="M54" s="437"/>
      <c r="N54" s="427"/>
      <c r="O54" s="428"/>
      <c r="P54" s="428"/>
      <c r="Q54" s="429"/>
      <c r="R54" s="290"/>
      <c r="S54" s="290"/>
      <c r="T54" s="290"/>
      <c r="U54" s="290"/>
      <c r="V54" s="290"/>
      <c r="W54" s="275"/>
    </row>
    <row r="55" spans="1:23" ht="16">
      <c r="A55" s="274"/>
      <c r="B55" s="290"/>
      <c r="C55" s="263"/>
      <c r="D55" s="264"/>
      <c r="E55" s="265"/>
      <c r="F55" s="265"/>
      <c r="G55" s="265"/>
      <c r="H55" s="265"/>
      <c r="I55" s="265"/>
      <c r="J55" s="265"/>
      <c r="K55" s="265"/>
      <c r="L55" s="266"/>
      <c r="M55" s="266"/>
      <c r="N55" s="265"/>
      <c r="O55" s="267"/>
      <c r="P55" s="267"/>
      <c r="Q55" s="267"/>
      <c r="R55" s="266"/>
      <c r="S55" s="266"/>
      <c r="T55" s="266"/>
      <c r="U55" s="266"/>
      <c r="V55" s="266"/>
      <c r="W55" s="275"/>
    </row>
    <row r="56" spans="1:23" ht="105" customHeight="1">
      <c r="A56" s="274"/>
      <c r="B56" s="438" t="s">
        <v>2084</v>
      </c>
      <c r="C56" s="438"/>
      <c r="D56" s="438"/>
      <c r="E56" s="438"/>
      <c r="F56" s="438"/>
      <c r="G56" s="438"/>
      <c r="H56" s="438"/>
      <c r="I56" s="438"/>
      <c r="J56" s="438"/>
      <c r="K56" s="438"/>
      <c r="L56" s="438"/>
      <c r="M56" s="438"/>
      <c r="N56" s="438"/>
      <c r="O56" s="438"/>
      <c r="P56" s="438"/>
      <c r="Q56" s="438"/>
      <c r="R56" s="290"/>
      <c r="S56" s="290"/>
      <c r="T56" s="290"/>
      <c r="U56" s="290"/>
      <c r="V56" s="290"/>
      <c r="W56" s="275"/>
    </row>
    <row r="57" spans="1:23" ht="29.25" customHeight="1">
      <c r="A57" s="274"/>
      <c r="B57" s="495" t="s">
        <v>2083</v>
      </c>
      <c r="C57" s="495"/>
      <c r="D57" s="495"/>
      <c r="E57" s="495"/>
      <c r="F57" s="495"/>
      <c r="G57" s="495"/>
      <c r="H57" s="495"/>
      <c r="I57" s="495"/>
      <c r="J57" s="495"/>
      <c r="K57" s="495"/>
      <c r="L57" s="495"/>
      <c r="M57" s="495"/>
      <c r="N57" s="495"/>
      <c r="O57" s="495"/>
      <c r="P57" s="495"/>
      <c r="Q57" s="495"/>
      <c r="R57" s="317"/>
      <c r="S57" s="317"/>
      <c r="T57" s="317"/>
      <c r="U57" s="317"/>
      <c r="V57" s="317"/>
      <c r="W57" s="275"/>
    </row>
    <row r="58" spans="1:23" s="257" customFormat="1" ht="56.25" customHeight="1">
      <c r="A58" s="276"/>
      <c r="B58" s="261" t="s">
        <v>1420</v>
      </c>
      <c r="C58" s="261" t="s">
        <v>5</v>
      </c>
      <c r="D58" s="434" t="s">
        <v>211</v>
      </c>
      <c r="E58" s="434"/>
      <c r="F58" s="434"/>
      <c r="G58" s="434"/>
      <c r="H58" s="434"/>
      <c r="I58" s="434"/>
      <c r="J58" s="434"/>
      <c r="K58" s="434"/>
      <c r="L58" s="434" t="s">
        <v>209</v>
      </c>
      <c r="M58" s="434"/>
      <c r="N58" s="435" t="s">
        <v>2086</v>
      </c>
      <c r="O58" s="435"/>
      <c r="P58" s="435"/>
      <c r="Q58" s="435"/>
      <c r="R58" s="311" t="s">
        <v>1420</v>
      </c>
      <c r="S58" s="311" t="s">
        <v>1432</v>
      </c>
      <c r="T58" s="311" t="s">
        <v>2057</v>
      </c>
      <c r="U58" s="311" t="s">
        <v>1860</v>
      </c>
      <c r="V58" s="311" t="s">
        <v>1507</v>
      </c>
      <c r="W58" s="277"/>
    </row>
    <row r="59" spans="1:23" ht="48" customHeight="1">
      <c r="A59" s="274"/>
      <c r="B59" s="500" t="s">
        <v>43</v>
      </c>
      <c r="C59" s="56">
        <v>1.1000000000000001</v>
      </c>
      <c r="D59" s="436" t="str">
        <f>VLOOKUP(C59,'Technology MASTER'!$B$3:$Q$107,5,FALSE)</f>
        <v>Do you maintain an accurate and up-to-date inventory of all technology assets with the potential to store or process Customer information?</v>
      </c>
      <c r="E59" s="436"/>
      <c r="F59" s="436"/>
      <c r="G59" s="436"/>
      <c r="H59" s="436"/>
      <c r="I59" s="436"/>
      <c r="J59" s="436"/>
      <c r="K59" s="436"/>
      <c r="L59" s="437"/>
      <c r="M59" s="437"/>
      <c r="N59" s="490"/>
      <c r="O59" s="490"/>
      <c r="P59" s="490"/>
      <c r="Q59" s="490"/>
      <c r="R59" s="318" t="str">
        <f>VLOOKUP(C59,'Technology MASTER'!$B$3:$Q$107,3,FALSE)</f>
        <v>Inventory of Authorized and Unauthorized Devices</v>
      </c>
      <c r="S59" s="318" t="str">
        <f>VLOOKUP(C59,'Technology MASTER'!$B$3:$Q$107,4,FALSE)</f>
        <v>Identify</v>
      </c>
      <c r="T59" s="318" t="e">
        <f>HLOOKUP($N$28,'Technology MASTER'!$G$2:$I$107,2,FALSE)</f>
        <v>#N/A</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500"/>
      <c r="C60" s="56">
        <v>1.2</v>
      </c>
      <c r="D60" s="436" t="str">
        <f>VLOOKUP(C60,'Technology MASTER'!$B$3:$Q$107,5,FALSE)</f>
        <v>Does the asset inventory include the hardware address, machine name, data asset owner, and department for each asset and whether the hardware asset has been approved to connect to the network.</v>
      </c>
      <c r="E60" s="436"/>
      <c r="F60" s="436"/>
      <c r="G60" s="436"/>
      <c r="H60" s="436"/>
      <c r="I60" s="436"/>
      <c r="J60" s="436"/>
      <c r="K60" s="436"/>
      <c r="L60" s="437"/>
      <c r="M60" s="437"/>
      <c r="N60" s="490"/>
      <c r="O60" s="490"/>
      <c r="P60" s="490"/>
      <c r="Q60" s="490"/>
      <c r="R60" s="318" t="str">
        <f>VLOOKUP(C60,'Technology MASTER'!$B$3:$Q$107,3,FALSE)</f>
        <v>Inventory of Authorized and Unauthorized Devices</v>
      </c>
      <c r="S60" s="318" t="str">
        <f>VLOOKUP(C60,'Technology MASTER'!$B$3:$Q$107,4,FALSE)</f>
        <v>Identify</v>
      </c>
      <c r="T60" s="318" t="e">
        <f>HLOOKUP($N$28,'Technology MASTER'!$G$2:$I$107,3,FALSE)</f>
        <v>#N/A</v>
      </c>
      <c r="U60" s="318" t="str">
        <f>VLOOKUP(C60,'Technology MASTER'!$B$3:$Q$107,13,FALSE)</f>
        <v>Inaccurate or improper inventory of
authorized and unauthorized devices could result in a data breach.</v>
      </c>
      <c r="V60" s="318" t="str">
        <f>VLOOKUP(C60,'Technology MASTER'!$B$3:$Q$107,16,FALSE)</f>
        <v>Unauthorized Access to Systems or Data</v>
      </c>
      <c r="W60" s="275"/>
    </row>
    <row r="61" spans="1:23" ht="48" customHeight="1">
      <c r="A61" s="274"/>
      <c r="B61" s="500"/>
      <c r="C61" s="56">
        <v>1.3</v>
      </c>
      <c r="D61" s="436" t="str">
        <f>VLOOKUP(C61,'Technology MASTER'!$B$3:$Q$107,5,FALSE)</f>
        <v xml:space="preserve">Do you have an active discovery tool that is used to build an inventory of systems connected to an organization’s public and private network(s)?  </v>
      </c>
      <c r="E61" s="436"/>
      <c r="F61" s="436"/>
      <c r="G61" s="436"/>
      <c r="H61" s="436"/>
      <c r="I61" s="436"/>
      <c r="J61" s="436"/>
      <c r="K61" s="436"/>
      <c r="L61" s="437"/>
      <c r="M61" s="437"/>
      <c r="N61" s="490"/>
      <c r="O61" s="490"/>
      <c r="P61" s="490"/>
      <c r="Q61" s="490"/>
      <c r="R61" s="318" t="str">
        <f>VLOOKUP(C61,'Technology MASTER'!$B$3:$Q$107,3,FALSE)</f>
        <v>Inventory of Authorized and Unauthorized Devices</v>
      </c>
      <c r="S61" s="318" t="str">
        <f>VLOOKUP(C61,'Technology MASTER'!$B$3:$Q$107,4,FALSE)</f>
        <v>Identify</v>
      </c>
      <c r="T61" s="318" t="e">
        <f>HLOOKUP($N$28,'Technology MASTER'!$G$2:$I$107,4,FALSE)</f>
        <v>#N/A</v>
      </c>
      <c r="U61" s="318" t="str">
        <f>VLOOKUP(C61,'Technology MASTER'!$B$3:$Q$107,13,FALSE)</f>
        <v>Information and assets associated with information processing facilities are not owned by a designated part of the organization.</v>
      </c>
      <c r="V61" s="318" t="str">
        <f>VLOOKUP(C61,'Technology MASTER'!$B$3:$Q$107,16,FALSE)</f>
        <v>Unauthorized Access to Systems or Data</v>
      </c>
      <c r="W61" s="275"/>
    </row>
    <row r="62" spans="1:23" ht="48" customHeight="1">
      <c r="A62" s="274"/>
      <c r="B62" s="500"/>
      <c r="C62" s="56">
        <v>1.4</v>
      </c>
      <c r="D62" s="436" t="str">
        <f>VLOOKUP(C62,'Technology MASTER'!$B$3:$Q$107,5,FALSE)</f>
        <v>Do you use utilize port level access control, following 802.1x standards, to control which devices can authenticate to the network?</v>
      </c>
      <c r="E62" s="436"/>
      <c r="F62" s="436"/>
      <c r="G62" s="436"/>
      <c r="H62" s="436"/>
      <c r="I62" s="436"/>
      <c r="J62" s="436"/>
      <c r="K62" s="436"/>
      <c r="L62" s="437"/>
      <c r="M62" s="437"/>
      <c r="N62" s="490"/>
      <c r="O62" s="490"/>
      <c r="P62" s="490"/>
      <c r="Q62" s="490"/>
      <c r="R62" s="318" t="str">
        <f>VLOOKUP(C62,'Technology MASTER'!$B$3:$Q$107,3,FALSE)</f>
        <v>Inventory of Authorized and Unauthorized Devices</v>
      </c>
      <c r="S62" s="318" t="str">
        <f>VLOOKUP(C62,'Technology MASTER'!$B$3:$Q$107,4,FALSE)</f>
        <v>Protect</v>
      </c>
      <c r="T62" s="318" t="e">
        <f>HLOOKUP($N$28,'Technology MASTER'!$G$2:$I$107,5,FALSE)</f>
        <v>#N/A</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48" customHeight="1">
      <c r="A63" s="274"/>
      <c r="B63" s="500"/>
      <c r="C63" s="56">
        <v>1.5</v>
      </c>
      <c r="D63" s="436" t="str">
        <f>VLOOKUP(C63,'Technology MASTER'!$B$3:$Q$107,5,FALSE)</f>
        <v>Do you ensure that unauthorized assets are either removed from the network, quarantined or the inventory is updated in a timely manner?</v>
      </c>
      <c r="E63" s="436"/>
      <c r="F63" s="436"/>
      <c r="G63" s="436"/>
      <c r="H63" s="436"/>
      <c r="I63" s="436"/>
      <c r="J63" s="436"/>
      <c r="K63" s="436"/>
      <c r="L63" s="437"/>
      <c r="M63" s="437"/>
      <c r="N63" s="490"/>
      <c r="O63" s="490"/>
      <c r="P63" s="490"/>
      <c r="Q63" s="490"/>
      <c r="R63" s="318" t="str">
        <f>VLOOKUP(C63,'Technology MASTER'!$B$3:$Q$107,3,FALSE)</f>
        <v>Inventory of Authorized and Unauthorized Devices</v>
      </c>
      <c r="S63" s="318" t="str">
        <f>VLOOKUP(C63,'Technology MASTER'!$B$3:$Q$107,4,FALSE)</f>
        <v>Respond</v>
      </c>
      <c r="T63" s="318" t="e">
        <f>HLOOKUP($N$28,'Technology MASTER'!$G$2:$I$107,6,FALSE)</f>
        <v>#N/A</v>
      </c>
      <c r="U63" s="318" t="str">
        <f>VLOOKUP(C63,'Technology MASTER'!$B$3:$Q$107,13,FALSE)</f>
        <v>Incapable of denying or restricting network access to noncompliant devices.  This may allow an insecure system to infect the entire network.</v>
      </c>
      <c r="V63" s="318" t="str">
        <f>VLOOKUP(C63,'Technology MASTER'!$B$3:$Q$107,16,FALSE)</f>
        <v>Unauthorized Access to Systems or Data</v>
      </c>
      <c r="W63" s="275"/>
    </row>
    <row r="64" spans="1:23" ht="16">
      <c r="A64" s="274"/>
      <c r="B64" s="394"/>
      <c r="C64" s="394"/>
      <c r="D64" s="394"/>
      <c r="E64" s="394"/>
      <c r="F64" s="394"/>
      <c r="G64" s="394"/>
      <c r="H64" s="394"/>
      <c r="I64" s="394"/>
      <c r="J64" s="394"/>
      <c r="K64" s="394"/>
      <c r="L64" s="394"/>
      <c r="M64" s="394"/>
      <c r="N64" s="394"/>
      <c r="O64" s="394"/>
      <c r="P64" s="394"/>
      <c r="Q64" s="394"/>
      <c r="R64" s="256"/>
      <c r="S64" s="256"/>
      <c r="T64" s="256"/>
      <c r="U64" s="256"/>
      <c r="V64" s="256"/>
      <c r="W64" s="275"/>
    </row>
    <row r="65" spans="1:23" ht="48" customHeight="1">
      <c r="A65" s="274"/>
      <c r="B65" s="439" t="s">
        <v>44</v>
      </c>
      <c r="C65" s="56">
        <v>2.1</v>
      </c>
      <c r="D65" s="436" t="str">
        <f>VLOOKUP(C65,'Technology MASTER'!$B$3:$Q$107,5,FALSE)</f>
        <v>Do you maintain an up-to-date list of all authorized software that is required in the enterprise for any business purpose on any business system?</v>
      </c>
      <c r="E65" s="436"/>
      <c r="F65" s="436"/>
      <c r="G65" s="436"/>
      <c r="H65" s="436"/>
      <c r="I65" s="436"/>
      <c r="J65" s="436"/>
      <c r="K65" s="436"/>
      <c r="L65" s="437"/>
      <c r="M65" s="437"/>
      <c r="N65" s="487"/>
      <c r="O65" s="488"/>
      <c r="P65" s="488"/>
      <c r="Q65" s="489"/>
      <c r="R65" s="318" t="str">
        <f>VLOOKUP(C65,'Technology MASTER'!$B$3:$Q$107,3,FALSE)</f>
        <v>Inventory of Authorized and Unauthorized Software</v>
      </c>
      <c r="S65" s="318" t="str">
        <f>VLOOKUP(C65,'Technology MASTER'!$B$3:$Q$107,4,FALSE)</f>
        <v>Identify</v>
      </c>
      <c r="T65" s="318" t="e">
        <f>HLOOKUP($N$28,'Technology MASTER'!$G$2:$I$107,7,FALSE)</f>
        <v>#N/A</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40"/>
      <c r="C66" s="56">
        <v>2.2000000000000002</v>
      </c>
      <c r="D66" s="436" t="str">
        <f>VLOOKUP(C66,'Technology MASTER'!$B$3:$Q$107,5,FALSE)</f>
        <v>Does the software inventory system track the name, version, publisher, and install date for all software, including operating systems authorized by the organization.?</v>
      </c>
      <c r="E66" s="436"/>
      <c r="F66" s="436"/>
      <c r="G66" s="436"/>
      <c r="H66" s="436"/>
      <c r="I66" s="436"/>
      <c r="J66" s="436"/>
      <c r="K66" s="436"/>
      <c r="L66" s="437"/>
      <c r="M66" s="437"/>
      <c r="N66" s="487"/>
      <c r="O66" s="488"/>
      <c r="P66" s="488"/>
      <c r="Q66" s="489"/>
      <c r="R66" s="318" t="str">
        <f>VLOOKUP(C66,'Technology MASTER'!$B$3:$Q$107,3,FALSE)</f>
        <v>Inventory of Authorized and Unauthorized Software</v>
      </c>
      <c r="S66" s="318" t="str">
        <f>VLOOKUP(C66,'Technology MASTER'!$B$3:$Q$107,4,FALSE)</f>
        <v>Identify</v>
      </c>
      <c r="T66" s="318" t="e">
        <f>HLOOKUP($N$28,'Technology MASTER'!$G$2:$I$107,8,FALSE)</f>
        <v>#N/A</v>
      </c>
      <c r="U66" s="318" t="str">
        <f>VLOOKUP(C66,'Technology MASTER'!$B$3:$Q$107,13,FALSE)</f>
        <v>Inaccurate or improper inventory of
authorized and unauthorized software could result in a data breach.</v>
      </c>
      <c r="V66" s="318" t="str">
        <f>VLOOKUP(C66,'Technology MASTER'!$B$3:$Q$107,16,FALSE)</f>
        <v>Unauthorized Access to Systems or Data</v>
      </c>
      <c r="W66" s="275"/>
    </row>
    <row r="67" spans="1:23" ht="48" customHeight="1">
      <c r="A67" s="274"/>
      <c r="B67" s="440"/>
      <c r="C67" s="56">
        <v>2.2999999999999998</v>
      </c>
      <c r="D67" s="436" t="str">
        <f>VLOOKUP(C67,'Technology MASTER'!$B$3:$Q$107,5,FALSE)</f>
        <v>Do you ensure that only software applications or operating systems currently supported and receiving vendor updates are added to the organization's authorized software inventory?</v>
      </c>
      <c r="E67" s="436"/>
      <c r="F67" s="436"/>
      <c r="G67" s="436"/>
      <c r="H67" s="436"/>
      <c r="I67" s="436"/>
      <c r="J67" s="436"/>
      <c r="K67" s="436"/>
      <c r="L67" s="437"/>
      <c r="M67" s="437"/>
      <c r="N67" s="487"/>
      <c r="O67" s="488"/>
      <c r="P67" s="488"/>
      <c r="Q67" s="489"/>
      <c r="R67" s="318" t="str">
        <f>VLOOKUP(C67,'Technology MASTER'!$B$3:$Q$107,3,FALSE)</f>
        <v>Inventory of Authorized and Unauthorized Software</v>
      </c>
      <c r="S67" s="318" t="str">
        <f>VLOOKUP(C67,'Technology MASTER'!$B$3:$Q$107,4,FALSE)</f>
        <v>Identify</v>
      </c>
      <c r="T67" s="318" t="e">
        <f>HLOOKUP($N$28,'Technology MASTER'!$G$2:$I$107,9,FALSE)</f>
        <v>#N/A</v>
      </c>
      <c r="U67" s="318" t="str">
        <f>VLOOKUP(C67,'Technology MASTER'!$B$3:$Q$107,13,FALSE)</f>
        <v>Commercial software that is not supported by a vendor and introduces errors into the information system processing environment.</v>
      </c>
      <c r="V67" s="318" t="str">
        <f>VLOOKUP(C67,'Technology MASTER'!$B$3:$Q$107,16,FALSE)</f>
        <v>Unauthorized Access to Systems or Data</v>
      </c>
      <c r="W67" s="275"/>
    </row>
    <row r="68" spans="1:23" ht="48" customHeight="1">
      <c r="A68" s="274"/>
      <c r="B68" s="441"/>
      <c r="C68" s="56">
        <v>2.4</v>
      </c>
      <c r="D68" s="436" t="str">
        <f>VLOOKUP(C68,'Technology MASTER'!$B$3:$Q$107,5,FALSE)</f>
        <v>Do you ensure that unauthorized software is either removed or the inventory is updated in a timely manner?</v>
      </c>
      <c r="E68" s="436"/>
      <c r="F68" s="436"/>
      <c r="G68" s="436"/>
      <c r="H68" s="436"/>
      <c r="I68" s="436"/>
      <c r="J68" s="436"/>
      <c r="K68" s="436"/>
      <c r="L68" s="437"/>
      <c r="M68" s="437"/>
      <c r="N68" s="487"/>
      <c r="O68" s="488"/>
      <c r="P68" s="488"/>
      <c r="Q68" s="489"/>
      <c r="R68" s="318" t="str">
        <f>VLOOKUP(C68,'Technology MASTER'!$B$3:$Q$107,3,FALSE)</f>
        <v>Inventory of Authorized and Unauthorized Software</v>
      </c>
      <c r="S68" s="318" t="str">
        <f>VLOOKUP(C68,'Technology MASTER'!$B$3:$Q$107,4,FALSE)</f>
        <v>Respond</v>
      </c>
      <c r="T68" s="318" t="e">
        <f>HLOOKUP($N$28,'Technology MASTER'!$G$2:$I$107,10,FALSE)</f>
        <v>#N/A</v>
      </c>
      <c r="U68" s="318" t="str">
        <f>VLOOKUP(C68,'Technology MASTER'!$B$3:$Q$107,13,FALSE)</f>
        <v>Unauthorized software increases the risk of outsiders gaining access to sensitive data.</v>
      </c>
      <c r="V68" s="318" t="str">
        <f>VLOOKUP(C68,'Technology MASTER'!$B$3:$Q$107,16,FALSE)</f>
        <v>Unauthorized Access to Systems or Data</v>
      </c>
      <c r="W68" s="275"/>
    </row>
    <row r="69" spans="1:23" ht="16">
      <c r="A69" s="274"/>
      <c r="B69" s="394"/>
      <c r="C69" s="394"/>
      <c r="D69" s="394"/>
      <c r="E69" s="394"/>
      <c r="F69" s="394"/>
      <c r="G69" s="394"/>
      <c r="H69" s="394"/>
      <c r="I69" s="394"/>
      <c r="J69" s="394"/>
      <c r="K69" s="394"/>
      <c r="L69" s="394"/>
      <c r="M69" s="394"/>
      <c r="N69" s="394"/>
      <c r="O69" s="394"/>
      <c r="P69" s="394"/>
      <c r="Q69" s="394"/>
      <c r="R69" s="256"/>
      <c r="S69" s="256"/>
      <c r="T69" s="256"/>
      <c r="U69" s="256"/>
      <c r="V69" s="256"/>
      <c r="W69" s="275"/>
    </row>
    <row r="70" spans="1:23" ht="48" customHeight="1">
      <c r="A70" s="274"/>
      <c r="B70" s="439" t="s">
        <v>45</v>
      </c>
      <c r="C70" s="56">
        <v>3.1</v>
      </c>
      <c r="D70" s="436" t="str">
        <f>VLOOKUP(C70,'Technology MASTER'!$B$3:$Q$107,5,FALSE)</f>
        <v>Do you have a vulnerability scanning tool that automatically scans all systems on the network on a frequent basis to identify potential vulnerabilities on the organization's systems?</v>
      </c>
      <c r="E70" s="436"/>
      <c r="F70" s="436"/>
      <c r="G70" s="436"/>
      <c r="H70" s="436"/>
      <c r="I70" s="436"/>
      <c r="J70" s="436"/>
      <c r="K70" s="436"/>
      <c r="L70" s="437"/>
      <c r="M70" s="437"/>
      <c r="N70" s="487"/>
      <c r="O70" s="488"/>
      <c r="P70" s="488"/>
      <c r="Q70" s="489"/>
      <c r="R70" s="318" t="str">
        <f>VLOOKUP(C70,'Technology MASTER'!$B$3:$Q$107,3,FALSE)</f>
        <v>Continuous Vulnerability Assessment and Remediation</v>
      </c>
      <c r="S70" s="318" t="str">
        <f>VLOOKUP(C70,'Technology MASTER'!$B$3:$Q$107,4,FALSE)</f>
        <v>Detect</v>
      </c>
      <c r="T70" s="318" t="e">
        <f>HLOOKUP($N$28,'Technology MASTER'!$G$2:$I$107,11,FALSE)</f>
        <v>#N/A</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40"/>
      <c r="C71" s="56">
        <v>3.2</v>
      </c>
      <c r="D71" s="436" t="str">
        <f>VLOOKUP(C71,'Technology MASTER'!$B$3:$Q$107,5,FALSE)</f>
        <v>Are the vulnerability scans conducted in authenticated mode where elevated rights are used to scan each system?</v>
      </c>
      <c r="E71" s="436"/>
      <c r="F71" s="436"/>
      <c r="G71" s="436"/>
      <c r="H71" s="436"/>
      <c r="I71" s="436"/>
      <c r="J71" s="436"/>
      <c r="K71" s="436"/>
      <c r="L71" s="437"/>
      <c r="M71" s="437"/>
      <c r="N71" s="487"/>
      <c r="O71" s="488"/>
      <c r="P71" s="488"/>
      <c r="Q71" s="489"/>
      <c r="R71" s="318" t="str">
        <f>VLOOKUP(C71,'Technology MASTER'!$B$3:$Q$107,3,FALSE)</f>
        <v>Continuous Vulnerability Assessment and Remediation</v>
      </c>
      <c r="S71" s="318" t="str">
        <f>VLOOKUP(C71,'Technology MASTER'!$B$3:$Q$107,4,FALSE)</f>
        <v>Detect</v>
      </c>
      <c r="T71" s="318" t="e">
        <f>HLOOKUP($N$28,'Technology MASTER'!$G$2:$I$107,12,FALSE)</f>
        <v>#N/A</v>
      </c>
      <c r="U71" s="318" t="str">
        <f>VLOOKUP(C71,'Technology MASTER'!$B$3:$Q$107,13,FALSE)</f>
        <v>Weaknesses or gaps in a security program can be exploited by threats to gain unauthorized access to the network.</v>
      </c>
      <c r="V71" s="318" t="str">
        <f>VLOOKUP(C71,'Technology MASTER'!$B$3:$Q$107,16,FALSE)</f>
        <v>Cyber Attack</v>
      </c>
      <c r="W71" s="275"/>
    </row>
    <row r="72" spans="1:23" ht="48" customHeight="1">
      <c r="A72" s="274"/>
      <c r="B72" s="440"/>
      <c r="C72" s="56">
        <v>3.3</v>
      </c>
      <c r="D72" s="436" t="str">
        <f>VLOOKUP(C72,'Technology MASTER'!$B$3:$Q$107,5,FALSE)</f>
        <v>Has the organization utilized a risk-rating process to prioritize the remediation of discovered vulnerabilities?</v>
      </c>
      <c r="E72" s="436"/>
      <c r="F72" s="436"/>
      <c r="G72" s="436"/>
      <c r="H72" s="436"/>
      <c r="I72" s="436"/>
      <c r="J72" s="436"/>
      <c r="K72" s="436"/>
      <c r="L72" s="437"/>
      <c r="M72" s="437"/>
      <c r="N72" s="487"/>
      <c r="O72" s="488"/>
      <c r="P72" s="488"/>
      <c r="Q72" s="489"/>
      <c r="R72" s="318" t="str">
        <f>VLOOKUP(C72,'Technology MASTER'!$B$3:$Q$107,3,FALSE)</f>
        <v>Continuous Vulnerability Assessment and Remediation</v>
      </c>
      <c r="S72" s="318" t="str">
        <f>VLOOKUP(C72,'Technology MASTER'!$B$3:$Q$107,4,FALSE)</f>
        <v>Respond</v>
      </c>
      <c r="T72" s="318" t="e">
        <f>HLOOKUP($N$28,'Technology MASTER'!$G$2:$I$107,13,FALSE)</f>
        <v>#N/A</v>
      </c>
      <c r="U72" s="318" t="str">
        <f>VLOOKUP(C72,'Technology MASTER'!$B$3:$Q$107,13,FALSE)</f>
        <v xml:space="preserve">Failure to identify recognized threats and determine their probability may find technical teams remediating the wrong asset/s based on risk exposure. </v>
      </c>
      <c r="V72" s="318" t="str">
        <f>VLOOKUP(C72,'Technology MASTER'!$B$3:$Q$107,16,FALSE)</f>
        <v>Cyber Attack</v>
      </c>
      <c r="W72" s="275"/>
    </row>
    <row r="73" spans="1:23" ht="48" customHeight="1">
      <c r="A73" s="274"/>
      <c r="B73" s="440"/>
      <c r="C73" s="56">
        <v>3.4</v>
      </c>
      <c r="D73" s="436" t="str">
        <f>VLOOKUP(C73,'Technology MASTER'!$B$3:$Q$107,5,FALSE)</f>
        <v>Do you regularly compare the results from consecutive vulnerability scans to verify that vulnerabilities have been remediated in a timely manner?</v>
      </c>
      <c r="E73" s="436"/>
      <c r="F73" s="436"/>
      <c r="G73" s="436"/>
      <c r="H73" s="436"/>
      <c r="I73" s="436"/>
      <c r="J73" s="436"/>
      <c r="K73" s="436"/>
      <c r="L73" s="437"/>
      <c r="M73" s="437"/>
      <c r="N73" s="487"/>
      <c r="O73" s="488"/>
      <c r="P73" s="488"/>
      <c r="Q73" s="489"/>
      <c r="R73" s="318" t="str">
        <f>VLOOKUP(C73,'Technology MASTER'!$B$3:$Q$107,3,FALSE)</f>
        <v>Continuous Vulnerability Assessment and Remediation</v>
      </c>
      <c r="S73" s="318" t="str">
        <f>VLOOKUP(C73,'Technology MASTER'!$B$3:$Q$107,4,FALSE)</f>
        <v>Respond</v>
      </c>
      <c r="T73" s="318" t="e">
        <f>HLOOKUP($N$28,'Technology MASTER'!$G$2:$I$107,14,FALSE)</f>
        <v>#N/A</v>
      </c>
      <c r="U73" s="318" t="str">
        <f>VLOOKUP(C73,'Technology MASTER'!$B$3:$Q$107,13,FALSE)</f>
        <v>Identified risks are not accepted, mitigated or responded to with actionable plans and decisions.</v>
      </c>
      <c r="V73" s="318" t="str">
        <f>VLOOKUP(C73,'Technology MASTER'!$B$3:$Q$107,16,FALSE)</f>
        <v>Cyber Attack</v>
      </c>
      <c r="W73" s="275"/>
    </row>
    <row r="74" spans="1:23" ht="48" customHeight="1">
      <c r="A74" s="274"/>
      <c r="B74" s="440"/>
      <c r="C74" s="56">
        <v>3.5</v>
      </c>
      <c r="D74" s="436" t="str">
        <f>VLOOKUP(C74,'Technology MASTER'!$B$3:$Q$107,5,FALSE)</f>
        <v>Deploy automated software update tools in order to ensure that the operating systems are running the most recent security updates provided by the software vendor?</v>
      </c>
      <c r="E74" s="436"/>
      <c r="F74" s="436"/>
      <c r="G74" s="436"/>
      <c r="H74" s="436"/>
      <c r="I74" s="436"/>
      <c r="J74" s="436"/>
      <c r="K74" s="436"/>
      <c r="L74" s="437"/>
      <c r="M74" s="437"/>
      <c r="N74" s="487"/>
      <c r="O74" s="488"/>
      <c r="P74" s="488"/>
      <c r="Q74" s="489"/>
      <c r="R74" s="318" t="str">
        <f>VLOOKUP(C74,'Technology MASTER'!$B$3:$Q$107,3,FALSE)</f>
        <v>Continuous Vulnerability Assessment and Remediation</v>
      </c>
      <c r="S74" s="318" t="str">
        <f>VLOOKUP(C74,'Technology MASTER'!$B$3:$Q$107,4,FALSE)</f>
        <v>Protect</v>
      </c>
      <c r="T74" s="318" t="e">
        <f>HLOOKUP($N$28,'Technology MASTER'!$G$2:$I$107,15,FALSE)</f>
        <v>#N/A</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48" customHeight="1">
      <c r="A75" s="274"/>
      <c r="B75" s="441"/>
      <c r="C75" s="56">
        <v>3.6</v>
      </c>
      <c r="D75" s="436" t="str">
        <f>VLOOKUP(C75,'Technology MASTER'!$B$3:$Q$107,5,FALSE)</f>
        <v>Deploy automated software update tools in order to ensure that third-party software on all systems is running the most recent security updates provided by the software vendor?</v>
      </c>
      <c r="E75" s="436"/>
      <c r="F75" s="436"/>
      <c r="G75" s="436"/>
      <c r="H75" s="436"/>
      <c r="I75" s="436"/>
      <c r="J75" s="436"/>
      <c r="K75" s="436"/>
      <c r="L75" s="437"/>
      <c r="M75" s="437"/>
      <c r="N75" s="487"/>
      <c r="O75" s="488"/>
      <c r="P75" s="488"/>
      <c r="Q75" s="489"/>
      <c r="R75" s="318" t="str">
        <f>VLOOKUP(C75,'Technology MASTER'!$B$3:$Q$107,3,FALSE)</f>
        <v>Continuous Vulnerability Assessment and Remediation</v>
      </c>
      <c r="S75" s="318" t="str">
        <f>VLOOKUP(C75,'Technology MASTER'!$B$3:$Q$107,4,FALSE)</f>
        <v>Protect</v>
      </c>
      <c r="T75" s="318" t="e">
        <f>HLOOKUP($N$28,'Technology MASTER'!$G$2:$I$107,16,FALSE)</f>
        <v>#N/A</v>
      </c>
      <c r="U75" s="318" t="str">
        <f>VLOOKUP(C75,'Technology MASTER'!$B$3:$Q$107,13,FALSE)</f>
        <v>The lack of processes for system maintenance and support may result in compromise of system security due to latest updates not being made to systems in a timely manner.</v>
      </c>
      <c r="V75" s="318" t="str">
        <f>VLOOKUP(C75,'Technology MASTER'!$B$3:$Q$107,16,FALSE)</f>
        <v>Cyber Attack</v>
      </c>
      <c r="W75" s="275"/>
    </row>
    <row r="76" spans="1:23" ht="16">
      <c r="A76" s="274"/>
      <c r="B76" s="394"/>
      <c r="C76" s="394"/>
      <c r="D76" s="394"/>
      <c r="E76" s="394"/>
      <c r="F76" s="394"/>
      <c r="G76" s="394"/>
      <c r="H76" s="394"/>
      <c r="I76" s="394"/>
      <c r="J76" s="394"/>
      <c r="K76" s="394"/>
      <c r="L76" s="394"/>
      <c r="M76" s="394"/>
      <c r="N76" s="394"/>
      <c r="O76" s="394"/>
      <c r="P76" s="394"/>
      <c r="Q76" s="394"/>
      <c r="R76" s="256"/>
      <c r="S76" s="256"/>
      <c r="T76" s="256"/>
      <c r="U76" s="256"/>
      <c r="V76" s="256"/>
      <c r="W76" s="275"/>
    </row>
    <row r="77" spans="1:23" ht="48" customHeight="1">
      <c r="A77" s="274"/>
      <c r="B77" s="439" t="s">
        <v>48</v>
      </c>
      <c r="C77" s="56">
        <v>4.0999999999999996</v>
      </c>
      <c r="D77" s="436" t="str">
        <f>VLOOKUP(C77,'Technology MASTER'!$B$3:$Q$107,5,FALSE)</f>
        <v>Before deploying any new asset, do you change all default passwords to have values consistent with administrative level accounts?</v>
      </c>
      <c r="E77" s="436"/>
      <c r="F77" s="436"/>
      <c r="G77" s="436"/>
      <c r="H77" s="436"/>
      <c r="I77" s="436"/>
      <c r="J77" s="436"/>
      <c r="K77" s="436"/>
      <c r="L77" s="437"/>
      <c r="M77" s="437"/>
      <c r="N77" s="487"/>
      <c r="O77" s="488"/>
      <c r="P77" s="488"/>
      <c r="Q77" s="489"/>
      <c r="R77" s="318" t="str">
        <f>VLOOKUP(C77,'Technology MASTER'!$B$3:$Q$107,3,FALSE)</f>
        <v>Controlled Use of Administrative Privileges</v>
      </c>
      <c r="S77" s="318" t="str">
        <f>VLOOKUP(C77,'Technology MASTER'!$B$3:$Q$107,4,FALSE)</f>
        <v>Protect</v>
      </c>
      <c r="T77" s="318" t="e">
        <f>HLOOKUP($N$28,'Technology MASTER'!$G$2:$I$107,17,FALSE)</f>
        <v>#N/A</v>
      </c>
      <c r="U77" s="318" t="str">
        <f>VLOOKUP(C77,'Technology MASTER'!$B$3:$Q$107,13,FALSE)</f>
        <v>Unauthorized users log on to information systems.</v>
      </c>
      <c r="V77" s="318" t="str">
        <f>VLOOKUP(C77,'Technology MASTER'!$B$3:$Q$107,16,FALSE)</f>
        <v>Unauthorized Access to Systems or Data</v>
      </c>
      <c r="W77" s="275"/>
    </row>
    <row r="78" spans="1:23" ht="48" customHeight="1">
      <c r="A78" s="274"/>
      <c r="B78" s="440"/>
      <c r="C78" s="56">
        <v>4.2</v>
      </c>
      <c r="D78" s="436" t="str">
        <f>VLOOKUP(C78,'Technology MASTER'!$B$3:$Q$107,5,FALSE)</f>
        <v>Do you require that all users with administrative account access have a dedicated or secondary account for elevated activities?</v>
      </c>
      <c r="E78" s="436"/>
      <c r="F78" s="436"/>
      <c r="G78" s="436"/>
      <c r="H78" s="436"/>
      <c r="I78" s="436"/>
      <c r="J78" s="436"/>
      <c r="K78" s="436"/>
      <c r="L78" s="437"/>
      <c r="M78" s="437"/>
      <c r="N78" s="487"/>
      <c r="O78" s="488"/>
      <c r="P78" s="488"/>
      <c r="Q78" s="489"/>
      <c r="R78" s="318" t="str">
        <f>VLOOKUP(C78,'Technology MASTER'!$B$3:$Q$107,3,FALSE)</f>
        <v>Controlled Use of Administrative Privileges</v>
      </c>
      <c r="S78" s="318" t="str">
        <f>VLOOKUP(C78,'Technology MASTER'!$B$3:$Q$107,4,FALSE)</f>
        <v>Protect</v>
      </c>
      <c r="T78" s="318" t="e">
        <f>HLOOKUP($N$28,'Technology MASTER'!$G$2:$I$107,18,FALSE)</f>
        <v>#N/A</v>
      </c>
      <c r="U78" s="318" t="str">
        <f>VLOOKUP(C78,'Technology MASTER'!$B$3:$Q$107,13,FALSE)</f>
        <v>Users expose information systems by not correctly executing their access control responsibilities.</v>
      </c>
      <c r="V78" s="318" t="str">
        <f>VLOOKUP(C78,'Technology MASTER'!$B$3:$Q$107,16,FALSE)</f>
        <v>Unauthorized Access to Systems or Data</v>
      </c>
      <c r="W78" s="275"/>
    </row>
    <row r="79" spans="1:23" ht="48" customHeight="1">
      <c r="A79" s="274"/>
      <c r="B79" s="440"/>
      <c r="C79" s="56">
        <v>4.3</v>
      </c>
      <c r="D79" s="436" t="str">
        <f>VLOOKUP(C79,'Technology MASTER'!$B$3:$Q$107,5,FALSE)</f>
        <v>Do you have an automated tool or process that inventories all administrative accounts, including domain and local accounts, to ensure that only authorized individuals have elevated privileges?</v>
      </c>
      <c r="E79" s="436"/>
      <c r="F79" s="436"/>
      <c r="G79" s="436"/>
      <c r="H79" s="436"/>
      <c r="I79" s="436"/>
      <c r="J79" s="436"/>
      <c r="K79" s="436"/>
      <c r="L79" s="437"/>
      <c r="M79" s="437"/>
      <c r="N79" s="487"/>
      <c r="O79" s="488"/>
      <c r="P79" s="488"/>
      <c r="Q79" s="489"/>
      <c r="R79" s="318" t="str">
        <f>VLOOKUP(C79,'Technology MASTER'!$B$3:$Q$107,3,FALSE)</f>
        <v>Controlled Use of Administrative Privileges</v>
      </c>
      <c r="S79" s="318" t="str">
        <f>VLOOKUP(C79,'Technology MASTER'!$B$3:$Q$107,4,FALSE)</f>
        <v>Detect</v>
      </c>
      <c r="T79" s="318" t="e">
        <f>HLOOKUP($N$28,'Technology MASTER'!$G$2:$I$107,19,FALSE)</f>
        <v>#N/A</v>
      </c>
      <c r="U79" s="318" t="str">
        <f>VLOOKUP(C79,'Technology MASTER'!$B$3:$Q$107,13,FALSE)</f>
        <v>Users gain access to information that is beyond their appropriate level of privilege.</v>
      </c>
      <c r="V79" s="318" t="str">
        <f>VLOOKUP(C79,'Technology MASTER'!$B$3:$Q$107,16,FALSE)</f>
        <v>Unauthorized Access to Systems or Data</v>
      </c>
      <c r="W79" s="275"/>
    </row>
    <row r="80" spans="1:23" ht="48" customHeight="1">
      <c r="A80" s="274"/>
      <c r="B80" s="440"/>
      <c r="C80" s="56">
        <v>4.4000000000000004</v>
      </c>
      <c r="D80" s="436" t="str">
        <f>VLOOKUP(C80,'Technology MASTER'!$B$3:$Q$107,5,FALSE)</f>
        <v>Is there a log entry or alert recorded when an account is added to or removed from an administrators group?</v>
      </c>
      <c r="E80" s="436"/>
      <c r="F80" s="436"/>
      <c r="G80" s="436"/>
      <c r="H80" s="436"/>
      <c r="I80" s="436"/>
      <c r="J80" s="436"/>
      <c r="K80" s="436"/>
      <c r="L80" s="437"/>
      <c r="M80" s="437"/>
      <c r="N80" s="487"/>
      <c r="O80" s="488"/>
      <c r="P80" s="488"/>
      <c r="Q80" s="489"/>
      <c r="R80" s="318" t="str">
        <f>VLOOKUP(C80,'Technology MASTER'!$B$3:$Q$107,3,FALSE)</f>
        <v>Controlled Use of Administrative Privileges</v>
      </c>
      <c r="S80" s="318" t="str">
        <f>VLOOKUP(C80,'Technology MASTER'!$B$3:$Q$107,4,FALSE)</f>
        <v>Detect</v>
      </c>
      <c r="T80" s="318" t="e">
        <f>HLOOKUP($N$28,'Technology MASTER'!$G$2:$I$107,20,FALSE)</f>
        <v>#N/A</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40"/>
      <c r="C81" s="56">
        <v>4.5</v>
      </c>
      <c r="D81" s="436" t="str">
        <f>VLOOKUP(C81,'Technology MASTER'!$B$3:$Q$107,5,FALSE)</f>
        <v>Do you configure systems to issue a log entry and alert on unsuccessful login to an administrative account?</v>
      </c>
      <c r="E81" s="436"/>
      <c r="F81" s="436"/>
      <c r="G81" s="436"/>
      <c r="H81" s="436"/>
      <c r="I81" s="436"/>
      <c r="J81" s="436"/>
      <c r="K81" s="436"/>
      <c r="L81" s="437"/>
      <c r="M81" s="437"/>
      <c r="N81" s="487"/>
      <c r="O81" s="488"/>
      <c r="P81" s="488"/>
      <c r="Q81" s="489"/>
      <c r="R81" s="318" t="str">
        <f>VLOOKUP(C81,'Technology MASTER'!$B$3:$Q$107,3,FALSE)</f>
        <v>Controlled Use of Administrative Privileges</v>
      </c>
      <c r="S81" s="318" t="str">
        <f>VLOOKUP(C81,'Technology MASTER'!$B$3:$Q$107,4,FALSE)</f>
        <v>Detect</v>
      </c>
      <c r="T81" s="318" t="e">
        <f>HLOOKUP($N$28,'Technology MASTER'!$G$2:$I$107,21,FALSE)</f>
        <v>#N/A</v>
      </c>
      <c r="U81" s="318" t="str">
        <f>VLOOKUP(C81,'Technology MASTER'!$B$3:$Q$107,13,FALSE)</f>
        <v>The lack of logging mechanisms to record and store user activities, exceptions, and information security events may result in unauthorized access or activity going undetected.</v>
      </c>
      <c r="V81" s="318" t="str">
        <f>VLOOKUP(C81,'Technology MASTER'!$B$3:$Q$107,16,FALSE)</f>
        <v>Unauthorized Access to Systems or Data</v>
      </c>
      <c r="W81" s="275"/>
    </row>
    <row r="82" spans="1:23" ht="48" customHeight="1">
      <c r="A82" s="274"/>
      <c r="B82" s="440"/>
      <c r="C82" s="56">
        <v>4.5999999999999996</v>
      </c>
      <c r="D82" s="436" t="str">
        <f>VLOOKUP(C82,'Technology MASTER'!$B$3:$Q$107,5,FALSE)</f>
        <v>Where permissible, do you require multi-factor authentication and encrypted channels for all administrative account access?</v>
      </c>
      <c r="E82" s="436"/>
      <c r="F82" s="436"/>
      <c r="G82" s="436"/>
      <c r="H82" s="436"/>
      <c r="I82" s="436"/>
      <c r="J82" s="436"/>
      <c r="K82" s="436"/>
      <c r="L82" s="437"/>
      <c r="M82" s="437"/>
      <c r="N82" s="487"/>
      <c r="O82" s="488"/>
      <c r="P82" s="488"/>
      <c r="Q82" s="489"/>
      <c r="R82" s="318" t="str">
        <f>VLOOKUP(C82,'Technology MASTER'!$B$3:$Q$107,3,FALSE)</f>
        <v>Controlled Use of Administrative Privileges</v>
      </c>
      <c r="S82" s="318" t="str">
        <f>VLOOKUP(C82,'Technology MASTER'!$B$3:$Q$107,4,FALSE)</f>
        <v>Protect</v>
      </c>
      <c r="T82" s="318" t="e">
        <f>HLOOKUP($N$28,'Technology MASTER'!$G$2:$I$107,22,FALSE)</f>
        <v>#N/A</v>
      </c>
      <c r="U82" s="318" t="str">
        <f>VLOOKUP(C82,'Technology MASTER'!$B$3:$Q$107,13,FALSE)</f>
        <v>Unauthorized users are able to gain access to information systems by claiming to be an authorized user.</v>
      </c>
      <c r="V82" s="318" t="str">
        <f>VLOOKUP(C82,'Technology MASTER'!$B$3:$Q$107,16,FALSE)</f>
        <v>Unauthorized Access to Systems or Data</v>
      </c>
      <c r="W82" s="275"/>
    </row>
    <row r="83" spans="1:23" ht="48" customHeight="1">
      <c r="A83" s="274"/>
      <c r="B83" s="440"/>
      <c r="C83" s="56">
        <v>4.7</v>
      </c>
      <c r="D83" s="436" t="str">
        <f>VLOOKUP(C83,'Technology MASTER'!$B$3:$Q$107,5,FALSE)</f>
        <v>Where multi-factor authentication is not supported (such as local administrator, root, or service accounts), accounts will use passwords that are unique to that system?</v>
      </c>
      <c r="E83" s="436"/>
      <c r="F83" s="436"/>
      <c r="G83" s="436"/>
      <c r="H83" s="436"/>
      <c r="I83" s="436"/>
      <c r="J83" s="436"/>
      <c r="K83" s="436"/>
      <c r="L83" s="437"/>
      <c r="M83" s="437"/>
      <c r="N83" s="487"/>
      <c r="O83" s="488"/>
      <c r="P83" s="488"/>
      <c r="Q83" s="489"/>
      <c r="R83" s="318" t="str">
        <f>VLOOKUP(C83,'Technology MASTER'!$B$3:$Q$107,3,FALSE)</f>
        <v>Controlled Use of Administrative Privileges</v>
      </c>
      <c r="S83" s="318" t="str">
        <f>VLOOKUP(C83,'Technology MASTER'!$B$3:$Q$107,4,FALSE)</f>
        <v>Protect</v>
      </c>
      <c r="T83" s="318" t="e">
        <f>HLOOKUP($N$28,'Technology MASTER'!$G$2:$I$107,23,FALSE)</f>
        <v>#N/A</v>
      </c>
      <c r="U83" s="318" t="str">
        <f>VLOOKUP(C83,'Technology MASTER'!$B$3:$Q$107,13,FALSE)</f>
        <v>Unauthorized users log on to information systems.</v>
      </c>
      <c r="V83" s="318" t="str">
        <f>VLOOKUP(C83,'Technology MASTER'!$B$3:$Q$107,16,FALSE)</f>
        <v>Unauthorized Access to Systems or Data</v>
      </c>
      <c r="W83" s="275"/>
    </row>
    <row r="84" spans="1:23" ht="48" customHeight="1">
      <c r="A84" s="274"/>
      <c r="B84" s="441"/>
      <c r="C84" s="56">
        <v>4.8</v>
      </c>
      <c r="D84" s="436" t="str">
        <f>VLOOKUP(C84,'Technology MASTER'!$B$3:$Q$107,5,FALSE)</f>
        <v>Do you limit access to scripting tools (such as Microsoft PowerShell and Python) to only administrative or development users with the need to access those capabilities?</v>
      </c>
      <c r="E84" s="436"/>
      <c r="F84" s="436"/>
      <c r="G84" s="436"/>
      <c r="H84" s="436"/>
      <c r="I84" s="436"/>
      <c r="J84" s="436"/>
      <c r="K84" s="436"/>
      <c r="L84" s="437"/>
      <c r="M84" s="437"/>
      <c r="N84" s="487"/>
      <c r="O84" s="488"/>
      <c r="P84" s="488"/>
      <c r="Q84" s="489"/>
      <c r="R84" s="318" t="str">
        <f>VLOOKUP(C84,'Technology MASTER'!$B$3:$Q$107,3,FALSE)</f>
        <v>Controlled Use of Administrative Privileges</v>
      </c>
      <c r="S84" s="318" t="str">
        <f>VLOOKUP(C84,'Technology MASTER'!$B$3:$Q$107,4,FALSE)</f>
        <v>Protect</v>
      </c>
      <c r="T84" s="318" t="e">
        <f>HLOOKUP($N$28,'Technology MASTER'!$G$2:$I$107,24,FALSE)</f>
        <v>#N/A</v>
      </c>
      <c r="U84" s="318" t="str">
        <f>VLOOKUP(C84,'Technology MASTER'!$B$3:$Q$107,13,FALSE)</f>
        <v>Processes which do not restrict access to information, information processing systems or applications and sensitive business processes based on a need to know basis, may result in accidental or deliberate misuse of access privileges.</v>
      </c>
      <c r="V84" s="318" t="str">
        <f>VLOOKUP(C84,'Technology MASTER'!$B$3:$Q$107,16,FALSE)</f>
        <v>Unauthorized Access to Systems or Data</v>
      </c>
      <c r="W84" s="275"/>
    </row>
    <row r="85" spans="1:23" ht="16">
      <c r="A85" s="274"/>
      <c r="B85" s="394"/>
      <c r="C85" s="394"/>
      <c r="D85" s="394"/>
      <c r="E85" s="394"/>
      <c r="F85" s="394"/>
      <c r="G85" s="394"/>
      <c r="H85" s="394"/>
      <c r="I85" s="394"/>
      <c r="J85" s="394"/>
      <c r="K85" s="394"/>
      <c r="L85" s="394"/>
      <c r="M85" s="394"/>
      <c r="N85" s="394"/>
      <c r="O85" s="394"/>
      <c r="P85" s="394"/>
      <c r="Q85" s="394"/>
      <c r="R85" s="256"/>
      <c r="S85" s="256"/>
      <c r="T85" s="256"/>
      <c r="U85" s="256"/>
      <c r="V85" s="256"/>
      <c r="W85" s="275"/>
    </row>
    <row r="86" spans="1:23" ht="48" customHeight="1">
      <c r="A86" s="274"/>
      <c r="B86" s="439" t="s">
        <v>63</v>
      </c>
      <c r="C86" s="56">
        <v>5.0999999999999996</v>
      </c>
      <c r="D86" s="436" t="str">
        <f>VLOOKUP(C86,'Technology MASTER'!$B$3:$Q$107,5,FALSE)</f>
        <v>Do you maintain documented security configuration standards for all authorized operating systems and software?</v>
      </c>
      <c r="E86" s="436"/>
      <c r="F86" s="436"/>
      <c r="G86" s="436"/>
      <c r="H86" s="436"/>
      <c r="I86" s="436"/>
      <c r="J86" s="436"/>
      <c r="K86" s="436"/>
      <c r="L86" s="437"/>
      <c r="M86" s="437"/>
      <c r="N86" s="487"/>
      <c r="O86" s="488"/>
      <c r="P86" s="488"/>
      <c r="Q86" s="489"/>
      <c r="R86" s="318" t="str">
        <f>VLOOKUP(C86,'Technology MASTER'!$B$3:$Q$107,3,FALSE)</f>
        <v>Secure Configurations for Hardware and Software on Mobile Devices, Laptops, Workstations, and Servers</v>
      </c>
      <c r="S86" s="318" t="str">
        <f>VLOOKUP(C86,'Technology MASTER'!$B$3:$Q$107,4,FALSE)</f>
        <v>Protect</v>
      </c>
      <c r="T86" s="318" t="e">
        <f>HLOOKUP($N$28,'Technology MASTER'!$G$2:$I$107,25,FALSE)</f>
        <v>#N/A</v>
      </c>
      <c r="U86" s="318" t="str">
        <f>VLOOKUP(C86,'Technology MASTER'!$B$3:$Q$107,13,FALSE)</f>
        <v>Configuration standards do not exist for systems being implemented.</v>
      </c>
      <c r="V86" s="318" t="str">
        <f>VLOOKUP(C86,'Technology MASTER'!$B$3:$Q$107,16,FALSE)</f>
        <v>Unauthorized Access to Systems or Data</v>
      </c>
      <c r="W86" s="275"/>
    </row>
    <row r="87" spans="1:23" ht="48" customHeight="1">
      <c r="A87" s="274"/>
      <c r="B87" s="440"/>
      <c r="C87" s="56">
        <v>5.2</v>
      </c>
      <c r="D87" s="436" t="str">
        <f>VLOOKUP(C87,'Technology MASTER'!$B$3:$Q$107,5,FALSE)</f>
        <v>Do you maintain secure images or templates for all systems in the enterprise based on the organization's approved configuration standards?</v>
      </c>
      <c r="E87" s="436"/>
      <c r="F87" s="436"/>
      <c r="G87" s="436"/>
      <c r="H87" s="436"/>
      <c r="I87" s="436"/>
      <c r="J87" s="436"/>
      <c r="K87" s="436"/>
      <c r="L87" s="437"/>
      <c r="M87" s="437"/>
      <c r="N87" s="487"/>
      <c r="O87" s="488"/>
      <c r="P87" s="488"/>
      <c r="Q87" s="489"/>
      <c r="R87" s="318" t="str">
        <f>VLOOKUP(C87,'Technology MASTER'!$B$3:$Q$107,3,FALSE)</f>
        <v>Secure Configurations for Hardware and Software on Mobile Devices, Laptops, Workstations, and Servers</v>
      </c>
      <c r="S87" s="318" t="str">
        <f>VLOOKUP(C87,'Technology MASTER'!$B$3:$Q$107,4,FALSE)</f>
        <v>Protect</v>
      </c>
      <c r="T87" s="318" t="e">
        <f>HLOOKUP($N$28,'Technology MASTER'!$G$2:$I$107,26,FALSE)</f>
        <v>#N/A</v>
      </c>
      <c r="U87" s="318" t="str">
        <f>VLOOKUP(C87,'Technology MASTER'!$B$3:$Q$107,13,FALSE)</f>
        <v>Changes to systems and applications are executed inconsistently in the production environment due to ill-defined procedures.</v>
      </c>
      <c r="V87" s="318" t="str">
        <f>VLOOKUP(C87,'Technology MASTER'!$B$3:$Q$107,16,FALSE)</f>
        <v>Unauthorized Access to Systems or Data</v>
      </c>
      <c r="W87" s="275"/>
    </row>
    <row r="88" spans="1:23" ht="48" customHeight="1">
      <c r="A88" s="274"/>
      <c r="B88" s="440"/>
      <c r="C88" s="56">
        <v>5.3</v>
      </c>
      <c r="D88" s="436" t="str">
        <f>VLOOKUP(C88,'Technology MASTER'!$B$3:$Q$107,5,FALSE)</f>
        <v>Do you store the master images and templates on securely configured servers, validated with integrity monitoring tools, to ensure that only authorized changes to the images are possible?</v>
      </c>
      <c r="E88" s="436"/>
      <c r="F88" s="436"/>
      <c r="G88" s="436"/>
      <c r="H88" s="436"/>
      <c r="I88" s="436"/>
      <c r="J88" s="436"/>
      <c r="K88" s="436"/>
      <c r="L88" s="437"/>
      <c r="M88" s="437"/>
      <c r="N88" s="487"/>
      <c r="O88" s="488"/>
      <c r="P88" s="488"/>
      <c r="Q88" s="489"/>
      <c r="R88" s="318" t="str">
        <f>VLOOKUP(C88,'Technology MASTER'!$B$3:$Q$107,3,FALSE)</f>
        <v>Secure Configurations for Hardware and Software on Mobile Devices, Laptops, Workstations, and Servers</v>
      </c>
      <c r="S88" s="318" t="str">
        <f>VLOOKUP(C88,'Technology MASTER'!$B$3:$Q$107,4,FALSE)</f>
        <v>Protect</v>
      </c>
      <c r="T88" s="318" t="e">
        <f>HLOOKUP($N$28,'Technology MASTER'!$G$2:$I$107,27,FALSE)</f>
        <v>#N/A</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48" customHeight="1">
      <c r="A89" s="274"/>
      <c r="B89" s="441"/>
      <c r="C89" s="56">
        <v>5.4</v>
      </c>
      <c r="D89" s="436" t="str">
        <f>VLOOKUP(C89,'Technology MASTER'!$B$3:$Q$107,5,FALSE)</f>
        <v>Do you have a system configuration management tool or process that will detect system drift from the secure "master" image?</v>
      </c>
      <c r="E89" s="436"/>
      <c r="F89" s="436"/>
      <c r="G89" s="436"/>
      <c r="H89" s="436"/>
      <c r="I89" s="436"/>
      <c r="J89" s="436"/>
      <c r="K89" s="436"/>
      <c r="L89" s="437"/>
      <c r="M89" s="437"/>
      <c r="N89" s="487"/>
      <c r="O89" s="488"/>
      <c r="P89" s="488"/>
      <c r="Q89" s="489"/>
      <c r="R89" s="318" t="str">
        <f>VLOOKUP(C89,'Technology MASTER'!$B$3:$Q$107,3,FALSE)</f>
        <v>Secure Configurations for Hardware and Software on Mobile Devices, Laptops, Workstations, and Servers</v>
      </c>
      <c r="S89" s="318" t="str">
        <f>VLOOKUP(C89,'Technology MASTER'!$B$3:$Q$107,4,FALSE)</f>
        <v>Detect</v>
      </c>
      <c r="T89" s="318" t="e">
        <f>HLOOKUP($N$28,'Technology MASTER'!$G$2:$I$107,28,FALSE)</f>
        <v>#N/A</v>
      </c>
      <c r="U89" s="318" t="str">
        <f>VLOOKUP(C89,'Technology MASTER'!$B$3:$Q$107,13,FALSE)</f>
        <v>Changes to the production environment are not operating as expected and may disrupt the production environment.</v>
      </c>
      <c r="V89" s="318" t="str">
        <f>VLOOKUP(C89,'Technology MASTER'!$B$3:$Q$107,16,FALSE)</f>
        <v>Unauthorized Access to Systems or Data</v>
      </c>
      <c r="W89" s="275"/>
    </row>
    <row r="90" spans="1:23" ht="16">
      <c r="A90" s="274"/>
      <c r="B90" s="394"/>
      <c r="C90" s="394"/>
      <c r="D90" s="394"/>
      <c r="E90" s="394"/>
      <c r="F90" s="394"/>
      <c r="G90" s="394"/>
      <c r="H90" s="394"/>
      <c r="I90" s="394"/>
      <c r="J90" s="394"/>
      <c r="K90" s="394"/>
      <c r="L90" s="394"/>
      <c r="M90" s="394"/>
      <c r="N90" s="394"/>
      <c r="O90" s="394"/>
      <c r="P90" s="394"/>
      <c r="Q90" s="394"/>
      <c r="R90" s="256"/>
      <c r="S90" s="256"/>
      <c r="T90" s="256"/>
      <c r="U90" s="256"/>
      <c r="V90" s="256"/>
      <c r="W90" s="275"/>
    </row>
    <row r="91" spans="1:23" ht="48" customHeight="1">
      <c r="A91" s="274"/>
      <c r="B91" s="439" t="s">
        <v>73</v>
      </c>
      <c r="C91" s="56">
        <v>6.1</v>
      </c>
      <c r="D91" s="436" t="str">
        <f>VLOOKUP(C91,'Technology MASTER'!$B$3:$Q$107,5,FALSE)</f>
        <v>Is local logging enabled on all systems and networking devices?</v>
      </c>
      <c r="E91" s="436"/>
      <c r="F91" s="436"/>
      <c r="G91" s="436"/>
      <c r="H91" s="436"/>
      <c r="I91" s="436"/>
      <c r="J91" s="436"/>
      <c r="K91" s="436"/>
      <c r="L91" s="437"/>
      <c r="M91" s="437"/>
      <c r="N91" s="487"/>
      <c r="O91" s="488"/>
      <c r="P91" s="488"/>
      <c r="Q91" s="489"/>
      <c r="R91" s="318" t="str">
        <f>VLOOKUP(C91,'Technology MASTER'!$B$3:$Q$107,3,FALSE)</f>
        <v>Maintenance, Monitoring, and Analysis of Audit Logs</v>
      </c>
      <c r="S91" s="318" t="str">
        <f>VLOOKUP(C91,'Technology MASTER'!$B$3:$Q$107,4,FALSE)</f>
        <v>Detect</v>
      </c>
      <c r="T91" s="318" t="e">
        <f>HLOOKUP($N$28,'Technology MASTER'!$G$2:$I$107,29,FALSE)</f>
        <v>#N/A</v>
      </c>
      <c r="U91" s="318" t="str">
        <f>VLOOKUP(C91,'Technology MASTER'!$B$3:$Q$107,13,FALSE)</f>
        <v>System failure is not detected in a timely fashion due to inadequate fault logging and monitoring capabilities.</v>
      </c>
      <c r="V91" s="318" t="str">
        <f>VLOOKUP(C91,'Technology MASTER'!$B$3:$Q$107,16,FALSE)</f>
        <v>Cyber Attack</v>
      </c>
      <c r="W91" s="275"/>
    </row>
    <row r="92" spans="1:23" ht="48" customHeight="1">
      <c r="A92" s="274"/>
      <c r="B92" s="440"/>
      <c r="C92" s="56">
        <v>6.2</v>
      </c>
      <c r="D92" s="436" t="str">
        <f>VLOOKUP(C92,'Technology MASTER'!$B$3:$Q$107,5,FALSE)</f>
        <v>Does system logging  include detailed information such as an event source, date, user, timestamp, source addresses, destination addresses, and other useful elements?</v>
      </c>
      <c r="E92" s="436"/>
      <c r="F92" s="436"/>
      <c r="G92" s="436"/>
      <c r="H92" s="436"/>
      <c r="I92" s="436"/>
      <c r="J92" s="436"/>
      <c r="K92" s="436"/>
      <c r="L92" s="437"/>
      <c r="M92" s="437"/>
      <c r="N92" s="487"/>
      <c r="O92" s="488"/>
      <c r="P92" s="488"/>
      <c r="Q92" s="489"/>
      <c r="R92" s="318" t="str">
        <f>VLOOKUP(C92,'Technology MASTER'!$B$3:$Q$107,3,FALSE)</f>
        <v>Maintenance, Monitoring, and Analysis of Audit Logs</v>
      </c>
      <c r="S92" s="318" t="str">
        <f>VLOOKUP(C92,'Technology MASTER'!$B$3:$Q$107,4,FALSE)</f>
        <v>Detect</v>
      </c>
      <c r="T92" s="318" t="e">
        <f>HLOOKUP($N$28,'Technology MASTER'!$G$2:$I$107,30,FALSE)</f>
        <v>#N/A</v>
      </c>
      <c r="U92" s="318" t="str">
        <f>VLOOKUP(C92,'Technology MASTER'!$B$3:$Q$107,13,FALSE)</f>
        <v>Unauthorized access and activity is undetected due to incomplete log information.</v>
      </c>
      <c r="V92" s="318" t="str">
        <f>VLOOKUP(C92,'Technology MASTER'!$B$3:$Q$107,16,FALSE)</f>
        <v>Cyber Attack</v>
      </c>
      <c r="W92" s="275"/>
    </row>
    <row r="93" spans="1:23" ht="48" customHeight="1">
      <c r="A93" s="274"/>
      <c r="B93" s="440"/>
      <c r="C93" s="56">
        <v>6.3</v>
      </c>
      <c r="D93" s="436" t="str">
        <f>VLOOKUP(C93,'Technology MASTER'!$B$3:$Q$107,5,FALSE)</f>
        <v>Do all systems that store logs have adequate storage space for the logs generated?</v>
      </c>
      <c r="E93" s="436"/>
      <c r="F93" s="436"/>
      <c r="G93" s="436"/>
      <c r="H93" s="436"/>
      <c r="I93" s="436"/>
      <c r="J93" s="436"/>
      <c r="K93" s="436"/>
      <c r="L93" s="437"/>
      <c r="M93" s="437"/>
      <c r="N93" s="487"/>
      <c r="O93" s="488"/>
      <c r="P93" s="488"/>
      <c r="Q93" s="489"/>
      <c r="R93" s="318" t="str">
        <f>VLOOKUP(C93,'Technology MASTER'!$B$3:$Q$107,3,FALSE)</f>
        <v>Maintenance, Monitoring, and Analysis of Audit Logs</v>
      </c>
      <c r="S93" s="318" t="str">
        <f>VLOOKUP(C93,'Technology MASTER'!$B$3:$Q$107,4,FALSE)</f>
        <v>Detect</v>
      </c>
      <c r="T93" s="318" t="e">
        <f>HLOOKUP($N$28,'Technology MASTER'!$G$2:$I$107,31,FALSE)</f>
        <v>#N/A</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440"/>
      <c r="C94" s="56">
        <v>6.4</v>
      </c>
      <c r="D94" s="436" t="str">
        <f>VLOOKUP(C94,'Technology MASTER'!$B$3:$Q$107,5,FALSE)</f>
        <v>Are logs are being aggregated to a central log management system for analysis and review?</v>
      </c>
      <c r="E94" s="436"/>
      <c r="F94" s="436"/>
      <c r="G94" s="436"/>
      <c r="H94" s="436"/>
      <c r="I94" s="436"/>
      <c r="J94" s="436"/>
      <c r="K94" s="436"/>
      <c r="L94" s="437"/>
      <c r="M94" s="437"/>
      <c r="N94" s="487"/>
      <c r="O94" s="488"/>
      <c r="P94" s="488"/>
      <c r="Q94" s="489"/>
      <c r="R94" s="318" t="str">
        <f>VLOOKUP(C94,'Technology MASTER'!$B$3:$Q$107,3,FALSE)</f>
        <v>Maintenance, Monitoring, and Analysis of Audit Logs</v>
      </c>
      <c r="S94" s="318" t="str">
        <f>VLOOKUP(C94,'Technology MASTER'!$B$3:$Q$107,4,FALSE)</f>
        <v>Detect</v>
      </c>
      <c r="T94" s="318" t="e">
        <f>HLOOKUP($N$28,'Technology MASTER'!$G$2:$I$107,32,FALSE)</f>
        <v>#N/A</v>
      </c>
      <c r="U94" s="318" t="str">
        <f>VLOOKUP(C94,'Technology MASTER'!$B$3:$Q$107,13,FALSE)</f>
        <v>Logging facilities and log information is compromised and tampered with due to inadequate data protection mechanisms.</v>
      </c>
      <c r="V94" s="318" t="str">
        <f>VLOOKUP(C94,'Technology MASTER'!$B$3:$Q$107,16,FALSE)</f>
        <v>Cyber Attack</v>
      </c>
      <c r="W94" s="275"/>
    </row>
    <row r="95" spans="1:23" ht="48" customHeight="1">
      <c r="A95" s="274"/>
      <c r="B95" s="441"/>
      <c r="C95" s="56">
        <v>6.5</v>
      </c>
      <c r="D95" s="436" t="str">
        <f>VLOOKUP(C95,'Technology MASTER'!$B$3:$Q$107,5,FALSE)</f>
        <v>On a regular basis, is there a review of the logs to identify anomalies or abnormal events?</v>
      </c>
      <c r="E95" s="436"/>
      <c r="F95" s="436"/>
      <c r="G95" s="436"/>
      <c r="H95" s="436"/>
      <c r="I95" s="436"/>
      <c r="J95" s="436"/>
      <c r="K95" s="436"/>
      <c r="L95" s="437"/>
      <c r="M95" s="437"/>
      <c r="N95" s="487"/>
      <c r="O95" s="488"/>
      <c r="P95" s="488"/>
      <c r="Q95" s="489"/>
      <c r="R95" s="318" t="str">
        <f>VLOOKUP(C95,'Technology MASTER'!$B$3:$Q$107,3,FALSE)</f>
        <v>Maintenance, Monitoring, and Analysis of Audit Logs</v>
      </c>
      <c r="S95" s="318" t="str">
        <f>VLOOKUP(C95,'Technology MASTER'!$B$3:$Q$107,4,FALSE)</f>
        <v>Detect</v>
      </c>
      <c r="T95" s="318" t="e">
        <f>HLOOKUP($N$28,'Technology MASTER'!$G$2:$I$107,33,FALSE)</f>
        <v>#N/A</v>
      </c>
      <c r="U95" s="318" t="str">
        <f>VLOOKUP(C95,'Technology MASTER'!$B$3:$Q$107,13,FALSE)</f>
        <v>Independent reviews of information security are not regularly performed to ensure the continuing suitability, adequacy, and effectiveness of the organization's information security program.</v>
      </c>
      <c r="V95" s="318" t="str">
        <f>VLOOKUP(C95,'Technology MASTER'!$B$3:$Q$107,16,FALSE)</f>
        <v>Cyber Attack</v>
      </c>
      <c r="W95" s="275"/>
    </row>
    <row r="96" spans="1:23" ht="16">
      <c r="A96" s="274"/>
      <c r="B96" s="394"/>
      <c r="C96" s="394"/>
      <c r="D96" s="394"/>
      <c r="E96" s="394"/>
      <c r="F96" s="394"/>
      <c r="G96" s="394"/>
      <c r="H96" s="394"/>
      <c r="I96" s="394"/>
      <c r="J96" s="394"/>
      <c r="K96" s="394"/>
      <c r="L96" s="394"/>
      <c r="M96" s="394"/>
      <c r="N96" s="394"/>
      <c r="O96" s="394"/>
      <c r="P96" s="394"/>
      <c r="Q96" s="394"/>
      <c r="R96" s="256"/>
      <c r="S96" s="256"/>
      <c r="T96" s="256"/>
      <c r="U96" s="256"/>
      <c r="V96" s="256"/>
      <c r="W96" s="275"/>
    </row>
    <row r="97" spans="1:23" ht="48" customHeight="1">
      <c r="A97" s="274"/>
      <c r="B97" s="439" t="s">
        <v>83</v>
      </c>
      <c r="C97" s="56">
        <v>7.1</v>
      </c>
      <c r="D97" s="436" t="str">
        <f>VLOOKUP(C97,'Technology MASTER'!$B$3:$Q$107,5,FALSE)</f>
        <v>Are only supported web browsers and email clients allowed to execute within the organization?</v>
      </c>
      <c r="E97" s="436"/>
      <c r="F97" s="436"/>
      <c r="G97" s="436"/>
      <c r="H97" s="436"/>
      <c r="I97" s="436"/>
      <c r="J97" s="436"/>
      <c r="K97" s="436"/>
      <c r="L97" s="437"/>
      <c r="M97" s="437"/>
      <c r="N97" s="487"/>
      <c r="O97" s="488"/>
      <c r="P97" s="488"/>
      <c r="Q97" s="489"/>
      <c r="R97" s="318" t="str">
        <f>VLOOKUP(C97,'Technology MASTER'!$B$3:$Q$107,3,FALSE)</f>
        <v>Email and Web Browser Protections</v>
      </c>
      <c r="S97" s="318" t="str">
        <f>VLOOKUP(C97,'Technology MASTER'!$B$3:$Q$107,4,FALSE)</f>
        <v>Protect</v>
      </c>
      <c r="T97" s="318" t="e">
        <f>HLOOKUP($N$28,'Technology MASTER'!$G$2:$I$107,34,FALSE)</f>
        <v>#N/A</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40"/>
      <c r="C98" s="56">
        <v>7.2</v>
      </c>
      <c r="D98" s="436" t="str">
        <f>VLOOKUP(C98,'Technology MASTER'!$B$3:$Q$107,5,FALSE)</f>
        <v>Does your organization uninstall or disable any unauthorized browser or email client plugins or add-on applications?</v>
      </c>
      <c r="E98" s="436"/>
      <c r="F98" s="436"/>
      <c r="G98" s="436"/>
      <c r="H98" s="436"/>
      <c r="I98" s="436"/>
      <c r="J98" s="436"/>
      <c r="K98" s="436"/>
      <c r="L98" s="437"/>
      <c r="M98" s="437"/>
      <c r="N98" s="487"/>
      <c r="O98" s="488"/>
      <c r="P98" s="488"/>
      <c r="Q98" s="489"/>
      <c r="R98" s="318" t="str">
        <f>VLOOKUP(C98,'Technology MASTER'!$B$3:$Q$107,3,FALSE)</f>
        <v>Email and Web Browser Protections</v>
      </c>
      <c r="S98" s="318" t="str">
        <f>VLOOKUP(C98,'Technology MASTER'!$B$3:$Q$107,4,FALSE)</f>
        <v>Protect</v>
      </c>
      <c r="T98" s="318" t="e">
        <f>HLOOKUP($N$28,'Technology MASTER'!$G$2:$I$107,35,FALSE)</f>
        <v>#N/A</v>
      </c>
      <c r="U98" s="318" t="str">
        <f>VLOOKUP(C98,'Technology MASTER'!$B$3:$Q$107,13,FALSE)</f>
        <v>Networks and supporting infrastructure are exposed to unauthorized parties due to lack of defined network security and administration policies, procedures and standards.</v>
      </c>
      <c r="V98" s="318" t="str">
        <f>VLOOKUP(C98,'Technology MASTER'!$B$3:$Q$107,16,FALSE)</f>
        <v>Cyber Attack</v>
      </c>
      <c r="W98" s="275"/>
    </row>
    <row r="99" spans="1:23" ht="48" customHeight="1">
      <c r="A99" s="274"/>
      <c r="B99" s="440"/>
      <c r="C99" s="56">
        <v>7.3</v>
      </c>
      <c r="D99" s="436" t="str">
        <f>VLOOKUP(C99,'Technology MASTER'!$B$3:$Q$107,5,FALSE)</f>
        <v>Do you have a network-based URL filter that limit a system's ability to connect to websites not approved by the organization?</v>
      </c>
      <c r="E99" s="436"/>
      <c r="F99" s="436"/>
      <c r="G99" s="436"/>
      <c r="H99" s="436"/>
      <c r="I99" s="436"/>
      <c r="J99" s="436"/>
      <c r="K99" s="436"/>
      <c r="L99" s="437"/>
      <c r="M99" s="437"/>
      <c r="N99" s="487"/>
      <c r="O99" s="488"/>
      <c r="P99" s="488"/>
      <c r="Q99" s="489"/>
      <c r="R99" s="318" t="str">
        <f>VLOOKUP(C99,'Technology MASTER'!$B$3:$Q$107,3,FALSE)</f>
        <v>Email and Web Browser Protections</v>
      </c>
      <c r="S99" s="318" t="str">
        <f>VLOOKUP(C99,'Technology MASTER'!$B$3:$Q$107,4,FALSE)</f>
        <v>Protect</v>
      </c>
      <c r="T99" s="318" t="e">
        <f>HLOOKUP($N$28,'Technology MASTER'!$G$2:$I$107,36,FALSE)</f>
        <v>#N/A</v>
      </c>
      <c r="U99" s="318" t="str">
        <f>VLOOKUP(C99,'Technology MASTER'!$B$3:$Q$107,13,FALSE)</f>
        <v>Laptops and mobile devices bypass the proxy server when used outside of the LAN. Ransomware may attack systems when they are out of the office LAN.</v>
      </c>
      <c r="V99" s="318" t="str">
        <f>VLOOKUP(C99,'Technology MASTER'!$B$3:$Q$107,16,FALSE)</f>
        <v>Cyber Attack</v>
      </c>
      <c r="W99" s="275"/>
    </row>
    <row r="100" spans="1:23" ht="48" customHeight="1">
      <c r="A100" s="274"/>
      <c r="B100" s="440"/>
      <c r="C100" s="56">
        <v>7.4</v>
      </c>
      <c r="D100" s="436" t="str">
        <f>VLOOKUP(C100,'Technology MASTER'!$B$3:$Q$107,5,FALSE)</f>
        <v>Do you log all URL requests from each of the organization's systems, whether on-site or a mobile device, in order to identify potentially malicious activity and assist incident handlers with identifying potentially compromised systems?</v>
      </c>
      <c r="E100" s="436"/>
      <c r="F100" s="436"/>
      <c r="G100" s="436"/>
      <c r="H100" s="436"/>
      <c r="I100" s="436"/>
      <c r="J100" s="436"/>
      <c r="K100" s="436"/>
      <c r="L100" s="437"/>
      <c r="M100" s="437"/>
      <c r="N100" s="487"/>
      <c r="O100" s="488"/>
      <c r="P100" s="488"/>
      <c r="Q100" s="489"/>
      <c r="R100" s="318" t="str">
        <f>VLOOKUP(C100,'Technology MASTER'!$B$3:$Q$107,3,FALSE)</f>
        <v>Email and Web Browser Protections</v>
      </c>
      <c r="S100" s="318" t="str">
        <f>VLOOKUP(C100,'Technology MASTER'!$B$3:$Q$107,4,FALSE)</f>
        <v>Detect</v>
      </c>
      <c r="T100" s="318" t="e">
        <f>HLOOKUP($N$28,'Technology MASTER'!$G$2:$I$107,37,FALSE)</f>
        <v>#N/A</v>
      </c>
      <c r="U100" s="318" t="str">
        <f>VLOOKUP(C100,'Technology MASTER'!$B$3:$Q$107,13,FALSE)</f>
        <v>Unauthorized, malicious code is executed on systems without authorization.</v>
      </c>
      <c r="V100" s="318" t="str">
        <f>VLOOKUP(C100,'Technology MASTER'!$B$3:$Q$107,16,FALSE)</f>
        <v>Cyber Attack</v>
      </c>
      <c r="W100" s="275"/>
    </row>
    <row r="101" spans="1:23" ht="48" customHeight="1">
      <c r="A101" s="274"/>
      <c r="B101" s="440"/>
      <c r="C101" s="56">
        <v>7.5</v>
      </c>
      <c r="D101" s="436" t="str">
        <f>VLOOKUP(C101,'Technology MASTER'!$B$3:$Q$107,5,FALSE)</f>
        <v>Has the organization implemented Domain-based Message Authentication, Reporting and Conformance (DMARC), starting by implementing the Sender Policy Framework (SPF) and the DomainKeys Identified Mail(DKIM) standards?</v>
      </c>
      <c r="E101" s="436"/>
      <c r="F101" s="436"/>
      <c r="G101" s="436"/>
      <c r="H101" s="436"/>
      <c r="I101" s="436"/>
      <c r="J101" s="436"/>
      <c r="K101" s="436"/>
      <c r="L101" s="437"/>
      <c r="M101" s="437"/>
      <c r="N101" s="487"/>
      <c r="O101" s="488"/>
      <c r="P101" s="488"/>
      <c r="Q101" s="489"/>
      <c r="R101" s="318" t="str">
        <f>VLOOKUP(C101,'Technology MASTER'!$B$3:$Q$107,3,FALSE)</f>
        <v>Email and Web Browser Protections</v>
      </c>
      <c r="S101" s="318" t="str">
        <f>VLOOKUP(C101,'Technology MASTER'!$B$3:$Q$107,4,FALSE)</f>
        <v>Protect</v>
      </c>
      <c r="T101" s="318" t="e">
        <f>HLOOKUP($N$28,'Technology MASTER'!$G$2:$I$107,38,FALSE)</f>
        <v>#N/A</v>
      </c>
      <c r="U101" s="318" t="str">
        <f>VLOOKUP(C101,'Technology MASTER'!$B$3:$Q$107,13,FALSE)</f>
        <v>Configuration standards do not exist for systems being implemented.</v>
      </c>
      <c r="V101" s="318" t="str">
        <f>VLOOKUP(C101,'Technology MASTER'!$B$3:$Q$107,16,FALSE)</f>
        <v>Cyber Attack</v>
      </c>
      <c r="W101" s="275"/>
    </row>
    <row r="102" spans="1:23" ht="48" customHeight="1">
      <c r="A102" s="274"/>
      <c r="B102" s="441"/>
      <c r="C102" s="56">
        <v>7.6</v>
      </c>
      <c r="D102" s="436" t="str">
        <f>VLOOKUP(C102,'Technology MASTER'!$B$3:$Q$107,5,FALSE)</f>
        <v>Has the organization blocked all e-mail attachments entering the organization's e-mail gateway if the file types are unnecessary for the organization's business?</v>
      </c>
      <c r="E102" s="436"/>
      <c r="F102" s="436"/>
      <c r="G102" s="436"/>
      <c r="H102" s="436"/>
      <c r="I102" s="436"/>
      <c r="J102" s="436"/>
      <c r="K102" s="436"/>
      <c r="L102" s="437"/>
      <c r="M102" s="437"/>
      <c r="N102" s="487"/>
      <c r="O102" s="488"/>
      <c r="P102" s="488"/>
      <c r="Q102" s="489"/>
      <c r="R102" s="318" t="str">
        <f>VLOOKUP(C102,'Technology MASTER'!$B$3:$Q$107,3,FALSE)</f>
        <v>Email and Web Browser Protections</v>
      </c>
      <c r="S102" s="318" t="str">
        <f>VLOOKUP(C102,'Technology MASTER'!$B$3:$Q$107,4,FALSE)</f>
        <v>Protect</v>
      </c>
      <c r="T102" s="318" t="e">
        <f>HLOOKUP($N$28,'Technology MASTER'!$G$2:$I$107,39,FALSE)</f>
        <v>#N/A</v>
      </c>
      <c r="U102" s="318" t="str">
        <f>VLOOKUP(C102,'Technology MASTER'!$B$3:$Q$107,13,FALSE)</f>
        <v>Unauthorized, malicious code is executed on systems without authorization.</v>
      </c>
      <c r="V102" s="318" t="str">
        <f>VLOOKUP(C102,'Technology MASTER'!$B$3:$Q$107,16,FALSE)</f>
        <v>Cyber Attack</v>
      </c>
      <c r="W102" s="275"/>
    </row>
    <row r="103" spans="1:23" ht="16">
      <c r="A103" s="274"/>
      <c r="B103" s="394"/>
      <c r="C103" s="394"/>
      <c r="D103" s="394"/>
      <c r="E103" s="394"/>
      <c r="F103" s="394"/>
      <c r="G103" s="394"/>
      <c r="H103" s="394"/>
      <c r="I103" s="394"/>
      <c r="J103" s="394"/>
      <c r="K103" s="394"/>
      <c r="L103" s="394"/>
      <c r="M103" s="394"/>
      <c r="N103" s="394"/>
      <c r="O103" s="394"/>
      <c r="P103" s="394"/>
      <c r="Q103" s="394"/>
      <c r="R103" s="256"/>
      <c r="S103" s="256"/>
      <c r="T103" s="256"/>
      <c r="U103" s="256"/>
      <c r="V103" s="256"/>
      <c r="W103" s="275"/>
    </row>
    <row r="104" spans="1:23" ht="48" customHeight="1">
      <c r="A104" s="274"/>
      <c r="B104" s="439" t="s">
        <v>88</v>
      </c>
      <c r="C104" s="56">
        <v>8.1</v>
      </c>
      <c r="D104" s="436" t="str">
        <f>VLOOKUP(C104,'Technology MASTER'!$B$3:$Q$107,5,FALSE)</f>
        <v>Do you have a centrally managed anti-malware software to continously monitor and defend each of the organizations workstations and servers?</v>
      </c>
      <c r="E104" s="436"/>
      <c r="F104" s="436"/>
      <c r="G104" s="436"/>
      <c r="H104" s="436"/>
      <c r="I104" s="436"/>
      <c r="J104" s="436"/>
      <c r="K104" s="436"/>
      <c r="L104" s="437"/>
      <c r="M104" s="437"/>
      <c r="N104" s="487"/>
      <c r="O104" s="488"/>
      <c r="P104" s="488"/>
      <c r="Q104" s="489"/>
      <c r="R104" s="318" t="str">
        <f>VLOOKUP(C104,'Technology MASTER'!$B$3:$Q$107,3,FALSE)</f>
        <v>Malware Defenses</v>
      </c>
      <c r="S104" s="318" t="str">
        <f>VLOOKUP(C104,'Technology MASTER'!$B$3:$Q$107,4,FALSE)</f>
        <v>Protect</v>
      </c>
      <c r="T104" s="318" t="e">
        <f>HLOOKUP($N$28,'Technology MASTER'!$G$2:$I$107,40,FALSE)</f>
        <v>#N/A</v>
      </c>
      <c r="U104" s="318" t="str">
        <f>VLOOKUP(C104,'Technology MASTER'!$B$3:$Q$107,13,FALSE)</f>
        <v>End-users may be victims of phishing over personal email services that they can access from offices and on work computers.</v>
      </c>
      <c r="V104" s="318" t="str">
        <f>VLOOKUP(C104,'Technology MASTER'!$B$3:$Q$107,16,FALSE)</f>
        <v>Cyber Attack</v>
      </c>
      <c r="W104" s="275"/>
    </row>
    <row r="105" spans="1:23" ht="48" customHeight="1">
      <c r="A105" s="274"/>
      <c r="B105" s="440"/>
      <c r="C105" s="56">
        <v>8.1999999999999993</v>
      </c>
      <c r="D105" s="436" t="str">
        <f>VLOOKUP(C105,'Technology MASTER'!$B$3:$Q$107,5,FALSE)</f>
        <v>Does the anti-malware software updates its scanning engine and signature database on a regular basis?</v>
      </c>
      <c r="E105" s="436"/>
      <c r="F105" s="436"/>
      <c r="G105" s="436"/>
      <c r="H105" s="436"/>
      <c r="I105" s="436"/>
      <c r="J105" s="436"/>
      <c r="K105" s="436"/>
      <c r="L105" s="437"/>
      <c r="M105" s="437"/>
      <c r="N105" s="487"/>
      <c r="O105" s="488"/>
      <c r="P105" s="488"/>
      <c r="Q105" s="489"/>
      <c r="R105" s="318" t="str">
        <f>VLOOKUP(C105,'Technology MASTER'!$B$3:$Q$107,3,FALSE)</f>
        <v>Malware Defenses</v>
      </c>
      <c r="S105" s="318" t="str">
        <f>VLOOKUP(C105,'Technology MASTER'!$B$3:$Q$107,4,FALSE)</f>
        <v>Protect</v>
      </c>
      <c r="T105" s="318" t="e">
        <f>HLOOKUP($N$28,'Technology MASTER'!$G$2:$I$107,41,FALSE)</f>
        <v>#N/A</v>
      </c>
      <c r="U105" s="318" t="str">
        <f>VLOOKUP(C105,'Technology MASTER'!$B$3:$Q$107,13,FALSE)</f>
        <v>The lack of processes for system maintenance and support may result in compromise of system security due to latest updates not being made to systems in a timely manner.</v>
      </c>
      <c r="V105" s="318" t="str">
        <f>VLOOKUP(C105,'Technology MASTER'!$B$3:$Q$107,16,FALSE)</f>
        <v>Cyber Attack</v>
      </c>
      <c r="W105" s="275"/>
    </row>
    <row r="106" spans="1:23" ht="48" customHeight="1">
      <c r="A106" s="274"/>
      <c r="B106" s="440"/>
      <c r="C106" s="56">
        <v>8.3000000000000007</v>
      </c>
      <c r="D106" s="436" t="str">
        <f>VLOOKUP(C106,'Technology MASTER'!$B$3:$Q$107,5,FALSE)</f>
        <v>Are devices configured to automatically conduct anti-malware scan of removable media when inserted or connected?</v>
      </c>
      <c r="E106" s="436"/>
      <c r="F106" s="436"/>
      <c r="G106" s="436"/>
      <c r="H106" s="436"/>
      <c r="I106" s="436"/>
      <c r="J106" s="436"/>
      <c r="K106" s="436"/>
      <c r="L106" s="437"/>
      <c r="M106" s="437"/>
      <c r="N106" s="487"/>
      <c r="O106" s="488"/>
      <c r="P106" s="488"/>
      <c r="Q106" s="489"/>
      <c r="R106" s="318" t="str">
        <f>VLOOKUP(C106,'Technology MASTER'!$B$3:$Q$107,3,FALSE)</f>
        <v>Malware Defenses</v>
      </c>
      <c r="S106" s="318" t="str">
        <f>VLOOKUP(C106,'Technology MASTER'!$B$3:$Q$107,4,FALSE)</f>
        <v>Detect</v>
      </c>
      <c r="T106" s="318" t="e">
        <f>HLOOKUP($N$28,'Technology MASTER'!$G$2:$I$107,42,FALSE)</f>
        <v>#N/A</v>
      </c>
      <c r="U106" s="318" t="str">
        <f>VLOOKUP(C106,'Technology MASTER'!$B$3:$Q$107,13,FALSE)</f>
        <v>Information systems are compromised due to the lack of protection from environmental threats and hazards.</v>
      </c>
      <c r="V106" s="318" t="str">
        <f>VLOOKUP(C106,'Technology MASTER'!$B$3:$Q$107,16,FALSE)</f>
        <v>Cyber Attack</v>
      </c>
      <c r="W106" s="275"/>
    </row>
    <row r="107" spans="1:23" ht="48" customHeight="1">
      <c r="A107" s="274"/>
      <c r="B107" s="441"/>
      <c r="C107" s="56">
        <v>8.4</v>
      </c>
      <c r="D107" s="436" t="str">
        <f>VLOOKUP(C107,'Technology MASTER'!$B$3:$Q$107,5,FALSE)</f>
        <v>Is the Auto-Run feature disabled for all portable media (USB, CD/DVD’s, etc.) on systems?</v>
      </c>
      <c r="E107" s="436"/>
      <c r="F107" s="436"/>
      <c r="G107" s="436"/>
      <c r="H107" s="436"/>
      <c r="I107" s="436"/>
      <c r="J107" s="436"/>
      <c r="K107" s="436"/>
      <c r="L107" s="437"/>
      <c r="M107" s="437"/>
      <c r="N107" s="487"/>
      <c r="O107" s="488"/>
      <c r="P107" s="488"/>
      <c r="Q107" s="489"/>
      <c r="R107" s="318" t="str">
        <f>VLOOKUP(C107,'Technology MASTER'!$B$3:$Q$107,3,FALSE)</f>
        <v>Malware Defenses</v>
      </c>
      <c r="S107" s="318" t="str">
        <f>VLOOKUP(C107,'Technology MASTER'!$B$3:$Q$107,4,FALSE)</f>
        <v>Protect</v>
      </c>
      <c r="T107" s="318" t="e">
        <f>HLOOKUP($N$28,'Technology MASTER'!$G$2:$I$107,43,FALSE)</f>
        <v>#N/A</v>
      </c>
      <c r="U107" s="318" t="str">
        <f>VLOOKUP(C107,'Technology MASTER'!$B$3:$Q$107,13,FALSE)</f>
        <v>Unauthorized, malicious code is executed on systems without authorization.</v>
      </c>
      <c r="V107" s="318" t="str">
        <f>VLOOKUP(C107,'Technology MASTER'!$B$3:$Q$107,16,FALSE)</f>
        <v>Cyber Attack</v>
      </c>
      <c r="W107" s="275"/>
    </row>
    <row r="108" spans="1:23" ht="16">
      <c r="A108" s="274"/>
      <c r="B108" s="394"/>
      <c r="C108" s="394"/>
      <c r="D108" s="394"/>
      <c r="E108" s="394"/>
      <c r="F108" s="394"/>
      <c r="G108" s="394"/>
      <c r="H108" s="394"/>
      <c r="I108" s="394"/>
      <c r="J108" s="394"/>
      <c r="K108" s="394"/>
      <c r="L108" s="394"/>
      <c r="M108" s="394"/>
      <c r="N108" s="394"/>
      <c r="O108" s="394"/>
      <c r="P108" s="394"/>
      <c r="Q108" s="394"/>
      <c r="R108" s="256"/>
      <c r="S108" s="256"/>
      <c r="T108" s="256"/>
      <c r="U108" s="256"/>
      <c r="V108" s="256"/>
      <c r="W108" s="275"/>
    </row>
    <row r="109" spans="1:23" ht="48" customHeight="1">
      <c r="A109" s="274"/>
      <c r="B109" s="439" t="s">
        <v>99</v>
      </c>
      <c r="C109" s="56">
        <v>9.1</v>
      </c>
      <c r="D109" s="436" t="str">
        <f>VLOOKUP(C109,'Technology MASTER'!$B$3:$Q$107,5,FALSE)</f>
        <v>Do you have host based firewalls or port filtering tools on end systems, with a default rule that drops all traffic except those services and ports that are explicitly allowed?</v>
      </c>
      <c r="E109" s="436"/>
      <c r="F109" s="436"/>
      <c r="G109" s="436"/>
      <c r="H109" s="436"/>
      <c r="I109" s="436"/>
      <c r="J109" s="436"/>
      <c r="K109" s="436"/>
      <c r="L109" s="437"/>
      <c r="M109" s="437"/>
      <c r="N109" s="487"/>
      <c r="O109" s="488"/>
      <c r="P109" s="488"/>
      <c r="Q109" s="489"/>
      <c r="R109" s="318" t="str">
        <f>VLOOKUP(C109,'Technology MASTER'!$B$3:$Q$107,3,FALSE)</f>
        <v>Limitation and Control of Network Ports, Protocols, and Services</v>
      </c>
      <c r="S109" s="318" t="str">
        <f>VLOOKUP(C109,'Technology MASTER'!$B$3:$Q$107,4,FALSE)</f>
        <v>Protect</v>
      </c>
      <c r="T109" s="318" t="e">
        <f>HLOOKUP($N$28,'Technology MASTER'!$G$2:$I$107,44,FALSE)</f>
        <v>#N/A</v>
      </c>
      <c r="U109" s="318" t="str">
        <f>VLOOKUP(C109,'Technology MASTER'!$B$3:$Q$107,13,FALSE)</f>
        <v>Inadequately managed and controlled networks and supporting infrastructure expose systems and applications.</v>
      </c>
      <c r="V109" s="318" t="str">
        <f>VLOOKUP(C109,'Technology MASTER'!$B$3:$Q$107,16,FALSE)</f>
        <v>Cyber Attack</v>
      </c>
      <c r="W109" s="275"/>
    </row>
    <row r="110" spans="1:23" ht="48" customHeight="1">
      <c r="A110" s="274"/>
      <c r="B110" s="440"/>
      <c r="C110" s="56">
        <v>9.1999999999999993</v>
      </c>
      <c r="D110" s="436" t="str">
        <f>VLOOKUP(C110,'Technology MASTER'!$B$3:$Q$107,5,FALSE)</f>
        <v>Do you ensure that network ports, protocols and services with only a validate business are running on each system?</v>
      </c>
      <c r="E110" s="436"/>
      <c r="F110" s="436"/>
      <c r="G110" s="436"/>
      <c r="H110" s="436"/>
      <c r="I110" s="436"/>
      <c r="J110" s="436"/>
      <c r="K110" s="436"/>
      <c r="L110" s="437"/>
      <c r="M110" s="437"/>
      <c r="N110" s="487"/>
      <c r="O110" s="488"/>
      <c r="P110" s="488"/>
      <c r="Q110" s="489"/>
      <c r="R110" s="318" t="str">
        <f>VLOOKUP(C110,'Technology MASTER'!$B$3:$Q$107,3,FALSE)</f>
        <v>Limitation and Control of Network Ports, Protocols, and Services</v>
      </c>
      <c r="S110" s="318" t="str">
        <f>VLOOKUP(C110,'Technology MASTER'!$B$3:$Q$107,4,FALSE)</f>
        <v>Protect</v>
      </c>
      <c r="T110" s="318" t="e">
        <f>HLOOKUP($N$28,'Technology MASTER'!$G$2:$I$107,45,FALSE)</f>
        <v>#N/A</v>
      </c>
      <c r="U110" s="318" t="str">
        <f>VLOOKUP(C110,'Technology MASTER'!$B$3:$Q$107,13,FALSE)</f>
        <v>Configuration standards do not exist for systems being implemented.</v>
      </c>
      <c r="V110" s="318" t="str">
        <f>VLOOKUP(C110,'Technology MASTER'!$B$3:$Q$107,16,FALSE)</f>
        <v>Cyber Attack</v>
      </c>
      <c r="W110" s="275"/>
    </row>
    <row r="111" spans="1:23" ht="48" customHeight="1">
      <c r="A111" s="274"/>
      <c r="B111" s="440"/>
      <c r="C111" s="56">
        <v>9.3000000000000007</v>
      </c>
      <c r="D111" s="436" t="str">
        <f>VLOOKUP(C111,'Technology MASTER'!$B$3:$Q$107,5,FALSE)</f>
        <v>Do you perform automated port scan on a regular basis against all systems and alert if unauthorized ports are detected?</v>
      </c>
      <c r="E111" s="436"/>
      <c r="F111" s="436"/>
      <c r="G111" s="436"/>
      <c r="H111" s="436"/>
      <c r="I111" s="436"/>
      <c r="J111" s="436"/>
      <c r="K111" s="436"/>
      <c r="L111" s="437"/>
      <c r="M111" s="437"/>
      <c r="N111" s="487"/>
      <c r="O111" s="488"/>
      <c r="P111" s="488"/>
      <c r="Q111" s="489"/>
      <c r="R111" s="318" t="str">
        <f>VLOOKUP(C111,'Technology MASTER'!$B$3:$Q$107,3,FALSE)</f>
        <v>Limitation and Control of Network Ports, Protocols, and Services</v>
      </c>
      <c r="S111" s="318" t="str">
        <f>VLOOKUP(C111,'Technology MASTER'!$B$3:$Q$107,4,FALSE)</f>
        <v>Detect</v>
      </c>
      <c r="T111" s="318" t="e">
        <f>HLOOKUP($N$28,'Technology MASTER'!$G$2:$I$107,46,FALSE)</f>
        <v>#N/A</v>
      </c>
      <c r="U111" s="318" t="str">
        <f>VLOOKUP(C111,'Technology MASTER'!$B$3:$Q$107,13,FALSE)</f>
        <v>Independent reviews of information security are not regularly performed to ensure the continuing suitability, adequacy, and effectiveness of the organization's information security program.</v>
      </c>
      <c r="V111" s="318" t="str">
        <f>VLOOKUP(C111,'Technology MASTER'!$B$3:$Q$107,16,FALSE)</f>
        <v>Cyber Attack</v>
      </c>
      <c r="W111" s="275"/>
    </row>
    <row r="112" spans="1:23" ht="48" customHeight="1">
      <c r="A112" s="274"/>
      <c r="B112" s="441"/>
      <c r="C112" s="56">
        <v>9.4</v>
      </c>
      <c r="D112" s="436" t="str">
        <f>VLOOKUP(C112,'Technology MASTER'!$B$3:$Q$107,5,FALSE)</f>
        <v>Are application firewalls in front of any critical web/application server/s to verify and validate the traffic going to the intended system?</v>
      </c>
      <c r="E112" s="436"/>
      <c r="F112" s="436"/>
      <c r="G112" s="436"/>
      <c r="H112" s="436"/>
      <c r="I112" s="436"/>
      <c r="J112" s="436"/>
      <c r="K112" s="436"/>
      <c r="L112" s="437"/>
      <c r="M112" s="437"/>
      <c r="N112" s="487"/>
      <c r="O112" s="488"/>
      <c r="P112" s="488"/>
      <c r="Q112" s="489"/>
      <c r="R112" s="318" t="str">
        <f>VLOOKUP(C112,'Technology MASTER'!$B$3:$Q$107,3,FALSE)</f>
        <v>Limitation and Control of Network Ports, Protocols, and Services</v>
      </c>
      <c r="S112" s="318" t="str">
        <f>VLOOKUP(C112,'Technology MASTER'!$B$3:$Q$107,4,FALSE)</f>
        <v>Protect</v>
      </c>
      <c r="T112" s="318" t="e">
        <f>HLOOKUP($N$28,'Technology MASTER'!$G$2:$I$107,47,FALSE)</f>
        <v>#N/A</v>
      </c>
      <c r="U112" s="318" t="str">
        <f>VLOOKUP(C112,'Technology MASTER'!$B$3:$Q$107,13,FALSE)</f>
        <v>Unauthenticated and/or unauthorized users access networks by exploiting vulnerabilities in external connections.</v>
      </c>
      <c r="V112" s="318" t="str">
        <f>VLOOKUP(C112,'Technology MASTER'!$B$3:$Q$107,16,FALSE)</f>
        <v>Cyber Attack</v>
      </c>
      <c r="W112" s="275"/>
    </row>
    <row r="113" spans="1:23" ht="16">
      <c r="A113" s="274"/>
      <c r="B113" s="394"/>
      <c r="C113" s="394"/>
      <c r="D113" s="394"/>
      <c r="E113" s="394"/>
      <c r="F113" s="394"/>
      <c r="G113" s="394"/>
      <c r="H113" s="394"/>
      <c r="I113" s="394"/>
      <c r="J113" s="394"/>
      <c r="K113" s="394"/>
      <c r="L113" s="394"/>
      <c r="M113" s="394"/>
      <c r="N113" s="394"/>
      <c r="O113" s="394"/>
      <c r="P113" s="394"/>
      <c r="Q113" s="394"/>
      <c r="R113" s="256"/>
      <c r="S113" s="256"/>
      <c r="T113" s="256"/>
      <c r="U113" s="256"/>
      <c r="V113" s="256"/>
      <c r="W113" s="275"/>
    </row>
    <row r="114" spans="1:23" ht="48" customHeight="1">
      <c r="A114" s="274"/>
      <c r="B114" s="439" t="s">
        <v>106</v>
      </c>
      <c r="C114" s="56">
        <v>10.1</v>
      </c>
      <c r="D114" s="436" t="str">
        <f>VLOOKUP(C114,'Technology MASTER'!$B$3:$Q$107,5,FALSE)</f>
        <v>Do you ensure that all system data is automatically backed up on a regularly basis?</v>
      </c>
      <c r="E114" s="436"/>
      <c r="F114" s="436"/>
      <c r="G114" s="436"/>
      <c r="H114" s="436"/>
      <c r="I114" s="436"/>
      <c r="J114" s="436"/>
      <c r="K114" s="436"/>
      <c r="L114" s="437"/>
      <c r="M114" s="437"/>
      <c r="N114" s="487"/>
      <c r="O114" s="488"/>
      <c r="P114" s="488"/>
      <c r="Q114" s="489"/>
      <c r="R114" s="318" t="str">
        <f>VLOOKUP(C114,'Technology MASTER'!$B$3:$Q$107,3,FALSE)</f>
        <v>Data Recovery Capabilities</v>
      </c>
      <c r="S114" s="318" t="str">
        <f>VLOOKUP(C114,'Technology MASTER'!$B$3:$Q$107,4,FALSE)</f>
        <v>Protect</v>
      </c>
      <c r="T114" s="318" t="e">
        <f>HLOOKUP($N$28,'Technology MASTER'!$G$2:$I$107,48,FALSE)</f>
        <v>#N/A</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40"/>
      <c r="C115" s="56">
        <v>10.199999999999999</v>
      </c>
      <c r="D115" s="436" t="str">
        <f>VLOOKUP(C115,'Technology MASTER'!$B$3:$Q$107,5,FALSE)</f>
        <v>Are all of the organization's key systems backed up as a complete system, through processes such as imaging, to enable the quick recovery of an entire system?</v>
      </c>
      <c r="E115" s="436"/>
      <c r="F115" s="436"/>
      <c r="G115" s="436"/>
      <c r="H115" s="436"/>
      <c r="I115" s="436"/>
      <c r="J115" s="436"/>
      <c r="K115" s="436"/>
      <c r="L115" s="437"/>
      <c r="M115" s="437"/>
      <c r="N115" s="487"/>
      <c r="O115" s="488"/>
      <c r="P115" s="488"/>
      <c r="Q115" s="489"/>
      <c r="R115" s="318" t="str">
        <f>VLOOKUP(C115,'Technology MASTER'!$B$3:$Q$107,3,FALSE)</f>
        <v>Data Recovery Capabilities</v>
      </c>
      <c r="S115" s="318" t="str">
        <f>VLOOKUP(C115,'Technology MASTER'!$B$3:$Q$107,4,FALSE)</f>
        <v>Protect</v>
      </c>
      <c r="T115" s="318" t="e">
        <f>HLOOKUP($N$28,'Technology MASTER'!$G$2:$I$107,49,FALSE)</f>
        <v>#N/A</v>
      </c>
      <c r="U115" s="318" t="str">
        <f>VLOOKUP(C115,'Technology MASTER'!$B$3:$Q$107,13,FALSE)</f>
        <v>Data is not recoverable due to inadequate or undefined backup and restoration procedures.</v>
      </c>
      <c r="V115" s="318" t="str">
        <f>VLOOKUP(C115,'Technology MASTER'!$B$3:$Q$107,16,FALSE)</f>
        <v>System Failure</v>
      </c>
      <c r="W115" s="275"/>
    </row>
    <row r="116" spans="1:23" ht="48" customHeight="1">
      <c r="A116" s="274"/>
      <c r="B116" s="440"/>
      <c r="C116" s="56">
        <v>10.3</v>
      </c>
      <c r="D116" s="436" t="str">
        <f>VLOOKUP(C116,'Technology MASTER'!$B$3:$Q$107,5,FALSE)</f>
        <v>Are backups properly protected via physical security or encryption when they are stored, as well as when they are moved across the network?</v>
      </c>
      <c r="E116" s="436"/>
      <c r="F116" s="436"/>
      <c r="G116" s="436"/>
      <c r="H116" s="436"/>
      <c r="I116" s="436"/>
      <c r="J116" s="436"/>
      <c r="K116" s="436"/>
      <c r="L116" s="437"/>
      <c r="M116" s="437"/>
      <c r="N116" s="487"/>
      <c r="O116" s="488"/>
      <c r="P116" s="488"/>
      <c r="Q116" s="489"/>
      <c r="R116" s="318" t="str">
        <f>VLOOKUP(C116,'Technology MASTER'!$B$3:$Q$107,3,FALSE)</f>
        <v>Data Recovery Capabilities</v>
      </c>
      <c r="S116" s="318" t="str">
        <f>VLOOKUP(C116,'Technology MASTER'!$B$3:$Q$107,4,FALSE)</f>
        <v>Protect</v>
      </c>
      <c r="T116" s="318" t="e">
        <f>HLOOKUP($N$28,'Technology MASTER'!$G$2:$I$107,50,FALSE)</f>
        <v>#N/A</v>
      </c>
      <c r="U116" s="318" t="str">
        <f>VLOOKUP(C116,'Technology MASTER'!$B$3:$Q$107,13,FALSE)</f>
        <v>Sensitive data may be exposed to unauthorized disclosure or modification while in storage.</v>
      </c>
      <c r="V116" s="318" t="str">
        <f>VLOOKUP(C116,'Technology MASTER'!$B$3:$Q$107,16,FALSE)</f>
        <v>System Failure</v>
      </c>
      <c r="W116" s="275"/>
    </row>
    <row r="117" spans="1:23" ht="48" customHeight="1">
      <c r="A117" s="274"/>
      <c r="B117" s="440"/>
      <c r="C117" s="56">
        <v>10.4</v>
      </c>
      <c r="D117" s="436" t="str">
        <f>VLOOKUP(C117,'Technology MASTER'!$B$3:$Q$107,5,FALSE)</f>
        <v>Are data integrity tests completed on backup media on a regular basis by performing a data restoration process to ensure that the backup is properly working?</v>
      </c>
      <c r="E117" s="436"/>
      <c r="F117" s="436"/>
      <c r="G117" s="436"/>
      <c r="H117" s="436"/>
      <c r="I117" s="436"/>
      <c r="J117" s="436"/>
      <c r="K117" s="436"/>
      <c r="L117" s="437"/>
      <c r="M117" s="437"/>
      <c r="N117" s="487"/>
      <c r="O117" s="488"/>
      <c r="P117" s="488"/>
      <c r="Q117" s="489"/>
      <c r="R117" s="318" t="str">
        <f>VLOOKUP(C117,'Technology MASTER'!$B$3:$Q$107,3,FALSE)</f>
        <v>Data Recovery Capabilities</v>
      </c>
      <c r="S117" s="318" t="str">
        <f>VLOOKUP(C117,'Technology MASTER'!$B$3:$Q$107,4,FALSE)</f>
        <v>Protect</v>
      </c>
      <c r="T117" s="318" t="e">
        <f>HLOOKUP($N$28,'Technology MASTER'!$G$2:$I$107,51,FALSE)</f>
        <v>#N/A</v>
      </c>
      <c r="U117" s="318" t="str">
        <f>VLOOKUP(C117,'Technology MASTER'!$B$3:$Q$107,13,FALSE)</f>
        <v>Disaster recovery plans fail because they were not tested, maintained or re-assessed.</v>
      </c>
      <c r="V117" s="318" t="str">
        <f>VLOOKUP(C117,'Technology MASTER'!$B$3:$Q$107,16,FALSE)</f>
        <v>System Failure</v>
      </c>
      <c r="W117" s="275"/>
    </row>
    <row r="118" spans="1:23" ht="48" customHeight="1">
      <c r="A118" s="274"/>
      <c r="B118" s="441"/>
      <c r="C118" s="56">
        <v>10.5</v>
      </c>
      <c r="D118" s="436" t="str">
        <f>VLOOKUP(C118,'Technology MASTER'!$B$3:$Q$107,5,FALSE)</f>
        <v>Do you ensure that all backups have at least one offline (i.e. not accessible via a network connection) backup destination?</v>
      </c>
      <c r="E118" s="436"/>
      <c r="F118" s="436"/>
      <c r="G118" s="436"/>
      <c r="H118" s="436"/>
      <c r="I118" s="436"/>
      <c r="J118" s="436"/>
      <c r="K118" s="436"/>
      <c r="L118" s="437"/>
      <c r="M118" s="437"/>
      <c r="N118" s="487"/>
      <c r="O118" s="488"/>
      <c r="P118" s="488"/>
      <c r="Q118" s="489"/>
      <c r="R118" s="318" t="str">
        <f>VLOOKUP(C118,'Technology MASTER'!$B$3:$Q$107,3,FALSE)</f>
        <v>Data Recovery Capabilities</v>
      </c>
      <c r="S118" s="318" t="str">
        <f>VLOOKUP(C118,'Technology MASTER'!$B$3:$Q$107,4,FALSE)</f>
        <v>Protect</v>
      </c>
      <c r="T118" s="318" t="e">
        <f>HLOOKUP($N$28,'Technology MASTER'!$G$2:$I$107,52,FALSE)</f>
        <v>#N/A</v>
      </c>
      <c r="U118" s="318" t="str">
        <f>VLOOKUP(C118,'Technology MASTER'!$B$3:$Q$107,13,FALSE)</f>
        <v>Data is not recoverable due to inadequate or undefined backup and restoration procedures.</v>
      </c>
      <c r="V118" s="318" t="str">
        <f>VLOOKUP(C118,'Technology MASTER'!$B$3:$Q$107,16,FALSE)</f>
        <v>System Failure</v>
      </c>
      <c r="W118" s="275"/>
    </row>
    <row r="119" spans="1:23" ht="16">
      <c r="A119" s="274"/>
      <c r="B119" s="394"/>
      <c r="C119" s="394"/>
      <c r="D119" s="394"/>
      <c r="E119" s="394"/>
      <c r="F119" s="394"/>
      <c r="G119" s="394"/>
      <c r="H119" s="394"/>
      <c r="I119" s="394"/>
      <c r="J119" s="394"/>
      <c r="K119" s="394"/>
      <c r="L119" s="394"/>
      <c r="M119" s="394"/>
      <c r="N119" s="394"/>
      <c r="O119" s="394"/>
      <c r="P119" s="394"/>
      <c r="Q119" s="394"/>
      <c r="R119" s="256"/>
      <c r="S119" s="256"/>
      <c r="T119" s="256"/>
      <c r="U119" s="256"/>
      <c r="V119" s="256"/>
      <c r="W119" s="275"/>
    </row>
    <row r="120" spans="1:23" ht="48" customHeight="1">
      <c r="A120" s="274"/>
      <c r="B120" s="439" t="s">
        <v>114</v>
      </c>
      <c r="C120" s="56">
        <v>11.1</v>
      </c>
      <c r="D120" s="436" t="str">
        <f>VLOOKUP(C120,'Technology MASTER'!$B$3:$Q$107,5,FALSE)</f>
        <v>Do you maintain documented security configuration standards for all authorized network devices?</v>
      </c>
      <c r="E120" s="436"/>
      <c r="F120" s="436"/>
      <c r="G120" s="436"/>
      <c r="H120" s="436"/>
      <c r="I120" s="436"/>
      <c r="J120" s="436"/>
      <c r="K120" s="436"/>
      <c r="L120" s="437"/>
      <c r="M120" s="437"/>
      <c r="N120" s="487"/>
      <c r="O120" s="488"/>
      <c r="P120" s="488"/>
      <c r="Q120" s="489"/>
      <c r="R120" s="318" t="str">
        <f>VLOOKUP(C120,'Technology MASTER'!$B$3:$Q$107,3,FALSE)</f>
        <v>Secure Configurations for Network Devices such as Firewalls, Routers, and Switches</v>
      </c>
      <c r="S120" s="318" t="str">
        <f>VLOOKUP(C120,'Technology MASTER'!$B$3:$Q$107,4,FALSE)</f>
        <v>Identify</v>
      </c>
      <c r="T120" s="318" t="e">
        <f>HLOOKUP($N$28,'Technology MASTER'!$G$2:$I$107,53,FALSE)</f>
        <v>#N/A</v>
      </c>
      <c r="U120" s="318" t="str">
        <f>VLOOKUP(C120,'Technology MASTER'!$B$3:$Q$107,13,FALSE)</f>
        <v>Configuration standards do not exist for systems being implemented.</v>
      </c>
      <c r="V120" s="318" t="str">
        <f>VLOOKUP(C120,'Technology MASTER'!$B$3:$Q$107,16,FALSE)</f>
        <v>Unauthorized Access to Systems or Data</v>
      </c>
      <c r="W120" s="275"/>
    </row>
    <row r="121" spans="1:23" ht="48" customHeight="1">
      <c r="A121" s="274"/>
      <c r="B121" s="440"/>
      <c r="C121" s="56">
        <v>11.2</v>
      </c>
      <c r="D121" s="436" t="str">
        <f>VLOOKUP(C121,'Technology MASTER'!$B$3:$Q$107,5,FALSE)</f>
        <v>Compare all network device configurations against approved security configurations defined for each network device in use, and alert when any deviations are discovered?</v>
      </c>
      <c r="E121" s="436"/>
      <c r="F121" s="436"/>
      <c r="G121" s="436"/>
      <c r="H121" s="436"/>
      <c r="I121" s="436"/>
      <c r="J121" s="436"/>
      <c r="K121" s="436"/>
      <c r="L121" s="437"/>
      <c r="M121" s="437"/>
      <c r="N121" s="487"/>
      <c r="O121" s="488"/>
      <c r="P121" s="488"/>
      <c r="Q121" s="489"/>
      <c r="R121" s="318" t="str">
        <f>VLOOKUP(C121,'Technology MASTER'!$B$3:$Q$107,3,FALSE)</f>
        <v>Secure Configurations for Network Devices such as Firewalls, Routers, and Switches</v>
      </c>
      <c r="S121" s="318" t="str">
        <f>VLOOKUP(C121,'Technology MASTER'!$B$3:$Q$107,4,FALSE)</f>
        <v>Detect</v>
      </c>
      <c r="T121" s="318" t="e">
        <f>HLOOKUP($N$28,'Technology MASTER'!$G$2:$I$107,54,FALSE)</f>
        <v>#N/A</v>
      </c>
      <c r="U121" s="318" t="str">
        <f>VLOOKUP(C121,'Technology MASTER'!$B$3:$Q$107,13,FALSE)</f>
        <v>Technical vulnerabilities are exploited to gain inappropriate or unauthorized access to information systems due to lack of controls for those vulnerabilities.</v>
      </c>
      <c r="V121" s="318" t="str">
        <f>VLOOKUP(C121,'Technology MASTER'!$B$3:$Q$107,16,FALSE)</f>
        <v>Unauthorized Access to Systems or Data</v>
      </c>
      <c r="W121" s="275"/>
    </row>
    <row r="122" spans="1:23" ht="48" customHeight="1">
      <c r="A122" s="274"/>
      <c r="B122" s="440"/>
      <c r="C122" s="56">
        <v>11.3</v>
      </c>
      <c r="D122" s="436" t="str">
        <f>VLOOKUP(C122,'Technology MASTER'!$B$3:$Q$107,5,FALSE)</f>
        <v>Do you install the latest stable version of any security-related updates on all supported network devices?</v>
      </c>
      <c r="E122" s="436"/>
      <c r="F122" s="436"/>
      <c r="G122" s="436"/>
      <c r="H122" s="436"/>
      <c r="I122" s="436"/>
      <c r="J122" s="436"/>
      <c r="K122" s="436"/>
      <c r="L122" s="437"/>
      <c r="M122" s="437"/>
      <c r="N122" s="487"/>
      <c r="O122" s="488"/>
      <c r="P122" s="488"/>
      <c r="Q122" s="489"/>
      <c r="R122" s="318" t="str">
        <f>VLOOKUP(C122,'Technology MASTER'!$B$3:$Q$107,3,FALSE)</f>
        <v>Secure Configurations for Network Devices such as Firewalls, Routers, and Switches</v>
      </c>
      <c r="S122" s="318" t="str">
        <f>VLOOKUP(C122,'Technology MASTER'!$B$3:$Q$107,4,FALSE)</f>
        <v>Protect</v>
      </c>
      <c r="T122" s="318" t="e">
        <f>HLOOKUP($N$28,'Technology MASTER'!$G$2:$I$107,55,FALSE)</f>
        <v>#N/A</v>
      </c>
      <c r="U122" s="318" t="str">
        <f>VLOOKUP(C122,'Technology MASTER'!$B$3:$Q$107,13,FALSE)</f>
        <v>Unauthenticated and/or unauthorized users access networks by exploiting vulnerabilities in external connections.</v>
      </c>
      <c r="V122" s="318" t="str">
        <f>VLOOKUP(C122,'Technology MASTER'!$B$3:$Q$107,16,FALSE)</f>
        <v>Unauthorized Access to Systems or Data</v>
      </c>
      <c r="W122" s="275"/>
    </row>
    <row r="123" spans="1:23" ht="48" customHeight="1">
      <c r="A123" s="274"/>
      <c r="B123" s="440"/>
      <c r="C123" s="56">
        <v>11.4</v>
      </c>
      <c r="D123" s="436" t="str">
        <f>VLOOKUP(C123,'Technology MASTER'!$B$3:$Q$107,5,FALSE)</f>
        <v>Where permissible, do you manage all network devices using multi-factor authentication and encrypted sessions?</v>
      </c>
      <c r="E123" s="436"/>
      <c r="F123" s="436"/>
      <c r="G123" s="436"/>
      <c r="H123" s="436"/>
      <c r="I123" s="436"/>
      <c r="J123" s="436"/>
      <c r="K123" s="436"/>
      <c r="L123" s="437"/>
      <c r="M123" s="437"/>
      <c r="N123" s="487"/>
      <c r="O123" s="488"/>
      <c r="P123" s="488"/>
      <c r="Q123" s="489"/>
      <c r="R123" s="318" t="str">
        <f>VLOOKUP(C123,'Technology MASTER'!$B$3:$Q$107,3,FALSE)</f>
        <v>Secure Configurations for Network Devices such as Firewalls, Routers, and Switches</v>
      </c>
      <c r="S123" s="318" t="str">
        <f>VLOOKUP(C123,'Technology MASTER'!$B$3:$Q$107,4,FALSE)</f>
        <v>Protect</v>
      </c>
      <c r="T123" s="318" t="e">
        <f>HLOOKUP($N$28,'Technology MASTER'!$G$2:$I$107,56,FALSE)</f>
        <v>#N/A</v>
      </c>
      <c r="U123" s="318" t="str">
        <f>VLOOKUP(C123,'Technology MASTER'!$B$3:$Q$107,13,FALSE)</f>
        <v xml:space="preserve">Lack of network connection controls over communications sessions may result in unauthorized access to information systems </v>
      </c>
      <c r="V123" s="318" t="str">
        <f>VLOOKUP(C123,'Technology MASTER'!$B$3:$Q$107,16,FALSE)</f>
        <v>Unauthorized Access to Systems or Data</v>
      </c>
      <c r="W123" s="275"/>
    </row>
    <row r="124" spans="1:23" ht="48" customHeight="1">
      <c r="A124" s="274"/>
      <c r="B124" s="441"/>
      <c r="C124" s="56">
        <v>11.5</v>
      </c>
      <c r="D124" s="436" t="str">
        <f>VLOOKUP(C124,'Technology MASTER'!$B$3:$Q$107,5,FALSE)</f>
        <v>Are all configuration rules that allow traffic to flow through network devices documented in a configuration management system with a specific business reason for each rule?</v>
      </c>
      <c r="E124" s="436"/>
      <c r="F124" s="436"/>
      <c r="G124" s="436"/>
      <c r="H124" s="436"/>
      <c r="I124" s="436"/>
      <c r="J124" s="436"/>
      <c r="K124" s="436"/>
      <c r="L124" s="437"/>
      <c r="M124" s="437"/>
      <c r="N124" s="487"/>
      <c r="O124" s="488"/>
      <c r="P124" s="488"/>
      <c r="Q124" s="489"/>
      <c r="R124" s="318" t="str">
        <f>VLOOKUP(C124,'Technology MASTER'!$B$3:$Q$107,3,FALSE)</f>
        <v>Secure Configurations for Network Devices such as Firewalls, Routers, and Switches</v>
      </c>
      <c r="S124" s="318" t="str">
        <f>VLOOKUP(C124,'Technology MASTER'!$B$3:$Q$107,4,FALSE)</f>
        <v>Identify</v>
      </c>
      <c r="T124" s="318" t="e">
        <f>HLOOKUP($N$28,'Technology MASTER'!$G$2:$I$107,57,FALSE)</f>
        <v>#N/A</v>
      </c>
      <c r="U124" s="318" t="str">
        <f>VLOOKUP(C124,'Technology MASTER'!$B$3:$Q$107,13,FALSE)</f>
        <v>Insufficient segregation of communications and interfaces between the system processes, may expose sensitive information resources to unauthorized access.</v>
      </c>
      <c r="V124" s="318" t="str">
        <f>VLOOKUP(C124,'Technology MASTER'!$B$3:$Q$107,16,FALSE)</f>
        <v>Unauthorized Access to Systems or Data</v>
      </c>
      <c r="W124" s="275"/>
    </row>
    <row r="125" spans="1:23" ht="16">
      <c r="A125" s="274"/>
      <c r="B125" s="394"/>
      <c r="C125" s="394"/>
      <c r="D125" s="394"/>
      <c r="E125" s="394"/>
      <c r="F125" s="394"/>
      <c r="G125" s="394"/>
      <c r="H125" s="394"/>
      <c r="I125" s="394"/>
      <c r="J125" s="394"/>
      <c r="K125" s="394"/>
      <c r="L125" s="394"/>
      <c r="M125" s="394"/>
      <c r="N125" s="394"/>
      <c r="O125" s="394"/>
      <c r="P125" s="394"/>
      <c r="Q125" s="394"/>
      <c r="R125" s="256"/>
      <c r="S125" s="256"/>
      <c r="T125" s="256"/>
      <c r="U125" s="256"/>
      <c r="V125" s="256"/>
      <c r="W125" s="275"/>
    </row>
    <row r="126" spans="1:23" ht="48" customHeight="1">
      <c r="A126" s="274"/>
      <c r="B126" s="439" t="s">
        <v>121</v>
      </c>
      <c r="C126" s="56">
        <v>12.1</v>
      </c>
      <c r="D126" s="436" t="str">
        <f>VLOOKUP(C126,'Technology MASTER'!$B$3:$Q$107,5,FALSE)</f>
        <v>Does the organization maintain an up-to-date inventory of all of the organization's network boundaries?</v>
      </c>
      <c r="E126" s="436"/>
      <c r="F126" s="436"/>
      <c r="G126" s="436"/>
      <c r="H126" s="436"/>
      <c r="I126" s="436"/>
      <c r="J126" s="436"/>
      <c r="K126" s="436"/>
      <c r="L126" s="437"/>
      <c r="M126" s="437"/>
      <c r="N126" s="487"/>
      <c r="O126" s="488"/>
      <c r="P126" s="488"/>
      <c r="Q126" s="489"/>
      <c r="R126" s="318" t="str">
        <f>VLOOKUP(C126,'Technology MASTER'!$B$3:$Q$107,3,FALSE)</f>
        <v>Boundary Defense</v>
      </c>
      <c r="S126" s="318" t="str">
        <f>VLOOKUP(C126,'Technology MASTER'!$B$3:$Q$107,4,FALSE)</f>
        <v>Identify</v>
      </c>
      <c r="T126" s="318" t="e">
        <f>HLOOKUP($N$28,'Technology MASTER'!$G$2:$I$107,58,FALSE)</f>
        <v>#N/A</v>
      </c>
      <c r="U126" s="318" t="str">
        <f>VLOOKUP(C126,'Technology MASTER'!$B$3:$Q$107,13,FALSE)</f>
        <v>Inadequately managed and controlled networks and supporting infrastructure expose systems and applications.</v>
      </c>
      <c r="V126" s="318" t="str">
        <f>VLOOKUP(C126,'Technology MASTER'!$B$3:$Q$107,16,FALSE)</f>
        <v>Cyber Attack</v>
      </c>
      <c r="W126" s="275"/>
    </row>
    <row r="127" spans="1:23" ht="48" customHeight="1">
      <c r="A127" s="274"/>
      <c r="B127" s="440"/>
      <c r="C127" s="56">
        <v>12.2</v>
      </c>
      <c r="D127" s="436" t="str">
        <f>VLOOKUP(C127,'Technology MASTER'!$B$3:$Q$107,5,FALSE)</f>
        <v>Are each of the organization's network boundaries configured to deny communications with known malicious or unused Internet IP addresses and limit access only to trusted and necessary IP address ranges?</v>
      </c>
      <c r="E127" s="436"/>
      <c r="F127" s="436"/>
      <c r="G127" s="436"/>
      <c r="H127" s="436"/>
      <c r="I127" s="436"/>
      <c r="J127" s="436"/>
      <c r="K127" s="436"/>
      <c r="L127" s="437"/>
      <c r="M127" s="437"/>
      <c r="N127" s="487"/>
      <c r="O127" s="488"/>
      <c r="P127" s="488"/>
      <c r="Q127" s="489"/>
      <c r="R127" s="318" t="str">
        <f>VLOOKUP(C127,'Technology MASTER'!$B$3:$Q$107,3,FALSE)</f>
        <v>Boundary Defense</v>
      </c>
      <c r="S127" s="318" t="str">
        <f>VLOOKUP(C127,'Technology MASTER'!$B$3:$Q$107,4,FALSE)</f>
        <v>Protect</v>
      </c>
      <c r="T127" s="318" t="e">
        <f>HLOOKUP($N$28,'Technology MASTER'!$G$2:$I$107,59,FALSE)</f>
        <v>#N/A</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40"/>
      <c r="C128" s="56">
        <v>12.3</v>
      </c>
      <c r="D128" s="436" t="str">
        <f>VLOOKUP(C128,'Technology MASTER'!$B$3:$Q$107,5,FALSE)</f>
        <v>Does all network traffic to or from the internet pass through an authenticated applciation layer proxy that is configured to filter unauthorized connections?</v>
      </c>
      <c r="E128" s="436"/>
      <c r="F128" s="436"/>
      <c r="G128" s="436"/>
      <c r="H128" s="436"/>
      <c r="I128" s="436"/>
      <c r="J128" s="436"/>
      <c r="K128" s="436"/>
      <c r="L128" s="437"/>
      <c r="M128" s="437"/>
      <c r="N128" s="487"/>
      <c r="O128" s="488"/>
      <c r="P128" s="488"/>
      <c r="Q128" s="489"/>
      <c r="R128" s="318" t="str">
        <f>VLOOKUP(C128,'Technology MASTER'!$B$3:$Q$107,3,FALSE)</f>
        <v>Boundary Defense</v>
      </c>
      <c r="S128" s="318" t="str">
        <f>VLOOKUP(C128,'Technology MASTER'!$B$3:$Q$107,4,FALSE)</f>
        <v>Detect</v>
      </c>
      <c r="T128" s="318" t="e">
        <f>HLOOKUP($N$28,'Technology MASTER'!$G$2:$I$107,60,FALSE)</f>
        <v>#N/A</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40"/>
      <c r="C129" s="56">
        <v>12.4</v>
      </c>
      <c r="D129" s="436" t="str">
        <f>VLOOKUP(C129,'Technology MASTER'!$B$3:$Q$107,5,FALSE)</f>
        <v>Do you have a network-based Intrusion Prevention System/s (IPS) deployed to inspect and block malicious traffic entering the company's network?</v>
      </c>
      <c r="E129" s="436"/>
      <c r="F129" s="436"/>
      <c r="G129" s="436"/>
      <c r="H129" s="436"/>
      <c r="I129" s="436"/>
      <c r="J129" s="436"/>
      <c r="K129" s="436"/>
      <c r="L129" s="437"/>
      <c r="M129" s="437"/>
      <c r="N129" s="487"/>
      <c r="O129" s="488"/>
      <c r="P129" s="488"/>
      <c r="Q129" s="489"/>
      <c r="R129" s="318" t="str">
        <f>VLOOKUP(C129,'Technology MASTER'!$B$3:$Q$107,3,FALSE)</f>
        <v>Boundary Defense</v>
      </c>
      <c r="S129" s="318" t="str">
        <f>VLOOKUP(C129,'Technology MASTER'!$B$3:$Q$107,4,FALSE)</f>
        <v>Detect</v>
      </c>
      <c r="T129" s="318" t="e">
        <f>HLOOKUP($N$28,'Technology MASTER'!$G$2:$I$107,61,FALSE)</f>
        <v>#N/A</v>
      </c>
      <c r="U129" s="318" t="str">
        <f>VLOOKUP(C129,'Technology MASTER'!$B$3:$Q$107,13,FALSE)</f>
        <v xml:space="preserve">Lack of network connection controls over communications sessions may result in unauthorized access to information systems </v>
      </c>
      <c r="V129" s="318" t="str">
        <f>VLOOKUP(C129,'Technology MASTER'!$B$3:$Q$107,16,FALSE)</f>
        <v>Cyber Attack</v>
      </c>
      <c r="W129" s="275"/>
    </row>
    <row r="130" spans="1:23" ht="48" customHeight="1">
      <c r="A130" s="274"/>
      <c r="B130" s="440"/>
      <c r="C130" s="56">
        <v>12.5</v>
      </c>
      <c r="D130" s="436" t="str">
        <f>VLOOKUP(C130,'Technology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30" s="436"/>
      <c r="F130" s="436"/>
      <c r="G130" s="436"/>
      <c r="H130" s="436"/>
      <c r="I130" s="436"/>
      <c r="J130" s="436"/>
      <c r="K130" s="436"/>
      <c r="L130" s="437"/>
      <c r="M130" s="437"/>
      <c r="N130" s="487"/>
      <c r="O130" s="488"/>
      <c r="P130" s="488"/>
      <c r="Q130" s="489"/>
      <c r="R130" s="318" t="str">
        <f>VLOOKUP(C130,'Technology MASTER'!$B$3:$Q$107,3,FALSE)</f>
        <v>Boundary Defense</v>
      </c>
      <c r="S130" s="318" t="str">
        <f>VLOOKUP(C130,'Technology MASTER'!$B$3:$Q$107,4,FALSE)</f>
        <v>Protect</v>
      </c>
      <c r="T130" s="318" t="e">
        <f>HLOOKUP($N$28,'Technology MASTER'!$G$2:$I$107,62,FALSE)</f>
        <v>#N/A</v>
      </c>
      <c r="U130" s="318" t="str">
        <f>VLOOKUP(C130,'Technology MASTER'!$B$3:$Q$107,13,FALSE)</f>
        <v>Information is disclosed due to lack of protection based on the need, priorities and expected degree of protection.</v>
      </c>
      <c r="V130" s="318" t="str">
        <f>VLOOKUP(C130,'Technology MASTER'!$B$3:$Q$107,16,FALSE)</f>
        <v>Cyber Attack</v>
      </c>
      <c r="W130" s="275"/>
    </row>
    <row r="131" spans="1:23" ht="48" customHeight="1">
      <c r="A131" s="274"/>
      <c r="B131" s="441"/>
      <c r="C131" s="56">
        <v>12.6</v>
      </c>
      <c r="D131" s="436" t="str">
        <f>VLOOKUP(C131,'Technology MASTER'!$B$3:$Q$107,5,FALSE)</f>
        <v>Do you require all remote log-in access to require multi-factor authentication?</v>
      </c>
      <c r="E131" s="436"/>
      <c r="F131" s="436"/>
      <c r="G131" s="436"/>
      <c r="H131" s="436"/>
      <c r="I131" s="436"/>
      <c r="J131" s="436"/>
      <c r="K131" s="436"/>
      <c r="L131" s="437"/>
      <c r="M131" s="437"/>
      <c r="N131" s="487"/>
      <c r="O131" s="488"/>
      <c r="P131" s="488"/>
      <c r="Q131" s="489"/>
      <c r="R131" s="318" t="str">
        <f>VLOOKUP(C131,'Technology MASTER'!$B$3:$Q$107,3,FALSE)</f>
        <v>Boundary Defense</v>
      </c>
      <c r="S131" s="318" t="str">
        <f>VLOOKUP(C131,'Technology MASTER'!$B$3:$Q$107,4,FALSE)</f>
        <v>Protect</v>
      </c>
      <c r="T131" s="318" t="e">
        <f>HLOOKUP($N$28,'Technology MASTER'!$G$2:$I$107,63,FALSE)</f>
        <v>#N/A</v>
      </c>
      <c r="U131" s="318" t="str">
        <f>VLOOKUP(C131,'Technology MASTER'!$B$3:$Q$107,13,FALSE)</f>
        <v xml:space="preserve">Lack of network connection controls over communications sessions may result in unauthorized access to information systems </v>
      </c>
      <c r="V131" s="318" t="str">
        <f>VLOOKUP(C131,'Technology MASTER'!$B$3:$Q$107,16,FALSE)</f>
        <v>Cyber Attack</v>
      </c>
      <c r="W131" s="275"/>
    </row>
    <row r="132" spans="1:23" ht="16">
      <c r="A132" s="274"/>
      <c r="B132" s="394"/>
      <c r="C132" s="394"/>
      <c r="D132" s="394"/>
      <c r="E132" s="394"/>
      <c r="F132" s="394"/>
      <c r="G132" s="394"/>
      <c r="H132" s="394"/>
      <c r="I132" s="394"/>
      <c r="J132" s="394"/>
      <c r="K132" s="394"/>
      <c r="L132" s="394"/>
      <c r="M132" s="394"/>
      <c r="N132" s="394"/>
      <c r="O132" s="394"/>
      <c r="P132" s="394"/>
      <c r="Q132" s="394"/>
      <c r="R132" s="256"/>
      <c r="S132" s="256"/>
      <c r="T132" s="256"/>
      <c r="U132" s="256"/>
      <c r="V132" s="256"/>
      <c r="W132" s="275"/>
    </row>
    <row r="133" spans="1:23" ht="48.75" customHeight="1">
      <c r="A133" s="274"/>
      <c r="B133" s="439" t="s">
        <v>122</v>
      </c>
      <c r="C133" s="56">
        <v>13.1</v>
      </c>
      <c r="D133" s="436" t="str">
        <f>VLOOKUP(C133,'Technology MASTER'!$B$3:$Q$107,5,FALSE)</f>
        <v>Are safeguards in place that ensure any data stored on removable media (i.e. thumb drives, portable hard drives, etc.) is encrypted?</v>
      </c>
      <c r="E133" s="436"/>
      <c r="F133" s="436"/>
      <c r="G133" s="436"/>
      <c r="H133" s="436"/>
      <c r="I133" s="436"/>
      <c r="J133" s="436"/>
      <c r="K133" s="436"/>
      <c r="L133" s="437"/>
      <c r="M133" s="437"/>
      <c r="N133" s="487"/>
      <c r="O133" s="488"/>
      <c r="P133" s="488"/>
      <c r="Q133" s="489"/>
      <c r="R133" s="318" t="str">
        <f>VLOOKUP(C133,'Technology MASTER'!$B$3:$Q$107,3,FALSE)</f>
        <v>Data Protection</v>
      </c>
      <c r="S133" s="318" t="str">
        <f>VLOOKUP(C133,'Technology MASTER'!$B$3:$Q$107,4,FALSE)</f>
        <v>Protect</v>
      </c>
      <c r="T133" s="318" t="e">
        <f>HLOOKUP($N$28,'Technology MASTER'!$G$2:$I$107,64,FALSE)</f>
        <v>#N/A</v>
      </c>
      <c r="U133" s="318" t="str">
        <f>VLOOKUP(C133,'Technology MASTER'!$B$3:$Q$107,13,FALSE)</f>
        <v>Information stored in physical media may be disclosed to or altered by unauthorized parties while being physically transported.</v>
      </c>
      <c r="V133" s="318" t="str">
        <f>VLOOKUP(C133,'Technology MASTER'!$B$3:$Q$107,16,FALSE)</f>
        <v>Human Error</v>
      </c>
      <c r="W133" s="275"/>
    </row>
    <row r="134" spans="1:23" ht="48.75" customHeight="1">
      <c r="A134" s="274"/>
      <c r="B134" s="440"/>
      <c r="C134" s="56">
        <v>13.2</v>
      </c>
      <c r="D134" s="436" t="str">
        <f>VLOOKUP(C134,'Technology MASTER'!$B$3:$Q$107,5,FALSE)</f>
        <v>Do you deploy appropriate encryption software to protect enterprise data stored on all mobile devices?</v>
      </c>
      <c r="E134" s="436"/>
      <c r="F134" s="436"/>
      <c r="G134" s="436"/>
      <c r="H134" s="436"/>
      <c r="I134" s="436"/>
      <c r="J134" s="436"/>
      <c r="K134" s="436"/>
      <c r="L134" s="437"/>
      <c r="M134" s="437"/>
      <c r="N134" s="487"/>
      <c r="O134" s="488"/>
      <c r="P134" s="488"/>
      <c r="Q134" s="489"/>
      <c r="R134" s="318" t="str">
        <f>VLOOKUP(C134,'Technology MASTER'!$B$3:$Q$107,3,FALSE)</f>
        <v>Data Protection</v>
      </c>
      <c r="S134" s="318" t="str">
        <f>VLOOKUP(C134,'Technology MASTER'!$B$3:$Q$107,4,FALSE)</f>
        <v>Protect</v>
      </c>
      <c r="T134" s="318" t="e">
        <f>HLOOKUP($N$28,'Technology MASTER'!$G$2:$I$107,65,FALSE)</f>
        <v>#N/A</v>
      </c>
      <c r="U134" s="318" t="str">
        <f>VLOOKUP(C134,'Technology MASTER'!$B$3:$Q$107,13,FALSE)</f>
        <v>Encryption and other cryptographic controls are inconsistently used to protect information assets and deviate with policy.</v>
      </c>
      <c r="V134" s="318" t="str">
        <f>VLOOKUP(C134,'Technology MASTER'!$B$3:$Q$107,16,FALSE)</f>
        <v>Human Error</v>
      </c>
      <c r="W134" s="275"/>
    </row>
    <row r="135" spans="1:23" ht="48.75" customHeight="1">
      <c r="A135" s="274"/>
      <c r="B135" s="440"/>
      <c r="C135" s="56">
        <v>13.3</v>
      </c>
      <c r="D135" s="436" t="str">
        <f>VLOOKUP(C135,'Technology MASTER'!$B$3:$Q$107,5,FALSE)</f>
        <v>Does the organization maintain an inventory of all sensitive information stored, processed, or transmitted by the organization's technology systems, including those located onsite or at a remote service provider?</v>
      </c>
      <c r="E135" s="436"/>
      <c r="F135" s="436"/>
      <c r="G135" s="436"/>
      <c r="H135" s="436"/>
      <c r="I135" s="436"/>
      <c r="J135" s="436"/>
      <c r="K135" s="436"/>
      <c r="L135" s="437"/>
      <c r="M135" s="437"/>
      <c r="N135" s="487"/>
      <c r="O135" s="488"/>
      <c r="P135" s="488"/>
      <c r="Q135" s="489"/>
      <c r="R135" s="318" t="str">
        <f>VLOOKUP(C135,'Technology MASTER'!$B$3:$Q$107,3,FALSE)</f>
        <v>Data Protection</v>
      </c>
      <c r="S135" s="318" t="str">
        <f>VLOOKUP(C135,'Technology MASTER'!$B$3:$Q$107,4,FALSE)</f>
        <v>Identify</v>
      </c>
      <c r="T135" s="318" t="e">
        <f>HLOOKUP($N$28,'Technology MASTER'!$G$2:$I$107,66,FALSE)</f>
        <v>#N/A</v>
      </c>
      <c r="U135" s="318" t="str">
        <f>VLOOKUP(C135,'Technology MASTER'!$B$3:$Q$107,13,FALSE)</f>
        <v>The lack of formal procedures for handling, processing, storing and communicating information consistent with its classification scheme, may result in potential mishandling or misuse of information by unauthorized parties.</v>
      </c>
      <c r="V135" s="318" t="str">
        <f>VLOOKUP(C135,'Technology MASTER'!$B$3:$Q$107,16,FALSE)</f>
        <v>Human Error</v>
      </c>
      <c r="W135" s="275"/>
    </row>
    <row r="136" spans="1:23" ht="48.75" customHeight="1">
      <c r="A136" s="274"/>
      <c r="B136" s="440"/>
      <c r="C136" s="56">
        <v>13.4</v>
      </c>
      <c r="D136" s="436" t="str">
        <f>VLOOKUP(C136,'Technology MASTER'!$B$3:$Q$107,5,FALSE)</f>
        <v>Does the organization only allow access to authorized cloud storage or email providers?</v>
      </c>
      <c r="E136" s="436"/>
      <c r="F136" s="436"/>
      <c r="G136" s="436"/>
      <c r="H136" s="436"/>
      <c r="I136" s="436"/>
      <c r="J136" s="436"/>
      <c r="K136" s="436"/>
      <c r="L136" s="437"/>
      <c r="M136" s="437"/>
      <c r="N136" s="487"/>
      <c r="O136" s="488"/>
      <c r="P136" s="488"/>
      <c r="Q136" s="489"/>
      <c r="R136" s="318" t="str">
        <f>VLOOKUP(C136,'Technology MASTER'!$B$3:$Q$107,3,FALSE)</f>
        <v>Data Protection</v>
      </c>
      <c r="S136" s="318" t="str">
        <f>VLOOKUP(C136,'Technology MASTER'!$B$3:$Q$107,4,FALSE)</f>
        <v>Protect</v>
      </c>
      <c r="T136" s="318" t="e">
        <f>HLOOKUP($N$28,'Technology MASTER'!$G$2:$I$107,67,FALSE)</f>
        <v>#N/A</v>
      </c>
      <c r="U136" s="318" t="str">
        <f>VLOOKUP(C136,'Technology MASTER'!$B$3:$Q$107,13,FALSE)</f>
        <v>Sensitive data has not been clearly identified and inventoried.</v>
      </c>
      <c r="V136" s="318" t="str">
        <f>VLOOKUP(C136,'Technology MASTER'!$B$3:$Q$107,16,FALSE)</f>
        <v>Human Error</v>
      </c>
      <c r="W136" s="275"/>
    </row>
    <row r="137" spans="1:23" ht="48.75" customHeight="1">
      <c r="A137" s="274"/>
      <c r="B137" s="441"/>
      <c r="C137" s="56">
        <v>13.5</v>
      </c>
      <c r="D137" s="436" t="str">
        <f>VLOOKUP(C137,'Technology MASTER'!$B$3:$Q$107,5,FALSE)</f>
        <v>Has the organization deployed an automated tool on network perimeters that monitors for sensitive information and blocks such transfers while alerting information security professionals?</v>
      </c>
      <c r="E137" s="436"/>
      <c r="F137" s="436"/>
      <c r="G137" s="436"/>
      <c r="H137" s="436"/>
      <c r="I137" s="436"/>
      <c r="J137" s="436"/>
      <c r="K137" s="436"/>
      <c r="L137" s="437"/>
      <c r="M137" s="437"/>
      <c r="N137" s="487"/>
      <c r="O137" s="488"/>
      <c r="P137" s="488"/>
      <c r="Q137" s="489"/>
      <c r="R137" s="318" t="str">
        <f>VLOOKUP(C137,'Technology MASTER'!$B$3:$Q$107,3,FALSE)</f>
        <v>Data Protection</v>
      </c>
      <c r="S137" s="318" t="str">
        <f>VLOOKUP(C137,'Technology MASTER'!$B$3:$Q$107,4,FALSE)</f>
        <v>Detect</v>
      </c>
      <c r="T137" s="318" t="e">
        <f>HLOOKUP($N$28,'Technology MASTER'!$G$2:$I$107,68,FALSE)</f>
        <v>#N/A</v>
      </c>
      <c r="U137" s="318" t="str">
        <f>VLOOKUP(C137,'Technology MASTER'!$B$3:$Q$107,13,FALSE)</f>
        <v>The organization does not have  staff or resources responsible for responding to information spillage.</v>
      </c>
      <c r="V137" s="318" t="str">
        <f>VLOOKUP(C137,'Technology MASTER'!$B$3:$Q$107,16,FALSE)</f>
        <v>Human Error</v>
      </c>
      <c r="W137" s="275"/>
    </row>
    <row r="138" spans="1:23" ht="16">
      <c r="A138" s="274"/>
      <c r="B138" s="394"/>
      <c r="C138" s="394"/>
      <c r="D138" s="394"/>
      <c r="E138" s="394"/>
      <c r="F138" s="394"/>
      <c r="G138" s="394"/>
      <c r="H138" s="394"/>
      <c r="I138" s="394"/>
      <c r="J138" s="394"/>
      <c r="K138" s="394"/>
      <c r="L138" s="394"/>
      <c r="M138" s="394"/>
      <c r="N138" s="394"/>
      <c r="O138" s="394"/>
      <c r="P138" s="394"/>
      <c r="Q138" s="394"/>
      <c r="R138" s="256"/>
      <c r="S138" s="256"/>
      <c r="T138" s="256"/>
      <c r="U138" s="256"/>
      <c r="V138" s="256"/>
      <c r="W138" s="275"/>
    </row>
    <row r="139" spans="1:23" ht="48" customHeight="1">
      <c r="A139" s="274"/>
      <c r="B139" s="439" t="s">
        <v>123</v>
      </c>
      <c r="C139" s="56">
        <v>14.1</v>
      </c>
      <c r="D139" s="436" t="str">
        <f>VLOOKUP(C139,'Technology MASTER'!$B$3:$Q$107,5,FALSE)</f>
        <v>Do you protect all information stored on systems with file system, network share, claims, application or database specific access control lists?</v>
      </c>
      <c r="E139" s="436"/>
      <c r="F139" s="436"/>
      <c r="G139" s="436"/>
      <c r="H139" s="436"/>
      <c r="I139" s="436"/>
      <c r="J139" s="436"/>
      <c r="K139" s="436"/>
      <c r="L139" s="437"/>
      <c r="M139" s="437"/>
      <c r="N139" s="487"/>
      <c r="O139" s="488"/>
      <c r="P139" s="488"/>
      <c r="Q139" s="489"/>
      <c r="R139" s="318" t="str">
        <f>VLOOKUP(C139,'Technology MASTER'!$B$3:$Q$107,3,FALSE)</f>
        <v>Controlled Access Based on the Need to Know</v>
      </c>
      <c r="S139" s="318" t="str">
        <f>VLOOKUP(C139,'Technology MASTER'!$B$3:$Q$107,4,FALSE)</f>
        <v>Protect</v>
      </c>
      <c r="T139" s="318" t="e">
        <f>HLOOKUP($N$28,'Technology MASTER'!$G$2:$I$107,69,FALSE)</f>
        <v>#N/A</v>
      </c>
      <c r="U139" s="318" t="str">
        <f>VLOOKUP(C139,'Technology MASTER'!$B$3:$Q$107,13,FALSE)</f>
        <v>Information is disclosed due to mislabeled, unlabeled or mishandled physical or electronic media.</v>
      </c>
      <c r="V139" s="318" t="str">
        <f>VLOOKUP(C139,'Technology MASTER'!$B$3:$Q$107,16,FALSE)</f>
        <v>Unauthorized Access to Systems or Data</v>
      </c>
      <c r="W139" s="275"/>
    </row>
    <row r="140" spans="1:23" ht="48" customHeight="1">
      <c r="A140" s="274"/>
      <c r="B140" s="440"/>
      <c r="C140" s="56">
        <v>14.2</v>
      </c>
      <c r="D140" s="436" t="str">
        <f>VLOOKUP(C140,'Technology MASTER'!$B$3:$Q$107,5,FALSE)</f>
        <v>Do you encrypt all sensitive information in transit?</v>
      </c>
      <c r="E140" s="436"/>
      <c r="F140" s="436"/>
      <c r="G140" s="436"/>
      <c r="H140" s="436"/>
      <c r="I140" s="436"/>
      <c r="J140" s="436"/>
      <c r="K140" s="436"/>
      <c r="L140" s="437"/>
      <c r="M140" s="437"/>
      <c r="N140" s="487"/>
      <c r="O140" s="488"/>
      <c r="P140" s="488"/>
      <c r="Q140" s="489"/>
      <c r="R140" s="318" t="str">
        <f>VLOOKUP(C140,'Technology MASTER'!$B$3:$Q$107,3,FALSE)</f>
        <v>Controlled Access Based on the Need to Know</v>
      </c>
      <c r="S140" s="318" t="str">
        <f>VLOOKUP(C140,'Technology MASTER'!$B$3:$Q$107,4,FALSE)</f>
        <v>Protect</v>
      </c>
      <c r="T140" s="318" t="e">
        <f>HLOOKUP($N$28,'Technology MASTER'!$G$2:$I$107,70,FALSE)</f>
        <v>#N/A</v>
      </c>
      <c r="U140" s="318" t="str">
        <f>VLOOKUP(C140,'Technology MASTER'!$B$3:$Q$107,13,FALSE)</f>
        <v>Sensitive data is exposed to unauthorized disclosure or modification while in transit.</v>
      </c>
      <c r="V140" s="318" t="str">
        <f>VLOOKUP(C140,'Technology MASTER'!$B$3:$Q$107,16,FALSE)</f>
        <v>Unauthorized Access to Systems or Data</v>
      </c>
      <c r="W140" s="275"/>
    </row>
    <row r="141" spans="1:23" ht="48" customHeight="1">
      <c r="A141" s="274"/>
      <c r="B141" s="440"/>
      <c r="C141" s="56">
        <v>14.3</v>
      </c>
      <c r="D141" s="436" t="str">
        <f>VLOOKUP(C141,'Technology MASTER'!$B$3:$Q$107,5,FALSE)</f>
        <v>Do you segment the network based on the label or classification level of the information stored on the servers, locate all sensitive information on separated Virtual Local Area Networks (VLANs).</v>
      </c>
      <c r="E141" s="436"/>
      <c r="F141" s="436"/>
      <c r="G141" s="436"/>
      <c r="H141" s="436"/>
      <c r="I141" s="436"/>
      <c r="J141" s="436"/>
      <c r="K141" s="436"/>
      <c r="L141" s="437"/>
      <c r="M141" s="437"/>
      <c r="N141" s="487"/>
      <c r="O141" s="488"/>
      <c r="P141" s="488"/>
      <c r="Q141" s="489"/>
      <c r="R141" s="318" t="str">
        <f>VLOOKUP(C141,'Technology MASTER'!$B$3:$Q$107,3,FALSE)</f>
        <v>Controlled Access Based on the Need to Know</v>
      </c>
      <c r="S141" s="318" t="str">
        <f>VLOOKUP(C141,'Technology MASTER'!$B$3:$Q$107,4,FALSE)</f>
        <v>Protect</v>
      </c>
      <c r="T141" s="318" t="e">
        <f>HLOOKUP($N$28,'Technology MASTER'!$G$2:$I$107,71,FALSE)</f>
        <v>#N/A</v>
      </c>
      <c r="U141" s="318" t="str">
        <f>VLOOKUP(C141,'Technology MASTER'!$B$3:$Q$107,13,FALSE)</f>
        <v>Sensitive systems co-located with less sensitive systems are accessed by unauthorized parties.</v>
      </c>
      <c r="V141" s="318" t="str">
        <f>VLOOKUP(C141,'Technology MASTER'!$B$3:$Q$107,16,FALSE)</f>
        <v>Unauthorized Access to Systems or Data</v>
      </c>
      <c r="W141" s="275"/>
    </row>
    <row r="142" spans="1:23" ht="48" customHeight="1">
      <c r="A142" s="274"/>
      <c r="B142" s="441"/>
      <c r="C142" s="56">
        <v>14.4</v>
      </c>
      <c r="D142" s="436" t="str">
        <f>VLOOKUP(C142,'Technology MASTER'!$B$3:$Q$107,5,FALSE)</f>
        <v>Do you enforce detailed audit logging for access to sensitive data or changes to sensitive data (utilizing tools such as File Integrity Monitoring or Security Information and Event Monitoring)?</v>
      </c>
      <c r="E142" s="436"/>
      <c r="F142" s="436"/>
      <c r="G142" s="436"/>
      <c r="H142" s="436"/>
      <c r="I142" s="436"/>
      <c r="J142" s="436"/>
      <c r="K142" s="436"/>
      <c r="L142" s="437"/>
      <c r="M142" s="437"/>
      <c r="N142" s="487"/>
      <c r="O142" s="488"/>
      <c r="P142" s="488"/>
      <c r="Q142" s="489"/>
      <c r="R142" s="318" t="str">
        <f>VLOOKUP(C142,'Technology MASTER'!$B$3:$Q$107,3,FALSE)</f>
        <v>Controlled Access Based on the Need to Know</v>
      </c>
      <c r="S142" s="318" t="str">
        <f>VLOOKUP(C142,'Technology MASTER'!$B$3:$Q$107,4,FALSE)</f>
        <v>Detect</v>
      </c>
      <c r="T142" s="318" t="e">
        <f>HLOOKUP($N$28,'Technology MASTER'!$G$2:$I$107,72,FALSE)</f>
        <v>#N/A</v>
      </c>
      <c r="U142" s="318" t="str">
        <f>VLOOKUP(C142,'Technology MASTER'!$B$3:$Q$107,13,FALSE)</f>
        <v>Unauthorized tampering of system and/or configuration files is undetected due to the absence of file integrity mechanisms.</v>
      </c>
      <c r="V142" s="318" t="str">
        <f>VLOOKUP(C142,'Technology MASTER'!$B$3:$Q$107,16,FALSE)</f>
        <v>Unauthorized Access to Systems or Data</v>
      </c>
      <c r="W142" s="275"/>
    </row>
    <row r="143" spans="1:23" ht="16">
      <c r="A143" s="274"/>
      <c r="B143" s="394"/>
      <c r="C143" s="394"/>
      <c r="D143" s="394"/>
      <c r="E143" s="394"/>
      <c r="F143" s="394"/>
      <c r="G143" s="394"/>
      <c r="H143" s="394"/>
      <c r="I143" s="394"/>
      <c r="J143" s="394"/>
      <c r="K143" s="394"/>
      <c r="L143" s="394"/>
      <c r="M143" s="394"/>
      <c r="N143" s="394"/>
      <c r="O143" s="394"/>
      <c r="P143" s="394"/>
      <c r="Q143" s="394"/>
      <c r="R143" s="256"/>
      <c r="S143" s="256"/>
      <c r="T143" s="256"/>
      <c r="U143" s="256"/>
      <c r="V143" s="256"/>
      <c r="W143" s="275"/>
    </row>
    <row r="144" spans="1:23" ht="48" customHeight="1">
      <c r="A144" s="274"/>
      <c r="B144" s="439" t="s">
        <v>124</v>
      </c>
      <c r="C144" s="56">
        <v>15.1</v>
      </c>
      <c r="D144" s="436" t="str">
        <f>VLOOKUP(C144,'Technology MASTER'!$B$3:$Q$107,5,FALSE)</f>
        <v>Do you have an inventory of authorized wireless access points connected to the wired network?</v>
      </c>
      <c r="E144" s="436"/>
      <c r="F144" s="436"/>
      <c r="G144" s="436"/>
      <c r="H144" s="436"/>
      <c r="I144" s="436"/>
      <c r="J144" s="436"/>
      <c r="K144" s="436"/>
      <c r="L144" s="437"/>
      <c r="M144" s="437"/>
      <c r="N144" s="487"/>
      <c r="O144" s="488"/>
      <c r="P144" s="488"/>
      <c r="Q144" s="489"/>
      <c r="R144" s="318" t="str">
        <f>VLOOKUP(C144,'Technology MASTER'!$B$3:$Q$107,3,FALSE)</f>
        <v>Wireless Access Control</v>
      </c>
      <c r="S144" s="318" t="str">
        <f>VLOOKUP(C144,'Technology MASTER'!$B$3:$Q$107,4,FALSE)</f>
        <v>Identify</v>
      </c>
      <c r="T144" s="318" t="e">
        <f>HLOOKUP($N$28,'Technology MASTER'!$G$2:$I$107,73,FALSE)</f>
        <v>#N/A</v>
      </c>
      <c r="U144" s="318" t="str">
        <f>VLOOKUP(C144,'Technology MASTER'!$B$3:$Q$107,13,FALSE)</f>
        <v>Inadequately managed and controlled networks and supporting infrastructure expose systems and applications.</v>
      </c>
      <c r="V144" s="318" t="str">
        <f>VLOOKUP(C144,'Technology MASTER'!$B$3:$Q$107,16,FALSE)</f>
        <v>Unauthorized Access to Systems or Data</v>
      </c>
      <c r="W144" s="275"/>
    </row>
    <row r="145" spans="1:23" ht="48" customHeight="1">
      <c r="A145" s="274"/>
      <c r="B145" s="440"/>
      <c r="C145" s="56">
        <v>15.2</v>
      </c>
      <c r="D145" s="436" t="str">
        <f>VLOOKUP(C145,'Technology MASTER'!$B$3:$Q$107,5,FALSE)</f>
        <v>Do you have a tool or mechanisms in place to detect and alert on unauthorized wireless access points connected to the network?</v>
      </c>
      <c r="E145" s="436"/>
      <c r="F145" s="436"/>
      <c r="G145" s="436"/>
      <c r="H145" s="436"/>
      <c r="I145" s="436"/>
      <c r="J145" s="436"/>
      <c r="K145" s="436"/>
      <c r="L145" s="437"/>
      <c r="M145" s="437"/>
      <c r="N145" s="487"/>
      <c r="O145" s="488"/>
      <c r="P145" s="488"/>
      <c r="Q145" s="489"/>
      <c r="R145" s="318" t="str">
        <f>VLOOKUP(C145,'Technology MASTER'!$B$3:$Q$107,3,FALSE)</f>
        <v>Wireless Access Control</v>
      </c>
      <c r="S145" s="318" t="str">
        <f>VLOOKUP(C145,'Technology MASTER'!$B$3:$Q$107,4,FALSE)</f>
        <v>Detect</v>
      </c>
      <c r="T145" s="318" t="e">
        <f>HLOOKUP($N$28,'Technology MASTER'!$G$2:$I$107,74,FALSE)</f>
        <v>#N/A</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40"/>
      <c r="C146" s="56">
        <v>15.3</v>
      </c>
      <c r="D146" s="436" t="str">
        <f>VLOOKUP(C146,'Technology MASTER'!$B$3:$Q$107,5,FALSE)</f>
        <v>Do you disable wireless access on devices that do not have a business purpose for wireless access?</v>
      </c>
      <c r="E146" s="436"/>
      <c r="F146" s="436"/>
      <c r="G146" s="436"/>
      <c r="H146" s="436"/>
      <c r="I146" s="436"/>
      <c r="J146" s="436"/>
      <c r="K146" s="436"/>
      <c r="L146" s="437"/>
      <c r="M146" s="437"/>
      <c r="N146" s="487"/>
      <c r="O146" s="488"/>
      <c r="P146" s="488"/>
      <c r="Q146" s="489"/>
      <c r="R146" s="318" t="str">
        <f>VLOOKUP(C146,'Technology MASTER'!$B$3:$Q$107,3,FALSE)</f>
        <v>Wireless Access Control</v>
      </c>
      <c r="S146" s="318" t="str">
        <f>VLOOKUP(C146,'Technology MASTER'!$B$3:$Q$107,4,FALSE)</f>
        <v>Protect</v>
      </c>
      <c r="T146" s="318" t="e">
        <f>HLOOKUP($N$28,'Technology MASTER'!$G$2:$I$107,75,FALSE)</f>
        <v>#N/A</v>
      </c>
      <c r="U146" s="318" t="str">
        <f>VLOOKUP(C146,'Technology MASTER'!$B$3:$Q$107,13,FALSE)</f>
        <v>Unauthorized parties gain access to resources by exploiting vulnerabilities in unsecured wireless networks.</v>
      </c>
      <c r="V146" s="318" t="str">
        <f>VLOOKUP(C146,'Technology MASTER'!$B$3:$Q$107,16,FALSE)</f>
        <v>Unauthorized Access to Systems or Data</v>
      </c>
      <c r="W146" s="275"/>
    </row>
    <row r="147" spans="1:23" ht="48" customHeight="1">
      <c r="A147" s="274"/>
      <c r="B147" s="440"/>
      <c r="C147" s="56">
        <v>15.4</v>
      </c>
      <c r="D147" s="436" t="str">
        <f>VLOOKUP(C147,'Technology MASTER'!$B$3:$Q$107,5,FALSE)</f>
        <v>Does the organization leverage the Advanced Encryption Standard (AES) to encrypt wireless data in transit?</v>
      </c>
      <c r="E147" s="436"/>
      <c r="F147" s="436"/>
      <c r="G147" s="436"/>
      <c r="H147" s="436"/>
      <c r="I147" s="436"/>
      <c r="J147" s="436"/>
      <c r="K147" s="436"/>
      <c r="L147" s="437"/>
      <c r="M147" s="437"/>
      <c r="N147" s="487"/>
      <c r="O147" s="488"/>
      <c r="P147" s="488"/>
      <c r="Q147" s="489"/>
      <c r="R147" s="318" t="str">
        <f>VLOOKUP(C147,'Technology MASTER'!$B$3:$Q$107,3,FALSE)</f>
        <v>Wireless Access Control</v>
      </c>
      <c r="S147" s="318" t="str">
        <f>VLOOKUP(C147,'Technology MASTER'!$B$3:$Q$107,4,FALSE)</f>
        <v>Protect</v>
      </c>
      <c r="T147" s="318" t="e">
        <f>HLOOKUP($N$28,'Technology MASTER'!$G$2:$I$107,76,FALSE)</f>
        <v>#N/A</v>
      </c>
      <c r="U147" s="318" t="str">
        <f>VLOOKUP(C147,'Technology MASTER'!$B$3:$Q$107,13,FALSE)</f>
        <v>Encryption and other cryptographic controls are inconsistently used to protect information assets and deviate with policy.</v>
      </c>
      <c r="V147" s="318" t="str">
        <f>VLOOKUP(C147,'Technology MASTER'!$B$3:$Q$107,16,FALSE)</f>
        <v>Unauthorized Access to Systems or Data</v>
      </c>
      <c r="W147" s="275"/>
    </row>
    <row r="148" spans="1:23" ht="48" customHeight="1">
      <c r="A148" s="274"/>
      <c r="B148" s="441"/>
      <c r="C148" s="56">
        <v>15.5</v>
      </c>
      <c r="D148" s="436" t="str">
        <f>VLOOKUP(C148,'Technology MASTER'!$B$3:$Q$107,5,FALSE)</f>
        <v>Does the organization utilize a separate a wireless network for personal or untrusted devices?</v>
      </c>
      <c r="E148" s="436"/>
      <c r="F148" s="436"/>
      <c r="G148" s="436"/>
      <c r="H148" s="436"/>
      <c r="I148" s="436"/>
      <c r="J148" s="436"/>
      <c r="K148" s="436"/>
      <c r="L148" s="437"/>
      <c r="M148" s="437"/>
      <c r="N148" s="487"/>
      <c r="O148" s="488"/>
      <c r="P148" s="488"/>
      <c r="Q148" s="489"/>
      <c r="R148" s="318" t="str">
        <f>VLOOKUP(C148,'Technology MASTER'!$B$3:$Q$107,3,FALSE)</f>
        <v>Wireless Access Control</v>
      </c>
      <c r="S148" s="318" t="str">
        <f>VLOOKUP(C148,'Technology MASTER'!$B$3:$Q$107,4,FALSE)</f>
        <v>Protect</v>
      </c>
      <c r="T148" s="318" t="e">
        <f>HLOOKUP($N$28,'Technology MASTER'!$G$2:$I$107,77,FALSE)</f>
        <v>#N/A</v>
      </c>
      <c r="U148" s="318" t="str">
        <f>VLOOKUP(C148,'Technology MASTER'!$B$3:$Q$107,13,FALSE)</f>
        <v>Insufficient segregation of communications and interfaces between the system processes, may expose sensitive information resources to unauthorized access.</v>
      </c>
      <c r="V148" s="318" t="str">
        <f>VLOOKUP(C148,'Technology MASTER'!$B$3:$Q$107,16,FALSE)</f>
        <v>Unauthorized Access to Systems or Data</v>
      </c>
      <c r="W148" s="275"/>
    </row>
    <row r="149" spans="1:23" ht="16">
      <c r="A149" s="274"/>
      <c r="B149" s="394"/>
      <c r="C149" s="394"/>
      <c r="D149" s="394"/>
      <c r="E149" s="394"/>
      <c r="F149" s="394"/>
      <c r="G149" s="394"/>
      <c r="H149" s="394"/>
      <c r="I149" s="394"/>
      <c r="J149" s="394"/>
      <c r="K149" s="394"/>
      <c r="L149" s="394"/>
      <c r="M149" s="394"/>
      <c r="N149" s="394"/>
      <c r="O149" s="394"/>
      <c r="P149" s="394"/>
      <c r="Q149" s="394"/>
      <c r="R149" s="256"/>
      <c r="S149" s="256"/>
      <c r="T149" s="256"/>
      <c r="U149" s="256"/>
      <c r="V149" s="256"/>
      <c r="W149" s="275"/>
    </row>
    <row r="150" spans="1:23" ht="48" customHeight="1">
      <c r="A150" s="274"/>
      <c r="B150" s="439" t="s">
        <v>125</v>
      </c>
      <c r="C150" s="56">
        <v>16.100000000000001</v>
      </c>
      <c r="D150" s="436" t="str">
        <f>VLOOKUP(C150,'Technology MASTER'!$B$3:$Q$107,5,FALSE)</f>
        <v>Does the organization maintain a inventory of all the accounts managed by authentication systems?</v>
      </c>
      <c r="E150" s="436"/>
      <c r="F150" s="436"/>
      <c r="G150" s="436"/>
      <c r="H150" s="436"/>
      <c r="I150" s="436"/>
      <c r="J150" s="436"/>
      <c r="K150" s="436"/>
      <c r="L150" s="437"/>
      <c r="M150" s="437"/>
      <c r="N150" s="487"/>
      <c r="O150" s="488"/>
      <c r="P150" s="488"/>
      <c r="Q150" s="489"/>
      <c r="R150" s="318" t="str">
        <f>VLOOKUP(C150,'Technology MASTER'!$B$3:$Q$107,3,FALSE)</f>
        <v>Account Monitoring and Control</v>
      </c>
      <c r="S150" s="318" t="str">
        <f>VLOOKUP(C150,'Technology MASTER'!$B$3:$Q$107,4,FALSE)</f>
        <v>Identify</v>
      </c>
      <c r="T150" s="318" t="e">
        <f>HLOOKUP($N$28,'Technology MASTER'!$G$2:$I$107,78,FALSE)</f>
        <v>#N/A</v>
      </c>
      <c r="U150" s="318" t="str">
        <f>VLOOKUP(C150,'Technology MASTER'!$B$3:$Q$107,13,FALSE)</f>
        <v>Failure to assign unique user identification and a relevant authentication mechanisms to confirm the claimed identity of an user may result in potential fraud and/or falsification of user identities.</v>
      </c>
      <c r="V150" s="318" t="str">
        <f>VLOOKUP(C150,'Technology MASTER'!$B$3:$Q$107,16,FALSE)</f>
        <v>Unauthorized Access to Systems or Data</v>
      </c>
      <c r="W150" s="275"/>
    </row>
    <row r="151" spans="1:23" ht="48" customHeight="1">
      <c r="A151" s="274"/>
      <c r="B151" s="440"/>
      <c r="C151" s="56">
        <v>16.2</v>
      </c>
      <c r="D151" s="436" t="str">
        <f>VLOOKUP(C151,'Technology MASTER'!$B$3:$Q$107,5,FALSE)</f>
        <v>Does the organization require multi-factor authenication for all user accounts, on all systems, whether managed on-site or by a third-party provider?</v>
      </c>
      <c r="E151" s="436"/>
      <c r="F151" s="436"/>
      <c r="G151" s="436"/>
      <c r="H151" s="436"/>
      <c r="I151" s="436"/>
      <c r="J151" s="436"/>
      <c r="K151" s="436"/>
      <c r="L151" s="437"/>
      <c r="M151" s="437"/>
      <c r="N151" s="487"/>
      <c r="O151" s="488"/>
      <c r="P151" s="488"/>
      <c r="Q151" s="489"/>
      <c r="R151" s="318" t="str">
        <f>VLOOKUP(C151,'Technology MASTER'!$B$3:$Q$107,3,FALSE)</f>
        <v>Account Monitoring and Control</v>
      </c>
      <c r="S151" s="318" t="str">
        <f>VLOOKUP(C151,'Technology MASTER'!$B$3:$Q$107,4,FALSE)</f>
        <v>Protect</v>
      </c>
      <c r="T151" s="318" t="e">
        <f>HLOOKUP($N$28,'Technology MASTER'!$G$2:$I$107,79,FALSE)</f>
        <v>#N/A</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40"/>
      <c r="C152" s="56">
        <v>16.3</v>
      </c>
      <c r="D152" s="436" t="str">
        <f>VLOOKUP(C152,'Technology MASTER'!$B$3:$Q$107,5,FALSE)</f>
        <v>Does the organization encrypt or hash with a salt all authentication credentials when stored?</v>
      </c>
      <c r="E152" s="436"/>
      <c r="F152" s="436"/>
      <c r="G152" s="436"/>
      <c r="H152" s="436"/>
      <c r="I152" s="436"/>
      <c r="J152" s="436"/>
      <c r="K152" s="436"/>
      <c r="L152" s="437"/>
      <c r="M152" s="437"/>
      <c r="N152" s="487"/>
      <c r="O152" s="488"/>
      <c r="P152" s="488"/>
      <c r="Q152" s="489"/>
      <c r="R152" s="318" t="str">
        <f>VLOOKUP(C152,'Technology MASTER'!$B$3:$Q$107,3,FALSE)</f>
        <v>Account Monitoring and Control</v>
      </c>
      <c r="S152" s="318" t="str">
        <f>VLOOKUP(C152,'Technology MASTER'!$B$3:$Q$107,4,FALSE)</f>
        <v>Protect</v>
      </c>
      <c r="T152" s="318" t="e">
        <f>HLOOKUP($N$28,'Technology MASTER'!$G$2:$I$107,80,FALSE)</f>
        <v>#N/A</v>
      </c>
      <c r="U152" s="318" t="str">
        <f>VLOOKUP(C152,'Technology MASTER'!$B$3:$Q$107,13,FALSE)</f>
        <v>Configuration standards are not met for systems being implemented.</v>
      </c>
      <c r="V152" s="318" t="str">
        <f>VLOOKUP(C152,'Technology MASTER'!$B$3:$Q$107,16,FALSE)</f>
        <v>Unauthorized Access to Systems or Data</v>
      </c>
      <c r="W152" s="275"/>
    </row>
    <row r="153" spans="1:23" ht="48" customHeight="1">
      <c r="A153" s="274"/>
      <c r="B153" s="440"/>
      <c r="C153" s="56">
        <v>16.399999999999999</v>
      </c>
      <c r="D153" s="436" t="str">
        <f>VLOOKUP(C153,'Technology MASTER'!$B$3:$Q$107,5,FALSE)</f>
        <v>Does the organization automatically disable dormant accounts after a set period of inactivity?</v>
      </c>
      <c r="E153" s="436"/>
      <c r="F153" s="436"/>
      <c r="G153" s="436"/>
      <c r="H153" s="436"/>
      <c r="I153" s="436"/>
      <c r="J153" s="436"/>
      <c r="K153" s="436"/>
      <c r="L153" s="437"/>
      <c r="M153" s="437"/>
      <c r="N153" s="487"/>
      <c r="O153" s="488"/>
      <c r="P153" s="488"/>
      <c r="Q153" s="489"/>
      <c r="R153" s="318" t="str">
        <f>VLOOKUP(C153,'Technology MASTER'!$B$3:$Q$107,3,FALSE)</f>
        <v>Account Monitoring and Control</v>
      </c>
      <c r="S153" s="318" t="str">
        <f>VLOOKUP(C153,'Technology MASTER'!$B$3:$Q$107,4,FALSE)</f>
        <v>Protect</v>
      </c>
      <c r="T153" s="318" t="e">
        <f>HLOOKUP($N$28,'Technology MASTER'!$G$2:$I$107,81,FALSE)</f>
        <v>#N/A</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40"/>
      <c r="C154" s="56">
        <v>16.5</v>
      </c>
      <c r="D154" s="436" t="str">
        <f>VLOOKUP(C154,'Technology MASTER'!$B$3:$Q$107,5,FALSE)</f>
        <v>Does the organization automatically lock workstation sessions after a standard period of inactivity?</v>
      </c>
      <c r="E154" s="436"/>
      <c r="F154" s="436"/>
      <c r="G154" s="436"/>
      <c r="H154" s="436"/>
      <c r="I154" s="436"/>
      <c r="J154" s="436"/>
      <c r="K154" s="436"/>
      <c r="L154" s="437"/>
      <c r="M154" s="437"/>
      <c r="N154" s="487"/>
      <c r="O154" s="488"/>
      <c r="P154" s="488"/>
      <c r="Q154" s="489"/>
      <c r="R154" s="318" t="str">
        <f>VLOOKUP(C154,'Technology MASTER'!$B$3:$Q$107,3,FALSE)</f>
        <v>Account Monitoring and Control</v>
      </c>
      <c r="S154" s="318" t="str">
        <f>VLOOKUP(C154,'Technology MASTER'!$B$3:$Q$107,4,FALSE)</f>
        <v>Protect</v>
      </c>
      <c r="T154" s="318" t="e">
        <f>HLOOKUP($N$28,'Technology MASTER'!$G$2:$I$107,82,FALSE)</f>
        <v>#N/A</v>
      </c>
      <c r="U154" s="318" t="str">
        <f>VLOOKUP(C154,'Technology MASTER'!$B$3:$Q$107,13,FALSE)</f>
        <v>Unauthorized users access operating systems by physically or logically accessing valid inactive and/or unattended sessions.</v>
      </c>
      <c r="V154" s="318" t="str">
        <f>VLOOKUP(C154,'Technology MASTER'!$B$3:$Q$107,16,FALSE)</f>
        <v>Unauthorized Access to Systems or Data</v>
      </c>
      <c r="W154" s="275"/>
    </row>
    <row r="155" spans="1:23" ht="48" customHeight="1">
      <c r="A155" s="274"/>
      <c r="B155" s="440"/>
      <c r="C155" s="56">
        <v>16.600000000000001</v>
      </c>
      <c r="D155" s="436" t="str">
        <f>VLOOKUP(C155,'Technology MASTER'!$B$3:$Q$107,5,FALSE)</f>
        <v>Does the organization have a process that is documented &amp; followed for revoking system access by disabling account immediately upon termination?</v>
      </c>
      <c r="E155" s="436"/>
      <c r="F155" s="436"/>
      <c r="G155" s="436"/>
      <c r="H155" s="436"/>
      <c r="I155" s="436"/>
      <c r="J155" s="436"/>
      <c r="K155" s="436"/>
      <c r="L155" s="437"/>
      <c r="M155" s="437"/>
      <c r="N155" s="487"/>
      <c r="O155" s="488"/>
      <c r="P155" s="488"/>
      <c r="Q155" s="489"/>
      <c r="R155" s="318" t="str">
        <f>VLOOKUP(C155,'Technology MASTER'!$B$3:$Q$107,3,FALSE)</f>
        <v>Account Monitoring and Control</v>
      </c>
      <c r="S155" s="318" t="str">
        <f>VLOOKUP(C155,'Technology MASTER'!$B$3:$Q$107,4,FALSE)</f>
        <v>Protect</v>
      </c>
      <c r="T155" s="318" t="e">
        <f>HLOOKUP($N$28,'Technology MASTER'!$G$2:$I$107,83,FALSE)</f>
        <v>#N/A</v>
      </c>
      <c r="U155" s="318" t="str">
        <f>VLOOKUP(C155,'Technology MASTER'!$B$3:$Q$107,13,FALSE)</f>
        <v>Security is breached by employees, contractors or third party users that leverage access given after termination or change of their employment, contract or agreement.</v>
      </c>
      <c r="V155" s="318" t="str">
        <f>VLOOKUP(C155,'Technology MASTER'!$B$3:$Q$107,16,FALSE)</f>
        <v>Unauthorized Access to Systems or Data</v>
      </c>
      <c r="W155" s="275"/>
    </row>
    <row r="156" spans="1:23" ht="48" customHeight="1">
      <c r="A156" s="274"/>
      <c r="B156" s="440"/>
      <c r="C156" s="56">
        <v>16.7</v>
      </c>
      <c r="D156" s="436" t="str">
        <f>VLOOKUP(C156,'Technology MASTER'!$B$3:$Q$107,5,FALSE)</f>
        <v>Do you periodically review all system accounts and disable any account that is not linked to a business process/owner?</v>
      </c>
      <c r="E156" s="436"/>
      <c r="F156" s="436"/>
      <c r="G156" s="436"/>
      <c r="H156" s="436"/>
      <c r="I156" s="436"/>
      <c r="J156" s="436"/>
      <c r="K156" s="436"/>
      <c r="L156" s="437"/>
      <c r="M156" s="437"/>
      <c r="N156" s="487"/>
      <c r="O156" s="488"/>
      <c r="P156" s="488"/>
      <c r="Q156" s="489"/>
      <c r="R156" s="318" t="str">
        <f>VLOOKUP(C156,'Technology MASTER'!$B$3:$Q$107,3,FALSE)</f>
        <v>Account Monitoring and Control</v>
      </c>
      <c r="S156" s="318" t="str">
        <f>VLOOKUP(C156,'Technology MASTER'!$B$3:$Q$107,4,FALSE)</f>
        <v>Protect</v>
      </c>
      <c r="T156" s="318" t="e">
        <f>HLOOKUP($N$28,'Technology MASTER'!$G$2:$I$107,84,FALSE)</f>
        <v>#N/A</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40"/>
      <c r="C157" s="56">
        <v>16.8</v>
      </c>
      <c r="D157" s="436" t="str">
        <f>VLOOKUP(C157,'Technology MASTER'!$B$3:$Q$107,5,FALSE)</f>
        <v>Does the organization monitor attempts to access deactivated accounts through audit logging?</v>
      </c>
      <c r="E157" s="436"/>
      <c r="F157" s="436"/>
      <c r="G157" s="436"/>
      <c r="H157" s="436"/>
      <c r="I157" s="436"/>
      <c r="J157" s="436"/>
      <c r="K157" s="436"/>
      <c r="L157" s="437"/>
      <c r="M157" s="437"/>
      <c r="N157" s="487"/>
      <c r="O157" s="488"/>
      <c r="P157" s="488"/>
      <c r="Q157" s="489"/>
      <c r="R157" s="318" t="str">
        <f>VLOOKUP(C157,'Technology MASTER'!$B$3:$Q$107,3,FALSE)</f>
        <v>Account Monitoring and Control</v>
      </c>
      <c r="S157" s="318" t="str">
        <f>VLOOKUP(C157,'Technology MASTER'!$B$3:$Q$107,4,FALSE)</f>
        <v>Detect</v>
      </c>
      <c r="T157" s="318" t="e">
        <f>HLOOKUP($N$28,'Technology MASTER'!$G$2:$I$107,85,FALSE)</f>
        <v>#N/A</v>
      </c>
      <c r="U157" s="318" t="str">
        <f>VLOOKUP(C157,'Technology MASTER'!$B$3:$Q$107,13,FALSE)</f>
        <v>Independent reviews of information security are not regularly performed to ensure the continuing suitability, adequacy, and effectiveness of the organization's information security program.</v>
      </c>
      <c r="V157" s="318" t="str">
        <f>VLOOKUP(C157,'Technology MASTER'!$B$3:$Q$107,16,FALSE)</f>
        <v>Unauthorized Access to Systems or Data</v>
      </c>
      <c r="W157" s="275"/>
    </row>
    <row r="158" spans="1:23" ht="48" customHeight="1">
      <c r="A158" s="274"/>
      <c r="B158" s="440"/>
      <c r="C158" s="56">
        <v>16.899999999999999</v>
      </c>
      <c r="D158" s="436" t="str">
        <f>VLOOKUP(C158,'Technology MASTER'!$B$3:$Q$107,5,FALSE)</f>
        <v>Does the organization alert when users deviate from normal login behavior, such as time-of-day, workstation location and duration?</v>
      </c>
      <c r="E158" s="436"/>
      <c r="F158" s="436"/>
      <c r="G158" s="436"/>
      <c r="H158" s="436"/>
      <c r="I158" s="436"/>
      <c r="J158" s="436"/>
      <c r="K158" s="436"/>
      <c r="L158" s="437"/>
      <c r="M158" s="437"/>
      <c r="N158" s="487"/>
      <c r="O158" s="488"/>
      <c r="P158" s="488"/>
      <c r="Q158" s="489"/>
      <c r="R158" s="318" t="str">
        <f>VLOOKUP(C158,'Technology MASTER'!$B$3:$Q$107,3,FALSE)</f>
        <v>Account Monitoring and Control</v>
      </c>
      <c r="S158" s="318" t="str">
        <f>VLOOKUP(C158,'Technology MASTER'!$B$3:$Q$107,4,FALSE)</f>
        <v>Detect</v>
      </c>
      <c r="T158" s="318" t="e">
        <f>HLOOKUP($N$28,'Technology MASTER'!$G$2:$I$107,86,FALSE)</f>
        <v>#N/A</v>
      </c>
      <c r="U158" s="318" t="str">
        <f>VLOOKUP(C158,'Technology MASTER'!$B$3:$Q$107,13,FALSE)</f>
        <v>The lack of logging mechanisms to record and store user activities, exceptions, and information security events may result in unauthorized access or activity going undetected.</v>
      </c>
      <c r="V158" s="318" t="str">
        <f>VLOOKUP(C158,'Technology MASTER'!$B$3:$Q$107,16,FALSE)</f>
        <v>Unauthorized Access to Systems or Data</v>
      </c>
      <c r="W158" s="275"/>
    </row>
    <row r="159" spans="1:23" ht="48" customHeight="1">
      <c r="A159" s="274"/>
      <c r="B159" s="441"/>
      <c r="C159" s="58">
        <v>16.100000000000001</v>
      </c>
      <c r="D159" s="436" t="str">
        <f>VLOOKUP(C159,'Technology MASTER'!$B$3:$Q$107,5,FALSE)</f>
        <v>Does the organization maintain a inventory of all the accounts managed by authentication systems?</v>
      </c>
      <c r="E159" s="436"/>
      <c r="F159" s="436"/>
      <c r="G159" s="436"/>
      <c r="H159" s="436"/>
      <c r="I159" s="436"/>
      <c r="J159" s="436"/>
      <c r="K159" s="436"/>
      <c r="L159" s="437"/>
      <c r="M159" s="437"/>
      <c r="N159" s="487"/>
      <c r="O159" s="488"/>
      <c r="P159" s="488"/>
      <c r="Q159" s="489"/>
      <c r="R159" s="318" t="str">
        <f>VLOOKUP(C159,'Technology MASTER'!$B$3:$Q$107,3,FALSE)</f>
        <v>Account Monitoring and Control</v>
      </c>
      <c r="S159" s="318" t="str">
        <f>VLOOKUP(C159,'Technology MASTER'!$B$3:$Q$107,4,FALSE)</f>
        <v>Identify</v>
      </c>
      <c r="T159" s="318" t="e">
        <f>HLOOKUP($N$28,'Technology MASTER'!$G$2:$I$107,87,FALSE)</f>
        <v>#N/A</v>
      </c>
      <c r="U159" s="318" t="str">
        <f>VLOOKUP(C159,'Technology MASTER'!$B$3:$Q$107,13,FALSE)</f>
        <v>Failure to assign unique user identification and a relevant authentication mechanisms to confirm the claimed identity of an user may result in potential fraud and/or falsification of user identities.</v>
      </c>
      <c r="V159" s="318" t="str">
        <f>VLOOKUP(C159,'Technology MASTER'!$B$3:$Q$107,16,FALSE)</f>
        <v>Unauthorized Access to Systems or Data</v>
      </c>
      <c r="W159" s="275"/>
    </row>
    <row r="160" spans="1:23" ht="16">
      <c r="A160" s="274"/>
      <c r="B160" s="394"/>
      <c r="C160" s="394"/>
      <c r="D160" s="394"/>
      <c r="E160" s="394"/>
      <c r="F160" s="394"/>
      <c r="G160" s="394"/>
      <c r="H160" s="394"/>
      <c r="I160" s="394"/>
      <c r="J160" s="394"/>
      <c r="K160" s="394"/>
      <c r="L160" s="394"/>
      <c r="M160" s="394"/>
      <c r="N160" s="394"/>
      <c r="O160" s="394"/>
      <c r="P160" s="394"/>
      <c r="Q160" s="394"/>
      <c r="R160" s="259"/>
      <c r="S160" s="259"/>
      <c r="T160" s="259"/>
      <c r="U160" s="259"/>
      <c r="V160" s="259"/>
      <c r="W160" s="275"/>
    </row>
    <row r="161" spans="1:23" ht="48" customHeight="1">
      <c r="A161" s="274"/>
      <c r="B161" s="439" t="s">
        <v>126</v>
      </c>
      <c r="C161" s="56">
        <v>17.100000000000001</v>
      </c>
      <c r="D161" s="436" t="str">
        <f>VLOOKUP(C161,'Technology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1" s="436"/>
      <c r="F161" s="436"/>
      <c r="G161" s="436"/>
      <c r="H161" s="436"/>
      <c r="I161" s="436"/>
      <c r="J161" s="436"/>
      <c r="K161" s="436"/>
      <c r="L161" s="437"/>
      <c r="M161" s="437"/>
      <c r="N161" s="487"/>
      <c r="O161" s="488"/>
      <c r="P161" s="488"/>
      <c r="Q161" s="489"/>
      <c r="R161" s="318" t="str">
        <f>VLOOKUP(C161,'Technology MASTER'!$B$3:$Q$107,3,FALSE)</f>
        <v>Implement a Security Awareness and Training Program</v>
      </c>
      <c r="S161" s="318" t="str">
        <f>VLOOKUP(C161,'Technology MASTER'!$B$3:$Q$107,4,FALSE)</f>
        <v>N/A</v>
      </c>
      <c r="T161" s="318" t="e">
        <f>HLOOKUP($N$28,'Technology MASTER'!$G$2:$I$107,88,FALSE)</f>
        <v>#N/A</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40"/>
      <c r="C162" s="56">
        <v>17.2</v>
      </c>
      <c r="D162" s="436" t="str">
        <f>VLOOKUP(C162,'Technology MASTER'!$B$3:$Q$107,5,FALSE)</f>
        <v>Has the organization trained workforce members on the importance of enabling and utilizing secure authentication?</v>
      </c>
      <c r="E162" s="436"/>
      <c r="F162" s="436"/>
      <c r="G162" s="436"/>
      <c r="H162" s="436"/>
      <c r="I162" s="436"/>
      <c r="J162" s="436"/>
      <c r="K162" s="436"/>
      <c r="L162" s="437"/>
      <c r="M162" s="437"/>
      <c r="N162" s="487"/>
      <c r="O162" s="488"/>
      <c r="P162" s="488"/>
      <c r="Q162" s="489"/>
      <c r="R162" s="318" t="str">
        <f>VLOOKUP(C162,'Technology MASTER'!$B$3:$Q$107,3,FALSE)</f>
        <v>Implement a Security Awareness and Training Program</v>
      </c>
      <c r="S162" s="318" t="str">
        <f>VLOOKUP(C162,'Technology MASTER'!$B$3:$Q$107,4,FALSE)</f>
        <v>N/A</v>
      </c>
      <c r="T162" s="318" t="e">
        <f>HLOOKUP($N$28,'Technology MASTER'!$G$2:$I$107,89,FALSE)</f>
        <v>#N/A</v>
      </c>
      <c r="U162" s="318" t="str">
        <f>VLOOKUP(C162,'Technology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2" s="318" t="str">
        <f>VLOOKUP(C162,'Technology MASTER'!$B$3:$Q$107,16,FALSE)</f>
        <v>Human Error</v>
      </c>
      <c r="W162" s="275"/>
    </row>
    <row r="163" spans="1:23" ht="48" customHeight="1">
      <c r="A163" s="274"/>
      <c r="B163" s="440"/>
      <c r="C163" s="56">
        <v>17.3</v>
      </c>
      <c r="D163" s="436" t="str">
        <f>VLOOKUP(C163,'Technology MASTER'!$B$3:$Q$107,5,FALSE)</f>
        <v>Has the organization trained the workforce on how to identify different forms of social engineering attacks, such as phishing, phone scams and impersonation calls?</v>
      </c>
      <c r="E163" s="436"/>
      <c r="F163" s="436"/>
      <c r="G163" s="436"/>
      <c r="H163" s="436"/>
      <c r="I163" s="436"/>
      <c r="J163" s="436"/>
      <c r="K163" s="436"/>
      <c r="L163" s="437"/>
      <c r="M163" s="437"/>
      <c r="N163" s="487"/>
      <c r="O163" s="488"/>
      <c r="P163" s="488"/>
      <c r="Q163" s="489"/>
      <c r="R163" s="318" t="str">
        <f>VLOOKUP(C163,'Technology MASTER'!$B$3:$Q$107,3,FALSE)</f>
        <v>Implement a Security Awareness and Training Program</v>
      </c>
      <c r="S163" s="318" t="str">
        <f>VLOOKUP(C163,'Technology MASTER'!$B$3:$Q$107,4,FALSE)</f>
        <v>N/A</v>
      </c>
      <c r="T163" s="318" t="e">
        <f>HLOOKUP($N$28,'Technology MASTER'!$G$2:$I$107,90,FALSE)</f>
        <v>#N/A</v>
      </c>
      <c r="U163" s="318" t="str">
        <f>VLOOKUP(C163,'Technology MASTER'!$B$3:$Q$107,13,FALSE)</f>
        <v>Social engineering tests show that personnel are still susceptible to being fooled into acting on content presented in phishing emails.</v>
      </c>
      <c r="V163" s="318" t="str">
        <f>VLOOKUP(C163,'Technology MASTER'!$B$3:$Q$107,16,FALSE)</f>
        <v>Human Error</v>
      </c>
      <c r="W163" s="275"/>
    </row>
    <row r="164" spans="1:23" ht="48" customHeight="1">
      <c r="A164" s="274"/>
      <c r="B164" s="440"/>
      <c r="C164" s="56">
        <v>17.399999999999999</v>
      </c>
      <c r="D164" s="436" t="str">
        <f>VLOOKUP(C164,'Technology MASTER'!$B$3:$Q$107,5,FALSE)</f>
        <v>Has the organization trained workforce on how to identify and properly store, transfer, archive and destroy sensitive information?</v>
      </c>
      <c r="E164" s="436"/>
      <c r="F164" s="436"/>
      <c r="G164" s="436"/>
      <c r="H164" s="436"/>
      <c r="I164" s="436"/>
      <c r="J164" s="436"/>
      <c r="K164" s="436"/>
      <c r="L164" s="437"/>
      <c r="M164" s="437"/>
      <c r="N164" s="487"/>
      <c r="O164" s="488"/>
      <c r="P164" s="488"/>
      <c r="Q164" s="489"/>
      <c r="R164" s="318" t="str">
        <f>VLOOKUP(C164,'Technology MASTER'!$B$3:$Q$107,3,FALSE)</f>
        <v>Implement a Security Awareness and Training Program</v>
      </c>
      <c r="S164" s="318" t="str">
        <f>VLOOKUP(C164,'Technology MASTER'!$B$3:$Q$107,4,FALSE)</f>
        <v>N/A</v>
      </c>
      <c r="T164" s="318" t="e">
        <f>HLOOKUP($N$28,'Technology MASTER'!$G$2:$I$107,91,FALSE)</f>
        <v>#N/A</v>
      </c>
      <c r="U164" s="318" t="str">
        <f>VLOOKUP(C164,'Technology MASTER'!$B$3:$Q$107,13,FALSE)</f>
        <v>Information is disclosed due to mislabeled, unlabeled or mishandled physical or electronic media.</v>
      </c>
      <c r="V164" s="318" t="str">
        <f>VLOOKUP(C164,'Technology MASTER'!$B$3:$Q$107,16,FALSE)</f>
        <v>Human Error</v>
      </c>
      <c r="W164" s="275"/>
    </row>
    <row r="165" spans="1:23" ht="48" customHeight="1">
      <c r="A165" s="274"/>
      <c r="B165" s="440"/>
      <c r="C165" s="56">
        <v>17.5</v>
      </c>
      <c r="D165" s="436" t="str">
        <f>VLOOKUP(C165,'Technology MASTER'!$B$3:$Q$107,5,FALSE)</f>
        <v>Has the organization trained workforce members to be aware of causes for unintentional data exposures, such as losing their mobile devices or emailing the wrong person due to autocomplete in email?</v>
      </c>
      <c r="E165" s="436"/>
      <c r="F165" s="436"/>
      <c r="G165" s="436"/>
      <c r="H165" s="436"/>
      <c r="I165" s="436"/>
      <c r="J165" s="436"/>
      <c r="K165" s="436"/>
      <c r="L165" s="437"/>
      <c r="M165" s="437"/>
      <c r="N165" s="487"/>
      <c r="O165" s="488"/>
      <c r="P165" s="488"/>
      <c r="Q165" s="489"/>
      <c r="R165" s="318" t="str">
        <f>VLOOKUP(C165,'Technology MASTER'!$B$3:$Q$107,3,FALSE)</f>
        <v>Implement a Security Awareness and Training Program</v>
      </c>
      <c r="S165" s="318" t="str">
        <f>VLOOKUP(C165,'Technology MASTER'!$B$3:$Q$107,4,FALSE)</f>
        <v>N/A</v>
      </c>
      <c r="T165" s="318" t="e">
        <f>HLOOKUP($N$28,'Technology MASTER'!$G$2:$I$107,92,FALSE)</f>
        <v>#N/A</v>
      </c>
      <c r="U165" s="318" t="str">
        <f>VLOOKUP(C165,'Technology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5" s="318" t="str">
        <f>VLOOKUP(C165,'Technology MASTER'!$B$3:$Q$107,16,FALSE)</f>
        <v>Human Error</v>
      </c>
      <c r="W165" s="275"/>
    </row>
    <row r="166" spans="1:23" ht="48" customHeight="1">
      <c r="A166" s="274"/>
      <c r="B166" s="441"/>
      <c r="C166" s="56">
        <v>17.600000000000001</v>
      </c>
      <c r="D166" s="436" t="str">
        <f>VLOOKUP(C166,'Technology MASTER'!$B$3:$Q$107,5,FALSE)</f>
        <v>Has the organization trained employees to be able to identify the most common indicators of an incident and be able to report such an incident?</v>
      </c>
      <c r="E166" s="436"/>
      <c r="F166" s="436"/>
      <c r="G166" s="436"/>
      <c r="H166" s="436"/>
      <c r="I166" s="436"/>
      <c r="J166" s="436"/>
      <c r="K166" s="436"/>
      <c r="L166" s="437"/>
      <c r="M166" s="437"/>
      <c r="N166" s="487"/>
      <c r="O166" s="488"/>
      <c r="P166" s="488"/>
      <c r="Q166" s="489"/>
      <c r="R166" s="318" t="str">
        <f>VLOOKUP(C166,'Technology MASTER'!$B$3:$Q$107,3,FALSE)</f>
        <v>Implement a Security Awareness and Training Program</v>
      </c>
      <c r="S166" s="318" t="str">
        <f>VLOOKUP(C166,'Technology MASTER'!$B$3:$Q$107,4,FALSE)</f>
        <v>N/A</v>
      </c>
      <c r="T166" s="318" t="e">
        <f>HLOOKUP($N$28,'Technology MASTER'!$G$2:$I$107,93,FALSE)</f>
        <v>#N/A</v>
      </c>
      <c r="U166" s="318" t="str">
        <f>VLOOKUP(C166,'Technology MASTER'!$B$3:$Q$107,13,FALSE)</f>
        <v>Employees, contractors or third party users breach security because they are not aware or trained on information security requirements.</v>
      </c>
      <c r="V166" s="318" t="str">
        <f>VLOOKUP(C166,'Technology MASTER'!$B$3:$Q$107,16,FALSE)</f>
        <v>Human Error</v>
      </c>
      <c r="W166" s="275"/>
    </row>
    <row r="167" spans="1:23" ht="16">
      <c r="A167" s="274"/>
      <c r="B167" s="394"/>
      <c r="C167" s="394"/>
      <c r="D167" s="394"/>
      <c r="E167" s="394"/>
      <c r="F167" s="394"/>
      <c r="G167" s="394"/>
      <c r="H167" s="394"/>
      <c r="I167" s="394"/>
      <c r="J167" s="394"/>
      <c r="K167" s="394"/>
      <c r="L167" s="394"/>
      <c r="M167" s="394"/>
      <c r="N167" s="394"/>
      <c r="O167" s="394"/>
      <c r="P167" s="394"/>
      <c r="Q167" s="394"/>
      <c r="R167" s="256"/>
      <c r="S167" s="256"/>
      <c r="T167" s="256"/>
      <c r="U167" s="256"/>
      <c r="V167" s="256"/>
      <c r="W167" s="275"/>
    </row>
    <row r="168" spans="1:23" ht="48" customHeight="1">
      <c r="A168" s="274"/>
      <c r="B168" s="439" t="s">
        <v>127</v>
      </c>
      <c r="C168" s="56">
        <v>18.100000000000001</v>
      </c>
      <c r="D168" s="436" t="str">
        <f>VLOOKUP(C168,'Technology MASTER'!$B$3:$Q$107,5,FALSE)</f>
        <v>Has the organization maintained separate environments for production and nonproduction systems?</v>
      </c>
      <c r="E168" s="436"/>
      <c r="F168" s="436"/>
      <c r="G168" s="436"/>
      <c r="H168" s="436"/>
      <c r="I168" s="436"/>
      <c r="J168" s="436"/>
      <c r="K168" s="436"/>
      <c r="L168" s="437"/>
      <c r="M168" s="437"/>
      <c r="N168" s="486"/>
      <c r="O168" s="486"/>
      <c r="P168" s="486"/>
      <c r="Q168" s="486"/>
      <c r="R168" s="318" t="str">
        <f>VLOOKUP(C168,'Technology MASTER'!$B$3:$Q$107,3,FALSE)</f>
        <v>Application Software Security</v>
      </c>
      <c r="S168" s="318" t="str">
        <f>VLOOKUP(C168,'Technology MASTER'!$B$3:$Q$107,4,FALSE)</f>
        <v>N/A</v>
      </c>
      <c r="T168" s="318" t="e">
        <f>HLOOKUP($N$28,'Technology MASTER'!$G$2:$I$107,94,FALSE)</f>
        <v>#N/A</v>
      </c>
      <c r="U168" s="318" t="str">
        <f>VLOOKUP(C168,'Technology MASTER'!$B$3:$Q$107,13,FALSE)</f>
        <v>Changes to the production environment that are inadequately tested disrupt production environment. Management does not approve changes to the operating environment prior to implementation into production.</v>
      </c>
      <c r="V168" s="318" t="str">
        <f>VLOOKUP(C168,'Technology MASTER'!$B$3:$Q$107,16,FALSE)</f>
        <v>Human Error</v>
      </c>
      <c r="W168" s="275"/>
    </row>
    <row r="169" spans="1:23" ht="48" customHeight="1">
      <c r="A169" s="274"/>
      <c r="B169" s="440"/>
      <c r="C169" s="56">
        <v>18.2</v>
      </c>
      <c r="D169" s="436" t="str">
        <f>VLOOKUP(C169,'Technology MASTER'!$B$3:$Q$107,5,FALSE)</f>
        <v>Has the organization only used up-to-date and trusted third-party components for the software developed by the organization?</v>
      </c>
      <c r="E169" s="436"/>
      <c r="F169" s="436"/>
      <c r="G169" s="436"/>
      <c r="H169" s="436"/>
      <c r="I169" s="436"/>
      <c r="J169" s="436"/>
      <c r="K169" s="436"/>
      <c r="L169" s="437"/>
      <c r="M169" s="437"/>
      <c r="N169" s="486"/>
      <c r="O169" s="486"/>
      <c r="P169" s="486"/>
      <c r="Q169" s="486"/>
      <c r="R169" s="318" t="str">
        <f>VLOOKUP(C169,'Technology MASTER'!$B$3:$Q$107,3,FALSE)</f>
        <v>Application Software Security</v>
      </c>
      <c r="S169" s="318" t="str">
        <f>VLOOKUP(C169,'Technology MASTER'!$B$3:$Q$107,4,FALSE)</f>
        <v>N/A</v>
      </c>
      <c r="T169" s="318" t="e">
        <f>HLOOKUP($N$28,'Technology MASTER'!$G$2:$I$107,95,FALSE)</f>
        <v>#N/A</v>
      </c>
      <c r="U169" s="318" t="str">
        <f>VLOOKUP(C169,'Technology MASTER'!$B$3:$Q$107,13,FALSE)</f>
        <v>Networks and supporting infrastructure are exposed to unauthorized parties due to lack of defined network security and administration policies, procedures and standards.</v>
      </c>
      <c r="V169" s="318" t="str">
        <f>VLOOKUP(C169,'Technology MASTER'!$B$3:$Q$107,16,FALSE)</f>
        <v>Cyber Attack</v>
      </c>
      <c r="W169" s="275"/>
    </row>
    <row r="170" spans="1:23" ht="48" customHeight="1">
      <c r="A170" s="274"/>
      <c r="B170" s="440"/>
      <c r="C170" s="56">
        <v>18.3</v>
      </c>
      <c r="D170" s="436" t="str">
        <f>VLOOKUP(C170,'Technology MASTER'!$B$3:$Q$107,5,FALSE)</f>
        <v>Do all software development personnel receive training in writing secure code for their specific development environment and responsibilities?</v>
      </c>
      <c r="E170" s="436"/>
      <c r="F170" s="436"/>
      <c r="G170" s="436"/>
      <c r="H170" s="436"/>
      <c r="I170" s="436"/>
      <c r="J170" s="436"/>
      <c r="K170" s="436"/>
      <c r="L170" s="437"/>
      <c r="M170" s="437"/>
      <c r="N170" s="486"/>
      <c r="O170" s="486"/>
      <c r="P170" s="486"/>
      <c r="Q170" s="486"/>
      <c r="R170" s="318" t="str">
        <f>VLOOKUP(C170,'Technology MASTER'!$B$3:$Q$107,3,FALSE)</f>
        <v>Application Software Security</v>
      </c>
      <c r="S170" s="318" t="str">
        <f>VLOOKUP(C170,'Technology MASTER'!$B$3:$Q$107,4,FALSE)</f>
        <v>N/A</v>
      </c>
      <c r="T170" s="318" t="e">
        <f>HLOOKUP($N$28,'Technology MASTER'!$G$2:$I$107,96,FALSE)</f>
        <v>#N/A</v>
      </c>
      <c r="U170" s="318" t="str">
        <f>VLOOKUP(C170,'Technology MASTER'!$B$3:$Q$107,13,FALSE)</f>
        <v>Applications and technology solutions are not effectively and efficiently used since a training curriculum for employees has not been established or regularly updated.</v>
      </c>
      <c r="V170" s="318" t="str">
        <f>VLOOKUP(C170,'Technology MASTER'!$B$3:$Q$107,16,FALSE)</f>
        <v>Human Error</v>
      </c>
      <c r="W170" s="275"/>
    </row>
    <row r="171" spans="1:23" ht="48" customHeight="1">
      <c r="A171" s="274"/>
      <c r="B171" s="440"/>
      <c r="C171" s="56">
        <v>18.399999999999999</v>
      </c>
      <c r="D171" s="436" t="str">
        <f>VLOOKUP(C171,'Technology MASTER'!$B$3:$Q$107,5,FALSE)</f>
        <v>Does your organization protect its web applications by deploying Web Application Firewalls (WAFs) that inspect all traffic flowing to the application for common web appliation attacks?</v>
      </c>
      <c r="E171" s="436"/>
      <c r="F171" s="436"/>
      <c r="G171" s="436"/>
      <c r="H171" s="436"/>
      <c r="I171" s="436"/>
      <c r="J171" s="436"/>
      <c r="K171" s="436"/>
      <c r="L171" s="437"/>
      <c r="M171" s="437"/>
      <c r="N171" s="486"/>
      <c r="O171" s="486"/>
      <c r="P171" s="486"/>
      <c r="Q171" s="486"/>
      <c r="R171" s="318" t="str">
        <f>VLOOKUP(C171,'Technology MASTER'!$B$3:$Q$107,3,FALSE)</f>
        <v>Application Software Security</v>
      </c>
      <c r="S171" s="318" t="str">
        <f>VLOOKUP(C171,'Technology MASTER'!$B$3:$Q$107,4,FALSE)</f>
        <v>N/A</v>
      </c>
      <c r="T171" s="318" t="e">
        <f>HLOOKUP($N$28,'Technology MASTER'!$G$2:$I$107,97,FALSE)</f>
        <v>#N/A</v>
      </c>
      <c r="U171" s="318" t="str">
        <f>VLOOKUP(C171,'Technology MASTER'!$B$3:$Q$107,13,FALSE)</f>
        <v>Programming errors or misconfiguration leads to vulnerabilities that can be exploited.</v>
      </c>
      <c r="V171" s="318" t="str">
        <f>VLOOKUP(C171,'Technology MASTER'!$B$3:$Q$107,16,FALSE)</f>
        <v>Cyber Attack</v>
      </c>
      <c r="W171" s="275"/>
    </row>
    <row r="172" spans="1:23" ht="48" customHeight="1">
      <c r="A172" s="274"/>
      <c r="B172" s="440"/>
      <c r="C172" s="56">
        <v>18.5</v>
      </c>
      <c r="D172" s="436" t="str">
        <f>VLOOKUP(C172,'Technology MASTER'!$B$3:$Q$107,5,FALSE)</f>
        <v>Has the organization applied static and dynamic analysis tools to verify that secure coding practices are being adhered to for internally developed software??</v>
      </c>
      <c r="E172" s="436"/>
      <c r="F172" s="436"/>
      <c r="G172" s="436"/>
      <c r="H172" s="436"/>
      <c r="I172" s="436"/>
      <c r="J172" s="436"/>
      <c r="K172" s="436"/>
      <c r="L172" s="437"/>
      <c r="M172" s="437"/>
      <c r="N172" s="486"/>
      <c r="O172" s="486"/>
      <c r="P172" s="486"/>
      <c r="Q172" s="486"/>
      <c r="R172" s="318" t="str">
        <f>VLOOKUP(C172,'Technology MASTER'!$B$3:$Q$107,3,FALSE)</f>
        <v>Application Software Security</v>
      </c>
      <c r="S172" s="318" t="str">
        <f>VLOOKUP(C172,'Technology MASTER'!$B$3:$Q$107,4,FALSE)</f>
        <v>N/A</v>
      </c>
      <c r="T172" s="318" t="e">
        <f>HLOOKUP($N$28,'Technology MASTER'!$G$2:$I$107,98,FALSE)</f>
        <v>#N/A</v>
      </c>
      <c r="U172" s="318" t="str">
        <f>VLOOKUP(C172,'Technology MASTER'!$B$3:$Q$107,13,FALSE)</f>
        <v>Security vulnerabilities may not be identified timely.</v>
      </c>
      <c r="V172" s="318" t="str">
        <f>VLOOKUP(C172,'Technology MASTER'!$B$3:$Q$107,16,FALSE)</f>
        <v>Human Error</v>
      </c>
      <c r="W172" s="275"/>
    </row>
    <row r="173" spans="1:23" ht="48" customHeight="1">
      <c r="A173" s="274"/>
      <c r="B173" s="441"/>
      <c r="C173" s="56">
        <v>18.600000000000001</v>
      </c>
      <c r="D173" s="436" t="str">
        <f>VLOOKUP(C173,'Technology MASTER'!$B$3:$Q$107,5,FALSE)</f>
        <v>Has the organization established a process to accept and address reports of software vulnerabilities, including providing a means for external entities to contact your security group?</v>
      </c>
      <c r="E173" s="436"/>
      <c r="F173" s="436"/>
      <c r="G173" s="436"/>
      <c r="H173" s="436"/>
      <c r="I173" s="436"/>
      <c r="J173" s="436"/>
      <c r="K173" s="436"/>
      <c r="L173" s="437"/>
      <c r="M173" s="437"/>
      <c r="N173" s="486"/>
      <c r="O173" s="486"/>
      <c r="P173" s="486"/>
      <c r="Q173" s="486"/>
      <c r="R173" s="318" t="str">
        <f>VLOOKUP(C173,'Technology MASTER'!$B$3:$Q$107,3,FALSE)</f>
        <v>Application Software Security</v>
      </c>
      <c r="S173" s="318" t="str">
        <f>VLOOKUP(C173,'Technology MASTER'!$B$3:$Q$107,4,FALSE)</f>
        <v>N/A</v>
      </c>
      <c r="T173" s="318" t="e">
        <f>HLOOKUP($N$28,'Technology MASTER'!$G$2:$I$107,99,FALSE)</f>
        <v>#N/A</v>
      </c>
      <c r="U173" s="318" t="str">
        <f>VLOOKUP(C173,'Technology MASTER'!$B$3:$Q$107,13,FALSE)</f>
        <v>Security vulnerabilities may not be identified timely.</v>
      </c>
      <c r="V173" s="318" t="str">
        <f>VLOOKUP(C173,'Technology MASTER'!$B$3:$Q$107,16,FALSE)</f>
        <v>Human Error</v>
      </c>
      <c r="W173" s="275"/>
    </row>
    <row r="174" spans="1:23" ht="16">
      <c r="A174" s="274"/>
      <c r="B174" s="394"/>
      <c r="C174" s="394"/>
      <c r="D174" s="394"/>
      <c r="E174" s="394"/>
      <c r="F174" s="394"/>
      <c r="G174" s="394"/>
      <c r="H174" s="394"/>
      <c r="I174" s="394"/>
      <c r="J174" s="394"/>
      <c r="K174" s="394"/>
      <c r="L174" s="394"/>
      <c r="M174" s="394"/>
      <c r="N174" s="394"/>
      <c r="O174" s="394"/>
      <c r="P174" s="394"/>
      <c r="Q174" s="394"/>
      <c r="R174" s="259"/>
      <c r="S174" s="259"/>
      <c r="T174" s="259"/>
      <c r="U174" s="259"/>
      <c r="V174" s="259"/>
      <c r="W174" s="275"/>
    </row>
    <row r="175" spans="1:23" ht="48" customHeight="1">
      <c r="A175" s="274"/>
      <c r="B175" s="439" t="s">
        <v>128</v>
      </c>
      <c r="C175" s="56">
        <v>19.100000000000001</v>
      </c>
      <c r="D175" s="436" t="str">
        <f>VLOOKUP(C175,'Technology MASTER'!$B$3:$Q$107,5,FALSE)</f>
        <v>Has the organization ensured that there are written incident response plans that defines roles of personnel as well as phases of incident handling/management?</v>
      </c>
      <c r="E175" s="436"/>
      <c r="F175" s="436"/>
      <c r="G175" s="436"/>
      <c r="H175" s="436"/>
      <c r="I175" s="436"/>
      <c r="J175" s="436"/>
      <c r="K175" s="436"/>
      <c r="L175" s="437"/>
      <c r="M175" s="437"/>
      <c r="N175" s="486"/>
      <c r="O175" s="486"/>
      <c r="P175" s="486"/>
      <c r="Q175" s="486"/>
      <c r="R175" s="318" t="str">
        <f>VLOOKUP(C175,'Technology MASTER'!$B$3:$Q$107,3,FALSE)</f>
        <v>Incident Response and Management</v>
      </c>
      <c r="S175" s="318" t="str">
        <f>VLOOKUP(C175,'Technology MASTER'!$B$3:$Q$107,4,FALSE)</f>
        <v>N/A</v>
      </c>
      <c r="T175" s="318" t="e">
        <f>HLOOKUP($N$28,'Technology MASTER'!$G$2:$I$107,100,FALSE)</f>
        <v>#N/A</v>
      </c>
      <c r="U175" s="318" t="str">
        <f>VLOOKUP(C175,'Technology MASTER'!$B$3:$Q$107,13,FALSE)</f>
        <v>Lack of a Security Incident Response Program may result in improper identification and handling of security events.</v>
      </c>
      <c r="V175" s="318" t="str">
        <f>VLOOKUP(C175,'Technology MASTER'!$B$3:$Q$107,16,FALSE)</f>
        <v>Environmental Disaster</v>
      </c>
      <c r="W175" s="275"/>
    </row>
    <row r="176" spans="1:23" ht="48" customHeight="1">
      <c r="A176" s="274"/>
      <c r="B176" s="440"/>
      <c r="C176" s="56">
        <v>19.2</v>
      </c>
      <c r="D176" s="436" t="str">
        <f>VLOOKUP(C176,'Technology MASTER'!$B$3:$Q$107,5,FALSE)</f>
        <v>Has the organization assigned job titles and duties for handling computer and network incidents to specific individuals and ensure tracking and documentation throughout the incident through resolution?</v>
      </c>
      <c r="E176" s="436"/>
      <c r="F176" s="436"/>
      <c r="G176" s="436"/>
      <c r="H176" s="436"/>
      <c r="I176" s="436"/>
      <c r="J176" s="436"/>
      <c r="K176" s="436"/>
      <c r="L176" s="437"/>
      <c r="M176" s="437"/>
      <c r="N176" s="486"/>
      <c r="O176" s="486"/>
      <c r="P176" s="486"/>
      <c r="Q176" s="486"/>
      <c r="R176" s="318" t="str">
        <f>VLOOKUP(C176,'Technology MASTER'!$B$3:$Q$107,3,FALSE)</f>
        <v>Incident Response and Management</v>
      </c>
      <c r="S176" s="318" t="str">
        <f>VLOOKUP(C176,'Technology MASTER'!$B$3:$Q$107,4,FALSE)</f>
        <v>N/A</v>
      </c>
      <c r="T176" s="318" t="e">
        <f>HLOOKUP($N$28,'Technology MASTER'!$G$2:$I$107,101,FALSE)</f>
        <v>#N/A</v>
      </c>
      <c r="U176" s="318" t="str">
        <f>VLOOKUP(C176,'Technology MASTER'!$B$3:$Q$107,13,FALSE)</f>
        <v>The organization is unable to manage the initial phase of an incident since the plan is not well designed and documented.</v>
      </c>
      <c r="V176" s="318" t="str">
        <f>VLOOKUP(C176,'Technology MASTER'!$B$3:$Q$107,16,FALSE)</f>
        <v>Environmental Disaster</v>
      </c>
      <c r="W176" s="275"/>
    </row>
    <row r="177" spans="1:23" ht="48" customHeight="1">
      <c r="A177" s="274"/>
      <c r="B177" s="440"/>
      <c r="C177" s="56">
        <v>19.3</v>
      </c>
      <c r="D177" s="436" t="str">
        <f>VLOOKUP(C177,'Technology MASTER'!$B$3:$Q$107,5,FALSE)</f>
        <v>Has the organization designated management personnel, as well as backups, who will support the incident handling process by acting in key decision-making roles?</v>
      </c>
      <c r="E177" s="436"/>
      <c r="F177" s="436"/>
      <c r="G177" s="436"/>
      <c r="H177" s="436"/>
      <c r="I177" s="436"/>
      <c r="J177" s="436"/>
      <c r="K177" s="436"/>
      <c r="L177" s="437"/>
      <c r="M177" s="437"/>
      <c r="N177" s="486"/>
      <c r="O177" s="486"/>
      <c r="P177" s="486"/>
      <c r="Q177" s="486"/>
      <c r="R177" s="318" t="str">
        <f>VLOOKUP(C177,'Technology MASTER'!$B$3:$Q$107,3,FALSE)</f>
        <v>Incident Response and Management</v>
      </c>
      <c r="S177" s="318" t="str">
        <f>VLOOKUP(C177,'Technology MASTER'!$B$3:$Q$107,4,FALSE)</f>
        <v>N/A</v>
      </c>
      <c r="T177" s="318" t="e">
        <f>HLOOKUP($N$28,'Technology MASTER'!$G$2:$I$107,102,FALSE)</f>
        <v>#N/A</v>
      </c>
      <c r="U177" s="318" t="str">
        <f>VLOOKUP(C177,'Technology MASTER'!$B$3:$Q$107,13,FALSE)</f>
        <v>Incidents are mishandled due to lack of defined and tested incident management plans.</v>
      </c>
      <c r="V177" s="318" t="str">
        <f>VLOOKUP(C177,'Technology MASTER'!$B$3:$Q$107,16,FALSE)</f>
        <v>Environmental Disaster</v>
      </c>
      <c r="W177" s="275"/>
    </row>
    <row r="178" spans="1:23" ht="48" customHeight="1">
      <c r="A178" s="274"/>
      <c r="B178" s="440"/>
      <c r="C178" s="56">
        <v>19.399999999999999</v>
      </c>
      <c r="D178" s="436" t="str">
        <f>VLOOKUP(C178,'Technology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8" s="436"/>
      <c r="F178" s="436"/>
      <c r="G178" s="436"/>
      <c r="H178" s="436"/>
      <c r="I178" s="436"/>
      <c r="J178" s="436"/>
      <c r="K178" s="436"/>
      <c r="L178" s="437"/>
      <c r="M178" s="437"/>
      <c r="N178" s="486"/>
      <c r="O178" s="486"/>
      <c r="P178" s="486"/>
      <c r="Q178" s="486"/>
      <c r="R178" s="318" t="str">
        <f>VLOOKUP(C178,'Technology MASTER'!$B$3:$Q$107,3,FALSE)</f>
        <v>Incident Response and Management</v>
      </c>
      <c r="S178" s="318" t="str">
        <f>VLOOKUP(C178,'Technology MASTER'!$B$3:$Q$107,4,FALSE)</f>
        <v>N/A</v>
      </c>
      <c r="T178" s="318" t="e">
        <f>HLOOKUP($N$28,'Technology MASTER'!$G$2:$I$107,103,FALSE)</f>
        <v>#N/A</v>
      </c>
      <c r="U178" s="318" t="str">
        <f>VLOOKUP(C178,'Technology MASTER'!$B$3:$Q$107,13,FALSE)</f>
        <v>Failure to train personnel on the incident response roles and responsibilities may result in inadequately coordinated processes in response to a security incident.</v>
      </c>
      <c r="V178" s="318" t="str">
        <f>VLOOKUP(C178,'Technology MASTER'!$B$3:$Q$107,16,FALSE)</f>
        <v>Environmental Disaster</v>
      </c>
      <c r="W178" s="275"/>
    </row>
    <row r="179" spans="1:23" ht="48" customHeight="1">
      <c r="A179" s="274"/>
      <c r="B179" s="441"/>
      <c r="C179" s="56">
        <v>19.5</v>
      </c>
      <c r="D179" s="436" t="str">
        <f>VLOOKUP(C179,'Technology MASTER'!$B$3:$Q$107,5,FALSE)</f>
        <v>Has the organization published information for all workforce members, regarding reporting computer anomalies and incidents to the incident handling team? Such information should be included in routine employee awareness activities.</v>
      </c>
      <c r="E179" s="436"/>
      <c r="F179" s="436"/>
      <c r="G179" s="436"/>
      <c r="H179" s="436"/>
      <c r="I179" s="436"/>
      <c r="J179" s="436"/>
      <c r="K179" s="436"/>
      <c r="L179" s="437"/>
      <c r="M179" s="437"/>
      <c r="N179" s="486"/>
      <c r="O179" s="486"/>
      <c r="P179" s="486"/>
      <c r="Q179" s="486"/>
      <c r="R179" s="318" t="str">
        <f>VLOOKUP(C179,'Technology MASTER'!$B$3:$Q$107,3,FALSE)</f>
        <v>Incident Response and Management</v>
      </c>
      <c r="S179" s="318" t="str">
        <f>VLOOKUP(C179,'Technology MASTER'!$B$3:$Q$107,4,FALSE)</f>
        <v>N/A</v>
      </c>
      <c r="T179" s="318" t="e">
        <f>HLOOKUP($N$28,'Technology MASTER'!$G$2:$I$107,104,FALSE)</f>
        <v>#N/A</v>
      </c>
      <c r="U179" s="318" t="str">
        <f>VLOOKUP(C179,'Technology MASTER'!$B$3:$Q$107,13,FALSE)</f>
        <v>Security events and weaknesses are not detected and corrected due to lack of users reporting the events or weaknesses.</v>
      </c>
      <c r="V179" s="318" t="str">
        <f>VLOOKUP(C179,'Technology MASTER'!$B$3:$Q$107,16,FALSE)</f>
        <v>Environmental Disaster</v>
      </c>
      <c r="W179" s="275"/>
    </row>
    <row r="180" spans="1:23" ht="16">
      <c r="A180" s="274"/>
      <c r="B180" s="394"/>
      <c r="C180" s="394"/>
      <c r="D180" s="394"/>
      <c r="E180" s="394"/>
      <c r="F180" s="394"/>
      <c r="G180" s="394"/>
      <c r="H180" s="394"/>
      <c r="I180" s="394"/>
      <c r="J180" s="394"/>
      <c r="K180" s="394"/>
      <c r="L180" s="394"/>
      <c r="M180" s="394"/>
      <c r="N180" s="394"/>
      <c r="O180" s="394"/>
      <c r="P180" s="394"/>
      <c r="Q180" s="394"/>
      <c r="R180" s="256"/>
      <c r="S180" s="256"/>
      <c r="T180" s="256"/>
      <c r="U180" s="256"/>
      <c r="V180" s="256"/>
      <c r="W180" s="275"/>
    </row>
    <row r="181" spans="1:23" ht="48" customHeight="1">
      <c r="A181" s="274"/>
      <c r="B181" s="439" t="s">
        <v>129</v>
      </c>
      <c r="C181" s="56">
        <v>20.100000000000001</v>
      </c>
      <c r="D181" s="436" t="str">
        <f>VLOOKUP(C181,'Technology MASTER'!$B$3:$Q$107,5,FALSE)</f>
        <v>Has the organization conducted regular external and internal penetration tests to identify vulnerabilities and attack vectors that can be used to exploit enterprise systems successfully?</v>
      </c>
      <c r="E181" s="436"/>
      <c r="F181" s="436"/>
      <c r="G181" s="436"/>
      <c r="H181" s="436"/>
      <c r="I181" s="436"/>
      <c r="J181" s="436"/>
      <c r="K181" s="436"/>
      <c r="L181" s="437"/>
      <c r="M181" s="437"/>
      <c r="N181" s="486"/>
      <c r="O181" s="486"/>
      <c r="P181" s="486"/>
      <c r="Q181" s="486"/>
      <c r="R181" s="318" t="str">
        <f>VLOOKUP(C181,'Technology MASTER'!$B$3:$Q$107,3,FALSE)</f>
        <v>Penetration Tests and Red Team Exercises</v>
      </c>
      <c r="S181" s="318" t="str">
        <f>VLOOKUP(C181,'Technology MASTER'!$B$3:$Q$107,4,FALSE)</f>
        <v>N/A</v>
      </c>
      <c r="T181" s="318" t="e">
        <f>HLOOKUP($N$28,'Technology MASTER'!$G$2:$I$107,105,FALSE)</f>
        <v>#N/A</v>
      </c>
      <c r="U181" s="318" t="str">
        <f>VLOOKUP(C181,'Technology MASTER'!$B$3:$Q$107,13,FALSE)</f>
        <v xml:space="preserve">Do not conduct penetration testing or employ independent penetration testing </v>
      </c>
      <c r="V181" s="318" t="str">
        <f>VLOOKUP(C181,'Technology MASTER'!$B$3:$Q$107,16,FALSE)</f>
        <v>Cyber Attack</v>
      </c>
      <c r="W181" s="275"/>
    </row>
    <row r="182" spans="1:23" ht="48" customHeight="1">
      <c r="A182" s="274"/>
      <c r="B182" s="441"/>
      <c r="C182" s="56">
        <v>20.2</v>
      </c>
      <c r="D182" s="436" t="str">
        <f>VLOOKUP(C182,'Technology MASTER'!$B$3:$Q$107,5,FALSE)</f>
        <v>Has the organization performed periodic Red Team exercises to test organizational readiness to identify and stop attacks or to respond quickly and effectively?</v>
      </c>
      <c r="E182" s="436"/>
      <c r="F182" s="436"/>
      <c r="G182" s="436"/>
      <c r="H182" s="436"/>
      <c r="I182" s="436"/>
      <c r="J182" s="436"/>
      <c r="K182" s="436"/>
      <c r="L182" s="437"/>
      <c r="M182" s="437"/>
      <c r="N182" s="486"/>
      <c r="O182" s="486"/>
      <c r="P182" s="486"/>
      <c r="Q182" s="486"/>
      <c r="R182" s="318" t="str">
        <f>VLOOKUP(C182,'Technology MASTER'!$B$3:$Q$107,3,FALSE)</f>
        <v>Penetration Tests and Red Team Exercises</v>
      </c>
      <c r="S182" s="318" t="str">
        <f>VLOOKUP(C182,'Technology MASTER'!$B$3:$Q$107,4,FALSE)</f>
        <v>N/A</v>
      </c>
      <c r="T182" s="318" t="e">
        <f>HLOOKUP($N$28,'Technology MASTER'!$G$2:$I$107,106,FALSE)</f>
        <v>#N/A</v>
      </c>
      <c r="U182" s="318" t="str">
        <f>VLOOKUP(C182,'Technology MASTER'!$B$3:$Q$107,13,FALSE)</f>
        <v>Failure to train personnel on the incident response roles and responsibilities may result in inadequately coordinated processes in response to a security incident.</v>
      </c>
      <c r="V182" s="318" t="str">
        <f>VLOOKUP(C182,'Technology MASTER'!$B$3:$Q$107,16,FALSE)</f>
        <v>Cyber Attack</v>
      </c>
      <c r="W182" s="275"/>
    </row>
    <row r="183" spans="1:23" ht="17" thickBot="1">
      <c r="A183" s="274"/>
      <c r="B183" s="394"/>
      <c r="C183" s="394"/>
      <c r="D183" s="394"/>
      <c r="E183" s="394"/>
      <c r="F183" s="394"/>
      <c r="G183" s="394"/>
      <c r="H183" s="394"/>
      <c r="I183" s="394"/>
      <c r="J183" s="394"/>
      <c r="K183" s="394"/>
      <c r="L183" s="394"/>
      <c r="M183" s="394"/>
      <c r="N183" s="394"/>
      <c r="O183" s="394"/>
      <c r="P183" s="394"/>
      <c r="Q183" s="394"/>
      <c r="R183" s="394"/>
      <c r="S183" s="394"/>
      <c r="T183" s="394"/>
      <c r="U183" s="394"/>
      <c r="V183" s="394"/>
      <c r="W183" s="275"/>
    </row>
    <row r="184" spans="1:23" s="262" customFormat="1" ht="48" customHeight="1" thickTop="1" thickBot="1">
      <c r="A184" s="278"/>
      <c r="B184" s="445"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4" s="446"/>
      <c r="D184" s="446"/>
      <c r="E184" s="446"/>
      <c r="F184" s="446"/>
      <c r="G184" s="446"/>
      <c r="H184" s="446"/>
      <c r="I184" s="446"/>
      <c r="J184" s="446"/>
      <c r="K184" s="446"/>
      <c r="L184" s="446"/>
      <c r="M184" s="446"/>
      <c r="N184" s="446"/>
      <c r="O184" s="446"/>
      <c r="P184" s="446"/>
      <c r="Q184" s="447"/>
      <c r="R184" s="312"/>
      <c r="S184" s="313"/>
      <c r="T184" s="313"/>
      <c r="U184" s="313"/>
      <c r="V184" s="313"/>
      <c r="W184" s="279"/>
    </row>
    <row r="185" spans="1:23" ht="23" thickTop="1" thickBot="1">
      <c r="A185" s="280"/>
      <c r="B185" s="281"/>
      <c r="C185" s="282"/>
      <c r="D185" s="283"/>
      <c r="E185" s="284"/>
      <c r="F185" s="284"/>
      <c r="G185" s="284"/>
      <c r="H185" s="284"/>
      <c r="I185" s="284"/>
      <c r="J185" s="284"/>
      <c r="K185" s="284"/>
      <c r="L185" s="285"/>
      <c r="M185" s="285"/>
      <c r="N185" s="284"/>
      <c r="O185" s="286"/>
      <c r="P185" s="286"/>
      <c r="Q185" s="286"/>
      <c r="R185" s="319"/>
      <c r="S185" s="319"/>
      <c r="T185" s="319"/>
      <c r="U185" s="319"/>
      <c r="V185" s="319"/>
      <c r="W185" s="287"/>
    </row>
    <row r="186" spans="1:23" ht="27" thickTop="1">
      <c r="A186" s="491" t="s">
        <v>2081</v>
      </c>
      <c r="B186" s="492"/>
      <c r="C186" s="492"/>
      <c r="D186" s="492"/>
      <c r="E186" s="492"/>
      <c r="F186" s="492"/>
      <c r="G186" s="492"/>
      <c r="H186" s="492"/>
      <c r="I186" s="492"/>
      <c r="J186" s="492"/>
      <c r="K186" s="492"/>
      <c r="L186" s="492"/>
      <c r="M186" s="492"/>
      <c r="N186" s="492"/>
      <c r="O186" s="492"/>
      <c r="P186" s="492"/>
      <c r="Q186" s="492"/>
      <c r="R186" s="492"/>
      <c r="S186" s="492"/>
      <c r="T186" s="492"/>
      <c r="U186" s="492"/>
      <c r="V186" s="492"/>
      <c r="W186" s="493"/>
    </row>
    <row r="187" spans="1:23">
      <c r="A187" s="299"/>
      <c r="B187" s="268"/>
      <c r="C187" s="269"/>
      <c r="D187" s="270"/>
      <c r="E187" s="271"/>
      <c r="F187" s="271"/>
      <c r="G187" s="271"/>
      <c r="H187" s="271"/>
      <c r="I187" s="271"/>
      <c r="J187" s="271"/>
      <c r="K187" s="271"/>
      <c r="L187" s="272"/>
      <c r="M187" s="272"/>
      <c r="N187" s="271"/>
      <c r="O187" s="273"/>
      <c r="P187" s="273"/>
      <c r="Q187" s="273"/>
      <c r="R187" s="317"/>
      <c r="S187" s="317"/>
      <c r="T187" s="317"/>
      <c r="U187" s="317"/>
      <c r="V187" s="317"/>
      <c r="W187" s="275"/>
    </row>
    <row r="188" spans="1:23">
      <c r="A188" s="299"/>
      <c r="B188" s="268"/>
      <c r="C188" s="269"/>
      <c r="D188" s="270"/>
      <c r="E188" s="271"/>
      <c r="F188" s="271"/>
      <c r="G188" s="271"/>
      <c r="H188" s="271"/>
      <c r="I188" s="271"/>
      <c r="J188" s="271"/>
      <c r="K188" s="271"/>
      <c r="L188" s="272"/>
      <c r="M188" s="272"/>
      <c r="N188" s="496" t="s">
        <v>2088</v>
      </c>
      <c r="O188" s="496"/>
      <c r="P188" s="497"/>
      <c r="Q188" s="497"/>
      <c r="R188" s="317"/>
      <c r="S188" s="317"/>
      <c r="T188" s="317"/>
      <c r="U188" s="317"/>
      <c r="V188" s="317"/>
      <c r="W188" s="275"/>
    </row>
    <row r="189" spans="1:23" ht="37.5" customHeight="1">
      <c r="A189" s="299"/>
      <c r="B189" s="433" t="s">
        <v>2051</v>
      </c>
      <c r="C189" s="433"/>
      <c r="D189" s="433"/>
      <c r="E189" s="433"/>
      <c r="F189" s="433"/>
      <c r="G189" s="433"/>
      <c r="H189" s="433"/>
      <c r="I189" s="433"/>
      <c r="J189" s="433" t="s">
        <v>2052</v>
      </c>
      <c r="K189" s="433"/>
      <c r="L189" s="433"/>
      <c r="M189" s="433"/>
      <c r="N189" s="433" t="s">
        <v>2053</v>
      </c>
      <c r="O189" s="433"/>
      <c r="P189" s="433"/>
      <c r="Q189" s="433"/>
      <c r="R189" s="314"/>
      <c r="S189" s="314"/>
      <c r="T189" s="314"/>
      <c r="U189" s="314"/>
      <c r="V189" s="314"/>
      <c r="W189" s="300"/>
    </row>
    <row r="190" spans="1:23" ht="21" customHeight="1">
      <c r="A190" s="299"/>
      <c r="B190" s="426" t="s">
        <v>1558</v>
      </c>
      <c r="C190" s="426"/>
      <c r="D190" s="426"/>
      <c r="E190" s="426"/>
      <c r="F190" s="426"/>
      <c r="G190" s="426"/>
      <c r="H190" s="426"/>
      <c r="I190" s="426"/>
      <c r="J190" s="425" t="e">
        <f>'Risk Calc'!$I$57</f>
        <v>#N/A</v>
      </c>
      <c r="K190" s="420"/>
      <c r="L190" s="420"/>
      <c r="M190" s="421"/>
      <c r="N190" s="419" t="e">
        <f>'Risk Calc'!AE40</f>
        <v>#DIV/0!</v>
      </c>
      <c r="O190" s="420"/>
      <c r="P190" s="420"/>
      <c r="Q190" s="421"/>
      <c r="R190" s="315"/>
      <c r="S190" s="315"/>
      <c r="T190" s="315"/>
      <c r="U190" s="315"/>
      <c r="V190" s="315"/>
      <c r="W190" s="275"/>
    </row>
    <row r="191" spans="1:23" ht="30.75" customHeight="1">
      <c r="A191" s="299"/>
      <c r="B191" s="418" t="s">
        <v>1557</v>
      </c>
      <c r="C191" s="418"/>
      <c r="D191" s="418"/>
      <c r="E191" s="418"/>
      <c r="F191" s="418"/>
      <c r="G191" s="418"/>
      <c r="H191" s="418"/>
      <c r="I191" s="418"/>
      <c r="J191" s="422"/>
      <c r="K191" s="423"/>
      <c r="L191" s="423"/>
      <c r="M191" s="424"/>
      <c r="N191" s="422"/>
      <c r="O191" s="423"/>
      <c r="P191" s="423"/>
      <c r="Q191" s="424"/>
      <c r="R191" s="315"/>
      <c r="S191" s="315"/>
      <c r="T191" s="315"/>
      <c r="U191" s="315"/>
      <c r="V191" s="315"/>
      <c r="W191" s="275"/>
    </row>
    <row r="192" spans="1:23" ht="18.75" customHeight="1">
      <c r="A192" s="299"/>
      <c r="B192" s="426" t="s">
        <v>1559</v>
      </c>
      <c r="C192" s="426"/>
      <c r="D192" s="426"/>
      <c r="E192" s="426"/>
      <c r="F192" s="426"/>
      <c r="G192" s="426"/>
      <c r="H192" s="426"/>
      <c r="I192" s="426"/>
      <c r="J192" s="425" t="e">
        <f>'Risk Calc'!$I$57</f>
        <v>#N/A</v>
      </c>
      <c r="K192" s="420"/>
      <c r="L192" s="420"/>
      <c r="M192" s="421"/>
      <c r="N192" s="419" t="e">
        <f>'Risk Calc'!AE41</f>
        <v>#DIV/0!</v>
      </c>
      <c r="O192" s="420"/>
      <c r="P192" s="420"/>
      <c r="Q192" s="421"/>
      <c r="R192" s="315"/>
      <c r="S192" s="315"/>
      <c r="T192" s="315"/>
      <c r="U192" s="315"/>
      <c r="V192" s="315"/>
      <c r="W192" s="275"/>
    </row>
    <row r="193" spans="1:23" ht="30.75" customHeight="1">
      <c r="A193" s="299"/>
      <c r="B193" s="418" t="s">
        <v>1560</v>
      </c>
      <c r="C193" s="418"/>
      <c r="D193" s="418"/>
      <c r="E193" s="418"/>
      <c r="F193" s="418"/>
      <c r="G193" s="418"/>
      <c r="H193" s="418"/>
      <c r="I193" s="418"/>
      <c r="J193" s="422"/>
      <c r="K193" s="423"/>
      <c r="L193" s="423"/>
      <c r="M193" s="424"/>
      <c r="N193" s="422"/>
      <c r="O193" s="423"/>
      <c r="P193" s="423"/>
      <c r="Q193" s="424"/>
      <c r="R193" s="315"/>
      <c r="S193" s="315"/>
      <c r="T193" s="315"/>
      <c r="U193" s="315"/>
      <c r="V193" s="315"/>
      <c r="W193" s="275"/>
    </row>
    <row r="194" spans="1:23" ht="18.75" customHeight="1">
      <c r="A194" s="299"/>
      <c r="B194" s="426" t="s">
        <v>1504</v>
      </c>
      <c r="C194" s="426"/>
      <c r="D194" s="426"/>
      <c r="E194" s="426"/>
      <c r="F194" s="426"/>
      <c r="G194" s="426"/>
      <c r="H194" s="426"/>
      <c r="I194" s="426"/>
      <c r="J194" s="425" t="e">
        <f>'Risk Calc'!$I$57</f>
        <v>#N/A</v>
      </c>
      <c r="K194" s="420"/>
      <c r="L194" s="420"/>
      <c r="M194" s="421"/>
      <c r="N194" s="419" t="e">
        <f>'Risk Calc'!AE42</f>
        <v>#DIV/0!</v>
      </c>
      <c r="O194" s="420"/>
      <c r="P194" s="420"/>
      <c r="Q194" s="421"/>
      <c r="R194" s="315"/>
      <c r="S194" s="315"/>
      <c r="T194" s="315"/>
      <c r="U194" s="315"/>
      <c r="V194" s="315"/>
      <c r="W194" s="275"/>
    </row>
    <row r="195" spans="1:23" ht="30.75" customHeight="1">
      <c r="A195" s="299"/>
      <c r="B195" s="418" t="s">
        <v>1870</v>
      </c>
      <c r="C195" s="418"/>
      <c r="D195" s="418"/>
      <c r="E195" s="418"/>
      <c r="F195" s="418"/>
      <c r="G195" s="418"/>
      <c r="H195" s="418"/>
      <c r="I195" s="418"/>
      <c r="J195" s="422"/>
      <c r="K195" s="423"/>
      <c r="L195" s="423"/>
      <c r="M195" s="424"/>
      <c r="N195" s="422"/>
      <c r="O195" s="423"/>
      <c r="P195" s="423"/>
      <c r="Q195" s="424"/>
      <c r="R195" s="315"/>
      <c r="S195" s="315"/>
      <c r="T195" s="315"/>
      <c r="U195" s="315"/>
      <c r="V195" s="315"/>
      <c r="W195" s="275"/>
    </row>
    <row r="196" spans="1:23" ht="18.75" customHeight="1">
      <c r="A196" s="299"/>
      <c r="B196" s="426" t="s">
        <v>1505</v>
      </c>
      <c r="C196" s="426"/>
      <c r="D196" s="426"/>
      <c r="E196" s="426"/>
      <c r="F196" s="426"/>
      <c r="G196" s="426"/>
      <c r="H196" s="426"/>
      <c r="I196" s="426"/>
      <c r="J196" s="425" t="e">
        <f>'Risk Calc'!$I$57</f>
        <v>#N/A</v>
      </c>
      <c r="K196" s="420"/>
      <c r="L196" s="420"/>
      <c r="M196" s="421"/>
      <c r="N196" s="419" t="e">
        <f>'Risk Calc'!AE43</f>
        <v>#DIV/0!</v>
      </c>
      <c r="O196" s="420"/>
      <c r="P196" s="420"/>
      <c r="Q196" s="421"/>
      <c r="R196" s="315"/>
      <c r="S196" s="315"/>
      <c r="T196" s="315"/>
      <c r="U196" s="315"/>
      <c r="V196" s="315"/>
      <c r="W196" s="275"/>
    </row>
    <row r="197" spans="1:23" ht="30.75" customHeight="1">
      <c r="A197" s="299"/>
      <c r="B197" s="418" t="s">
        <v>1561</v>
      </c>
      <c r="C197" s="418"/>
      <c r="D197" s="418"/>
      <c r="E197" s="418"/>
      <c r="F197" s="418"/>
      <c r="G197" s="418"/>
      <c r="H197" s="418"/>
      <c r="I197" s="418"/>
      <c r="J197" s="422"/>
      <c r="K197" s="423"/>
      <c r="L197" s="423"/>
      <c r="M197" s="424"/>
      <c r="N197" s="422"/>
      <c r="O197" s="423"/>
      <c r="P197" s="423"/>
      <c r="Q197" s="424"/>
      <c r="R197" s="315"/>
      <c r="S197" s="315"/>
      <c r="T197" s="315"/>
      <c r="U197" s="315"/>
      <c r="V197" s="315"/>
      <c r="W197" s="275"/>
    </row>
    <row r="198" spans="1:23" ht="18.75" customHeight="1">
      <c r="A198" s="299"/>
      <c r="B198" s="426" t="s">
        <v>1506</v>
      </c>
      <c r="C198" s="426"/>
      <c r="D198" s="426"/>
      <c r="E198" s="426"/>
      <c r="F198" s="426"/>
      <c r="G198" s="426"/>
      <c r="H198" s="426"/>
      <c r="I198" s="426"/>
      <c r="J198" s="425" t="e">
        <f>'Risk Calc'!$I$57</f>
        <v>#N/A</v>
      </c>
      <c r="K198" s="420"/>
      <c r="L198" s="420"/>
      <c r="M198" s="421"/>
      <c r="N198" s="419" t="e">
        <f>'Risk Calc'!AE44</f>
        <v>#DIV/0!</v>
      </c>
      <c r="O198" s="420"/>
      <c r="P198" s="420"/>
      <c r="Q198" s="421"/>
      <c r="R198" s="315"/>
      <c r="S198" s="315"/>
      <c r="T198" s="315"/>
      <c r="U198" s="315"/>
      <c r="V198" s="315"/>
      <c r="W198" s="275"/>
    </row>
    <row r="199" spans="1:23" ht="30.75" customHeight="1">
      <c r="A199" s="299"/>
      <c r="B199" s="418" t="s">
        <v>1562</v>
      </c>
      <c r="C199" s="418"/>
      <c r="D199" s="418"/>
      <c r="E199" s="418"/>
      <c r="F199" s="418"/>
      <c r="G199" s="418"/>
      <c r="H199" s="418"/>
      <c r="I199" s="418"/>
      <c r="J199" s="422"/>
      <c r="K199" s="423"/>
      <c r="L199" s="423"/>
      <c r="M199" s="424"/>
      <c r="N199" s="422"/>
      <c r="O199" s="423"/>
      <c r="P199" s="423"/>
      <c r="Q199" s="424"/>
      <c r="R199" s="315"/>
      <c r="S199" s="315"/>
      <c r="T199" s="315"/>
      <c r="U199" s="315"/>
      <c r="V199" s="315"/>
      <c r="W199" s="275"/>
    </row>
    <row r="200" spans="1:23" ht="48" customHeight="1">
      <c r="A200" s="299"/>
      <c r="B200" s="268"/>
      <c r="C200" s="269"/>
      <c r="D200" s="270"/>
      <c r="E200" s="271"/>
      <c r="F200" s="409" t="s">
        <v>2054</v>
      </c>
      <c r="G200" s="409"/>
      <c r="H200" s="409"/>
      <c r="I200" s="409"/>
      <c r="J200" s="390" t="str">
        <f>'Risk Calc'!AD58</f>
        <v>Unknown</v>
      </c>
      <c r="K200" s="391"/>
      <c r="L200" s="391"/>
      <c r="M200" s="391"/>
      <c r="N200" s="391"/>
      <c r="O200" s="391"/>
      <c r="P200" s="391"/>
      <c r="Q200" s="392"/>
      <c r="R200" s="316"/>
      <c r="S200" s="316"/>
      <c r="T200" s="316"/>
      <c r="U200" s="316"/>
      <c r="V200" s="316"/>
      <c r="W200" s="275"/>
    </row>
    <row r="201" spans="1:23" ht="21" customHeight="1">
      <c r="A201" s="299"/>
      <c r="B201" s="268"/>
      <c r="C201" s="269"/>
      <c r="D201" s="270"/>
      <c r="E201" s="271"/>
      <c r="F201" s="393" t="s">
        <v>1920</v>
      </c>
      <c r="G201" s="393"/>
      <c r="H201" s="393"/>
      <c r="I201" s="393"/>
      <c r="J201" s="393"/>
      <c r="K201" s="393"/>
      <c r="L201" s="393"/>
      <c r="M201" s="393"/>
      <c r="N201" s="393"/>
      <c r="O201" s="393"/>
      <c r="P201" s="393"/>
      <c r="Q201" s="393"/>
      <c r="R201" s="317"/>
      <c r="S201" s="317"/>
      <c r="T201" s="317"/>
      <c r="U201" s="317"/>
      <c r="V201" s="317"/>
      <c r="W201" s="275"/>
    </row>
    <row r="202" spans="1:23" ht="16">
      <c r="A202" s="299"/>
      <c r="B202" s="410" t="s">
        <v>2056</v>
      </c>
      <c r="C202" s="411"/>
      <c r="D202" s="411"/>
      <c r="E202" s="411"/>
      <c r="F202" s="411"/>
      <c r="G202" s="411"/>
      <c r="H202" s="411"/>
      <c r="I202" s="411"/>
      <c r="J202" s="412" t="s">
        <v>2055</v>
      </c>
      <c r="K202" s="413"/>
      <c r="L202" s="413"/>
      <c r="M202" s="413"/>
      <c r="N202" s="413"/>
      <c r="O202" s="413"/>
      <c r="P202" s="413"/>
      <c r="Q202" s="414"/>
      <c r="R202" s="306"/>
      <c r="S202" s="306"/>
      <c r="T202" s="306"/>
      <c r="U202" s="306"/>
      <c r="V202" s="306"/>
      <c r="W202" s="275"/>
    </row>
    <row r="203" spans="1:23" ht="16">
      <c r="A203" s="299"/>
      <c r="B203" s="415" t="s">
        <v>1502</v>
      </c>
      <c r="C203" s="416"/>
      <c r="D203" s="416" t="s">
        <v>1418</v>
      </c>
      <c r="E203" s="416"/>
      <c r="F203" s="416"/>
      <c r="G203" s="416" t="s">
        <v>1573</v>
      </c>
      <c r="H203" s="416"/>
      <c r="I203" s="416"/>
      <c r="J203" s="417" t="s">
        <v>1503</v>
      </c>
      <c r="K203" s="407"/>
      <c r="L203" s="407" t="s">
        <v>1418</v>
      </c>
      <c r="M203" s="407"/>
      <c r="N203" s="407"/>
      <c r="O203" s="407" t="s">
        <v>1573</v>
      </c>
      <c r="P203" s="407"/>
      <c r="Q203" s="408"/>
      <c r="R203" s="305"/>
      <c r="S203" s="305"/>
      <c r="T203" s="305"/>
      <c r="U203" s="305"/>
      <c r="V203" s="305"/>
      <c r="W203" s="275"/>
    </row>
    <row r="204" spans="1:23" ht="51" customHeight="1">
      <c r="A204" s="299"/>
      <c r="B204" s="401" t="s">
        <v>1567</v>
      </c>
      <c r="C204" s="402"/>
      <c r="D204" s="403" t="s">
        <v>2058</v>
      </c>
      <c r="E204" s="403"/>
      <c r="F204" s="403"/>
      <c r="G204" s="403"/>
      <c r="H204" s="403"/>
      <c r="I204" s="404"/>
      <c r="J204" s="405" t="s">
        <v>1568</v>
      </c>
      <c r="K204" s="402"/>
      <c r="L204" s="403" t="s">
        <v>2061</v>
      </c>
      <c r="M204" s="403"/>
      <c r="N204" s="403"/>
      <c r="O204" s="403"/>
      <c r="P204" s="403"/>
      <c r="Q204" s="406"/>
      <c r="R204" s="309"/>
      <c r="S204" s="309"/>
      <c r="T204" s="309"/>
      <c r="U204" s="309"/>
      <c r="V204" s="309"/>
      <c r="W204" s="275"/>
    </row>
    <row r="205" spans="1:23" ht="51" customHeight="1">
      <c r="A205" s="299"/>
      <c r="B205" s="401" t="s">
        <v>1570</v>
      </c>
      <c r="C205" s="402"/>
      <c r="D205" s="403" t="s">
        <v>2059</v>
      </c>
      <c r="E205" s="403"/>
      <c r="F205" s="403"/>
      <c r="G205" s="403"/>
      <c r="H205" s="403"/>
      <c r="I205" s="404"/>
      <c r="J205" s="405" t="s">
        <v>1572</v>
      </c>
      <c r="K205" s="402"/>
      <c r="L205" s="403" t="s">
        <v>2062</v>
      </c>
      <c r="M205" s="403"/>
      <c r="N205" s="403"/>
      <c r="O205" s="403"/>
      <c r="P205" s="403"/>
      <c r="Q205" s="406"/>
      <c r="R205" s="309"/>
      <c r="S205" s="309"/>
      <c r="T205" s="309"/>
      <c r="U205" s="309"/>
      <c r="V205" s="309"/>
      <c r="W205" s="275"/>
    </row>
    <row r="206" spans="1:23" ht="51" customHeight="1">
      <c r="A206" s="299"/>
      <c r="B206" s="395" t="s">
        <v>1571</v>
      </c>
      <c r="C206" s="396"/>
      <c r="D206" s="397" t="s">
        <v>2060</v>
      </c>
      <c r="E206" s="397"/>
      <c r="F206" s="397"/>
      <c r="G206" s="397"/>
      <c r="H206" s="397"/>
      <c r="I206" s="398"/>
      <c r="J206" s="399" t="s">
        <v>1569</v>
      </c>
      <c r="K206" s="396"/>
      <c r="L206" s="397" t="s">
        <v>2063</v>
      </c>
      <c r="M206" s="397"/>
      <c r="N206" s="397"/>
      <c r="O206" s="397"/>
      <c r="P206" s="397"/>
      <c r="Q206" s="400"/>
      <c r="R206" s="309"/>
      <c r="S206" s="309"/>
      <c r="T206" s="309"/>
      <c r="U206" s="309"/>
      <c r="V206" s="309"/>
      <c r="W206" s="275"/>
    </row>
    <row r="207" spans="1:23" ht="22" thickBot="1">
      <c r="A207" s="292"/>
      <c r="B207" s="301"/>
      <c r="C207" s="282"/>
      <c r="D207" s="283"/>
      <c r="E207" s="302"/>
      <c r="F207" s="302"/>
      <c r="G207" s="302"/>
      <c r="H207" s="302"/>
      <c r="I207" s="302"/>
      <c r="J207" s="302"/>
      <c r="K207" s="302"/>
      <c r="L207" s="285"/>
      <c r="M207" s="285"/>
      <c r="N207" s="302"/>
      <c r="O207" s="303"/>
      <c r="P207" s="303"/>
      <c r="Q207" s="303"/>
      <c r="R207" s="319"/>
      <c r="S207" s="319"/>
      <c r="T207" s="319"/>
      <c r="U207" s="319"/>
      <c r="V207" s="319"/>
      <c r="W207" s="287"/>
    </row>
    <row r="208" spans="1:23" ht="22" thickTop="1"/>
  </sheetData>
  <mergeCells count="565">
    <mergeCell ref="N83:Q83"/>
    <mergeCell ref="N82:Q82"/>
    <mergeCell ref="N81:Q81"/>
    <mergeCell ref="N188:O188"/>
    <mergeCell ref="P188:Q188"/>
    <mergeCell ref="N6:O6"/>
    <mergeCell ref="P6:Q6"/>
    <mergeCell ref="A41:W41"/>
    <mergeCell ref="D88:K88"/>
    <mergeCell ref="B120:B124"/>
    <mergeCell ref="B59:B63"/>
    <mergeCell ref="B65:B68"/>
    <mergeCell ref="B70:B75"/>
    <mergeCell ref="B77:B84"/>
    <mergeCell ref="B86:B89"/>
    <mergeCell ref="B103:Q103"/>
    <mergeCell ref="B108:Q108"/>
    <mergeCell ref="B113:Q113"/>
    <mergeCell ref="B119:Q119"/>
    <mergeCell ref="L59:M59"/>
    <mergeCell ref="L65:M65"/>
    <mergeCell ref="N68:Q68"/>
    <mergeCell ref="A186:W186"/>
    <mergeCell ref="B42:Q42"/>
    <mergeCell ref="B43:Q43"/>
    <mergeCell ref="B57:Q57"/>
    <mergeCell ref="B125:Q125"/>
    <mergeCell ref="B132:Q132"/>
    <mergeCell ref="B138:Q138"/>
    <mergeCell ref="B143:Q143"/>
    <mergeCell ref="B149:Q149"/>
    <mergeCell ref="B160:Q160"/>
    <mergeCell ref="B167:Q167"/>
    <mergeCell ref="B174:Q174"/>
    <mergeCell ref="B180:Q180"/>
    <mergeCell ref="D65:K65"/>
    <mergeCell ref="D68:K68"/>
    <mergeCell ref="B90:Q90"/>
    <mergeCell ref="B96:Q96"/>
    <mergeCell ref="B91:B95"/>
    <mergeCell ref="B97:B102"/>
    <mergeCell ref="B104:B107"/>
    <mergeCell ref="B109:B112"/>
    <mergeCell ref="B114:B118"/>
    <mergeCell ref="D89:K89"/>
    <mergeCell ref="B64:Q64"/>
    <mergeCell ref="N67:Q67"/>
    <mergeCell ref="N66:Q66"/>
    <mergeCell ref="N65:Q65"/>
    <mergeCell ref="D66:K66"/>
    <mergeCell ref="D75:K75"/>
    <mergeCell ref="D74:K74"/>
    <mergeCell ref="D73:K73"/>
    <mergeCell ref="D72:K72"/>
    <mergeCell ref="D71:K71"/>
    <mergeCell ref="D70:K70"/>
    <mergeCell ref="L68:M68"/>
    <mergeCell ref="L67:M67"/>
    <mergeCell ref="L66:M66"/>
    <mergeCell ref="D67:K67"/>
    <mergeCell ref="B69:Q69"/>
    <mergeCell ref="B168:B173"/>
    <mergeCell ref="B175:B179"/>
    <mergeCell ref="B181:B182"/>
    <mergeCell ref="B126:B131"/>
    <mergeCell ref="B133:B137"/>
    <mergeCell ref="B139:B142"/>
    <mergeCell ref="B144:B148"/>
    <mergeCell ref="B150:B159"/>
    <mergeCell ref="B161:B166"/>
    <mergeCell ref="L58:M58"/>
    <mergeCell ref="N58:Q58"/>
    <mergeCell ref="N63:Q63"/>
    <mergeCell ref="N62:Q62"/>
    <mergeCell ref="N61:Q61"/>
    <mergeCell ref="N60:Q60"/>
    <mergeCell ref="N59:Q59"/>
    <mergeCell ref="D59:K59"/>
    <mergeCell ref="D60:K60"/>
    <mergeCell ref="D61:K61"/>
    <mergeCell ref="D62:K62"/>
    <mergeCell ref="D63:K63"/>
    <mergeCell ref="D58:K58"/>
    <mergeCell ref="L63:M63"/>
    <mergeCell ref="L62:M62"/>
    <mergeCell ref="L61:M61"/>
    <mergeCell ref="L60:M60"/>
    <mergeCell ref="D79:K79"/>
    <mergeCell ref="D78:K78"/>
    <mergeCell ref="D77:K77"/>
    <mergeCell ref="N75:Q75"/>
    <mergeCell ref="N74:Q74"/>
    <mergeCell ref="N73:Q73"/>
    <mergeCell ref="N72:Q72"/>
    <mergeCell ref="N71:Q71"/>
    <mergeCell ref="N70:Q70"/>
    <mergeCell ref="L75:M75"/>
    <mergeCell ref="L74:M74"/>
    <mergeCell ref="L73:M73"/>
    <mergeCell ref="L72:M72"/>
    <mergeCell ref="L71:M71"/>
    <mergeCell ref="L70:M70"/>
    <mergeCell ref="L77:M77"/>
    <mergeCell ref="N78:Q78"/>
    <mergeCell ref="N77:Q77"/>
    <mergeCell ref="L79:M79"/>
    <mergeCell ref="L78:M78"/>
    <mergeCell ref="B76:Q76"/>
    <mergeCell ref="N80:Q80"/>
    <mergeCell ref="N79:Q79"/>
    <mergeCell ref="D82:K82"/>
    <mergeCell ref="D81:K81"/>
    <mergeCell ref="D80:K80"/>
    <mergeCell ref="N89:Q89"/>
    <mergeCell ref="N88:Q88"/>
    <mergeCell ref="N87:Q87"/>
    <mergeCell ref="N86:Q86"/>
    <mergeCell ref="L89:M89"/>
    <mergeCell ref="L88:M88"/>
    <mergeCell ref="L87:M87"/>
    <mergeCell ref="L86:M86"/>
    <mergeCell ref="B85:Q85"/>
    <mergeCell ref="D87:K87"/>
    <mergeCell ref="D86:K86"/>
    <mergeCell ref="D84:K84"/>
    <mergeCell ref="D83:K83"/>
    <mergeCell ref="L84:M84"/>
    <mergeCell ref="L83:M83"/>
    <mergeCell ref="L82:M82"/>
    <mergeCell ref="L81:M81"/>
    <mergeCell ref="L80:M80"/>
    <mergeCell ref="N84:Q84"/>
    <mergeCell ref="L92:M92"/>
    <mergeCell ref="L91:M91"/>
    <mergeCell ref="D95:K95"/>
    <mergeCell ref="D94:K94"/>
    <mergeCell ref="D93:K93"/>
    <mergeCell ref="D92:K92"/>
    <mergeCell ref="D91:K91"/>
    <mergeCell ref="N95:Q95"/>
    <mergeCell ref="N94:Q94"/>
    <mergeCell ref="N93:Q93"/>
    <mergeCell ref="N92:Q92"/>
    <mergeCell ref="N91:Q91"/>
    <mergeCell ref="L95:M95"/>
    <mergeCell ref="L94:M94"/>
    <mergeCell ref="L93:M93"/>
    <mergeCell ref="L99:M99"/>
    <mergeCell ref="L98:M98"/>
    <mergeCell ref="L97:M97"/>
    <mergeCell ref="N102:Q102"/>
    <mergeCell ref="N101:Q101"/>
    <mergeCell ref="N100:Q100"/>
    <mergeCell ref="N99:Q99"/>
    <mergeCell ref="N98:Q98"/>
    <mergeCell ref="N97:Q97"/>
    <mergeCell ref="N107:Q107"/>
    <mergeCell ref="N106:Q106"/>
    <mergeCell ref="N105:Q105"/>
    <mergeCell ref="N104:Q104"/>
    <mergeCell ref="L107:M107"/>
    <mergeCell ref="L106:M106"/>
    <mergeCell ref="L102:M102"/>
    <mergeCell ref="L101:M101"/>
    <mergeCell ref="L100:M100"/>
    <mergeCell ref="D102:K102"/>
    <mergeCell ref="D101:K101"/>
    <mergeCell ref="D100:K100"/>
    <mergeCell ref="D99:K99"/>
    <mergeCell ref="D98:K98"/>
    <mergeCell ref="D97:K97"/>
    <mergeCell ref="N112:Q112"/>
    <mergeCell ref="N111:Q111"/>
    <mergeCell ref="N110:Q110"/>
    <mergeCell ref="N109:Q109"/>
    <mergeCell ref="L112:M112"/>
    <mergeCell ref="L111:M111"/>
    <mergeCell ref="L110:M110"/>
    <mergeCell ref="L109:M109"/>
    <mergeCell ref="L105:M105"/>
    <mergeCell ref="D112:K112"/>
    <mergeCell ref="D111:K111"/>
    <mergeCell ref="D110:K110"/>
    <mergeCell ref="D109:K109"/>
    <mergeCell ref="L104:M104"/>
    <mergeCell ref="D107:K107"/>
    <mergeCell ref="D106:K106"/>
    <mergeCell ref="D105:K105"/>
    <mergeCell ref="D104:K104"/>
    <mergeCell ref="D118:K118"/>
    <mergeCell ref="D117:K117"/>
    <mergeCell ref="D116:K116"/>
    <mergeCell ref="D115:K115"/>
    <mergeCell ref="D114:K114"/>
    <mergeCell ref="N118:Q118"/>
    <mergeCell ref="N117:Q117"/>
    <mergeCell ref="N116:Q116"/>
    <mergeCell ref="N115:Q115"/>
    <mergeCell ref="N114:Q114"/>
    <mergeCell ref="L118:M118"/>
    <mergeCell ref="L117:M117"/>
    <mergeCell ref="L116:M116"/>
    <mergeCell ref="L115:M115"/>
    <mergeCell ref="L114:M114"/>
    <mergeCell ref="D124:K124"/>
    <mergeCell ref="D123:K123"/>
    <mergeCell ref="D122:K122"/>
    <mergeCell ref="D121:K121"/>
    <mergeCell ref="D120:K120"/>
    <mergeCell ref="N124:Q124"/>
    <mergeCell ref="N123:Q123"/>
    <mergeCell ref="N122:Q122"/>
    <mergeCell ref="N121:Q121"/>
    <mergeCell ref="N120:Q120"/>
    <mergeCell ref="L124:M124"/>
    <mergeCell ref="L123:M123"/>
    <mergeCell ref="L122:M122"/>
    <mergeCell ref="L121:M121"/>
    <mergeCell ref="L120:M120"/>
    <mergeCell ref="N131:Q131"/>
    <mergeCell ref="N130:Q130"/>
    <mergeCell ref="N129:Q129"/>
    <mergeCell ref="N128:Q128"/>
    <mergeCell ref="N127:Q127"/>
    <mergeCell ref="N126:Q126"/>
    <mergeCell ref="L131:M131"/>
    <mergeCell ref="L130:M130"/>
    <mergeCell ref="L129:M129"/>
    <mergeCell ref="L128:M128"/>
    <mergeCell ref="L127:M127"/>
    <mergeCell ref="L126:M126"/>
    <mergeCell ref="D131:K131"/>
    <mergeCell ref="D130:K130"/>
    <mergeCell ref="D129:K129"/>
    <mergeCell ref="D128:K128"/>
    <mergeCell ref="D127:K127"/>
    <mergeCell ref="D126:K126"/>
    <mergeCell ref="D137:K137"/>
    <mergeCell ref="D136:K136"/>
    <mergeCell ref="D135:K135"/>
    <mergeCell ref="D134:K134"/>
    <mergeCell ref="D133:K133"/>
    <mergeCell ref="N134:Q134"/>
    <mergeCell ref="N133:Q133"/>
    <mergeCell ref="L137:M137"/>
    <mergeCell ref="L136:M136"/>
    <mergeCell ref="L135:M135"/>
    <mergeCell ref="L134:M134"/>
    <mergeCell ref="L133:M133"/>
    <mergeCell ref="N137:Q137"/>
    <mergeCell ref="N136:Q136"/>
    <mergeCell ref="N135:Q135"/>
    <mergeCell ref="D142:K142"/>
    <mergeCell ref="D141:K141"/>
    <mergeCell ref="D140:K140"/>
    <mergeCell ref="D139:K139"/>
    <mergeCell ref="N142:Q142"/>
    <mergeCell ref="N141:Q141"/>
    <mergeCell ref="N140:Q140"/>
    <mergeCell ref="N139:Q139"/>
    <mergeCell ref="L142:M142"/>
    <mergeCell ref="L141:M141"/>
    <mergeCell ref="L140:M140"/>
    <mergeCell ref="L139:M139"/>
    <mergeCell ref="D145:K145"/>
    <mergeCell ref="D144:K144"/>
    <mergeCell ref="N159:Q159"/>
    <mergeCell ref="N158:Q158"/>
    <mergeCell ref="N157:Q157"/>
    <mergeCell ref="N156:Q156"/>
    <mergeCell ref="N155:Q155"/>
    <mergeCell ref="N148:Q148"/>
    <mergeCell ref="N147:Q147"/>
    <mergeCell ref="N146:Q146"/>
    <mergeCell ref="N145:Q145"/>
    <mergeCell ref="N144:Q144"/>
    <mergeCell ref="L148:M148"/>
    <mergeCell ref="L147:M147"/>
    <mergeCell ref="L146:M146"/>
    <mergeCell ref="L145:M145"/>
    <mergeCell ref="L144:M144"/>
    <mergeCell ref="N150:Q150"/>
    <mergeCell ref="L159:M159"/>
    <mergeCell ref="L158:M158"/>
    <mergeCell ref="L157:M157"/>
    <mergeCell ref="L156:M156"/>
    <mergeCell ref="L155:M155"/>
    <mergeCell ref="D148:K148"/>
    <mergeCell ref="D147:K147"/>
    <mergeCell ref="D146:K146"/>
    <mergeCell ref="D159:K159"/>
    <mergeCell ref="D158:K158"/>
    <mergeCell ref="D157:K157"/>
    <mergeCell ref="D156:K156"/>
    <mergeCell ref="D155:K155"/>
    <mergeCell ref="N154:Q154"/>
    <mergeCell ref="N153:Q153"/>
    <mergeCell ref="N152:Q152"/>
    <mergeCell ref="N151:Q151"/>
    <mergeCell ref="D154:K154"/>
    <mergeCell ref="D153:K153"/>
    <mergeCell ref="D152:K152"/>
    <mergeCell ref="D151:K151"/>
    <mergeCell ref="D150:K150"/>
    <mergeCell ref="L154:M154"/>
    <mergeCell ref="L153:M153"/>
    <mergeCell ref="L152:M152"/>
    <mergeCell ref="L151:M151"/>
    <mergeCell ref="L150:M150"/>
    <mergeCell ref="D166:K166"/>
    <mergeCell ref="D165:K165"/>
    <mergeCell ref="D164:K164"/>
    <mergeCell ref="D163:K163"/>
    <mergeCell ref="D162:K162"/>
    <mergeCell ref="D161:K161"/>
    <mergeCell ref="N163:Q163"/>
    <mergeCell ref="N162:Q162"/>
    <mergeCell ref="N161:Q161"/>
    <mergeCell ref="L166:M166"/>
    <mergeCell ref="L165:M165"/>
    <mergeCell ref="L164:M164"/>
    <mergeCell ref="L163:M163"/>
    <mergeCell ref="L162:M162"/>
    <mergeCell ref="L161:M161"/>
    <mergeCell ref="N166:Q166"/>
    <mergeCell ref="N165:Q165"/>
    <mergeCell ref="N164:Q164"/>
    <mergeCell ref="N173:Q173"/>
    <mergeCell ref="N172:Q172"/>
    <mergeCell ref="N171:Q171"/>
    <mergeCell ref="N170:Q170"/>
    <mergeCell ref="N169:Q169"/>
    <mergeCell ref="N168:Q168"/>
    <mergeCell ref="L173:M173"/>
    <mergeCell ref="L172:M172"/>
    <mergeCell ref="L171:M171"/>
    <mergeCell ref="L170:M170"/>
    <mergeCell ref="L169:M169"/>
    <mergeCell ref="L168:M168"/>
    <mergeCell ref="D173:K173"/>
    <mergeCell ref="D172:K172"/>
    <mergeCell ref="D171:K171"/>
    <mergeCell ref="D170:K170"/>
    <mergeCell ref="D169:K169"/>
    <mergeCell ref="D168:K168"/>
    <mergeCell ref="D182:K182"/>
    <mergeCell ref="D181:K181"/>
    <mergeCell ref="D179:K179"/>
    <mergeCell ref="D178:K178"/>
    <mergeCell ref="D177:K177"/>
    <mergeCell ref="D176:K176"/>
    <mergeCell ref="D175:K175"/>
    <mergeCell ref="N175:Q175"/>
    <mergeCell ref="L182:M182"/>
    <mergeCell ref="L181:M181"/>
    <mergeCell ref="L179:M179"/>
    <mergeCell ref="L178:M178"/>
    <mergeCell ref="L177:M177"/>
    <mergeCell ref="L176:M176"/>
    <mergeCell ref="L175:M175"/>
    <mergeCell ref="N182:Q182"/>
    <mergeCell ref="N181:Q181"/>
    <mergeCell ref="N179:Q179"/>
    <mergeCell ref="N178:Q178"/>
    <mergeCell ref="N177:Q177"/>
    <mergeCell ref="N176:Q176"/>
    <mergeCell ref="B8:D8"/>
    <mergeCell ref="B11:Q11"/>
    <mergeCell ref="F12:I12"/>
    <mergeCell ref="J12:M12"/>
    <mergeCell ref="N12:Q12"/>
    <mergeCell ref="P1:Q1"/>
    <mergeCell ref="N1:O1"/>
    <mergeCell ref="D1:M1"/>
    <mergeCell ref="B5:Q5"/>
    <mergeCell ref="B6:D6"/>
    <mergeCell ref="B7:D7"/>
    <mergeCell ref="B9:D9"/>
    <mergeCell ref="B12:E12"/>
    <mergeCell ref="A3:W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26:Q26"/>
    <mergeCell ref="J28:M28"/>
    <mergeCell ref="F28:I28"/>
    <mergeCell ref="B28:E28"/>
    <mergeCell ref="B29:E29"/>
    <mergeCell ref="F29:I29"/>
    <mergeCell ref="J29:M29"/>
    <mergeCell ref="N27:Q27"/>
    <mergeCell ref="J27:M27"/>
    <mergeCell ref="F27:I27"/>
    <mergeCell ref="B27:E27"/>
    <mergeCell ref="B32:E32"/>
    <mergeCell ref="F32:I32"/>
    <mergeCell ref="J32:M32"/>
    <mergeCell ref="B34:I34"/>
    <mergeCell ref="J34:Q34"/>
    <mergeCell ref="B33:Q33"/>
    <mergeCell ref="B30:E30"/>
    <mergeCell ref="F30:I30"/>
    <mergeCell ref="J30:M30"/>
    <mergeCell ref="B31:E31"/>
    <mergeCell ref="F31:I31"/>
    <mergeCell ref="J31:M31"/>
    <mergeCell ref="N28:Q32"/>
    <mergeCell ref="G38:I38"/>
    <mergeCell ref="J38:K38"/>
    <mergeCell ref="L38:N38"/>
    <mergeCell ref="O38:Q38"/>
    <mergeCell ref="J36:K36"/>
    <mergeCell ref="B37:C37"/>
    <mergeCell ref="D37:F37"/>
    <mergeCell ref="G37:I37"/>
    <mergeCell ref="J37:K37"/>
    <mergeCell ref="L37:N37"/>
    <mergeCell ref="B36:C36"/>
    <mergeCell ref="D36:F36"/>
    <mergeCell ref="G36:I36"/>
    <mergeCell ref="O36:Q36"/>
    <mergeCell ref="L36:N36"/>
    <mergeCell ref="B184:Q184"/>
    <mergeCell ref="D45:K45"/>
    <mergeCell ref="L45:M45"/>
    <mergeCell ref="D46:K46"/>
    <mergeCell ref="L46:M46"/>
    <mergeCell ref="D47:K47"/>
    <mergeCell ref="O35:Q35"/>
    <mergeCell ref="L35:N35"/>
    <mergeCell ref="J35:K35"/>
    <mergeCell ref="G35:I35"/>
    <mergeCell ref="D35:F35"/>
    <mergeCell ref="B35:C35"/>
    <mergeCell ref="B39:C39"/>
    <mergeCell ref="D39:F39"/>
    <mergeCell ref="G39:I39"/>
    <mergeCell ref="J39:K39"/>
    <mergeCell ref="L39:N39"/>
    <mergeCell ref="O39:Q39"/>
    <mergeCell ref="O37:Q37"/>
    <mergeCell ref="B38:C38"/>
    <mergeCell ref="D38:F38"/>
    <mergeCell ref="N52:Q52"/>
    <mergeCell ref="D51:K51"/>
    <mergeCell ref="L51:M51"/>
    <mergeCell ref="D52:K52"/>
    <mergeCell ref="L52:M52"/>
    <mergeCell ref="D53:K53"/>
    <mergeCell ref="L53:M53"/>
    <mergeCell ref="L47:M47"/>
    <mergeCell ref="D48:K48"/>
    <mergeCell ref="L48:M48"/>
    <mergeCell ref="D49:K49"/>
    <mergeCell ref="L49:M49"/>
    <mergeCell ref="D50:K50"/>
    <mergeCell ref="L50:M50"/>
    <mergeCell ref="B191:I191"/>
    <mergeCell ref="B192:I192"/>
    <mergeCell ref="N190:Q191"/>
    <mergeCell ref="J190:M191"/>
    <mergeCell ref="N53:Q53"/>
    <mergeCell ref="N54:Q54"/>
    <mergeCell ref="D44:K44"/>
    <mergeCell ref="B190:I190"/>
    <mergeCell ref="B189:I189"/>
    <mergeCell ref="J189:M189"/>
    <mergeCell ref="N189:Q189"/>
    <mergeCell ref="L44:M44"/>
    <mergeCell ref="N44:Q44"/>
    <mergeCell ref="N45:Q45"/>
    <mergeCell ref="N46:Q46"/>
    <mergeCell ref="N47:Q47"/>
    <mergeCell ref="N48:Q48"/>
    <mergeCell ref="D54:K54"/>
    <mergeCell ref="L54:M54"/>
    <mergeCell ref="B56:Q56"/>
    <mergeCell ref="B45:B54"/>
    <mergeCell ref="N49:Q49"/>
    <mergeCell ref="N50:Q50"/>
    <mergeCell ref="N51:Q51"/>
    <mergeCell ref="B197:I197"/>
    <mergeCell ref="B198:I198"/>
    <mergeCell ref="N196:Q197"/>
    <mergeCell ref="J196:M197"/>
    <mergeCell ref="B195:I195"/>
    <mergeCell ref="B196:I196"/>
    <mergeCell ref="N194:Q195"/>
    <mergeCell ref="J194:M195"/>
    <mergeCell ref="B193:I193"/>
    <mergeCell ref="B194:I194"/>
    <mergeCell ref="N192:Q193"/>
    <mergeCell ref="J192:M193"/>
    <mergeCell ref="B202:I202"/>
    <mergeCell ref="J202:Q202"/>
    <mergeCell ref="B203:C203"/>
    <mergeCell ref="D203:F203"/>
    <mergeCell ref="G203:I203"/>
    <mergeCell ref="J203:K203"/>
    <mergeCell ref="L203:N203"/>
    <mergeCell ref="B199:I199"/>
    <mergeCell ref="N198:Q199"/>
    <mergeCell ref="J198:M199"/>
    <mergeCell ref="B44:C44"/>
    <mergeCell ref="J200:Q200"/>
    <mergeCell ref="F201:Q201"/>
    <mergeCell ref="B183:V183"/>
    <mergeCell ref="B206:C206"/>
    <mergeCell ref="D206:F206"/>
    <mergeCell ref="G206:I206"/>
    <mergeCell ref="J206:K206"/>
    <mergeCell ref="L206:N206"/>
    <mergeCell ref="O206:Q206"/>
    <mergeCell ref="B205:C205"/>
    <mergeCell ref="D205:F205"/>
    <mergeCell ref="G205:I205"/>
    <mergeCell ref="J205:K205"/>
    <mergeCell ref="L205:N205"/>
    <mergeCell ref="O205:Q205"/>
    <mergeCell ref="O203:Q203"/>
    <mergeCell ref="B204:C204"/>
    <mergeCell ref="D204:F204"/>
    <mergeCell ref="G204:I204"/>
    <mergeCell ref="J204:K204"/>
    <mergeCell ref="L204:N204"/>
    <mergeCell ref="O204:Q204"/>
    <mergeCell ref="F200:I200"/>
  </mergeCells>
  <conditionalFormatting sqref="L58 L185:M185 L207:M1048576 L187:M188">
    <cfRule type="containsText" dxfId="1269" priority="569" operator="containsText" text="Optional">
      <formula>NOT(ISERROR(SEARCH("Optional",L58)))</formula>
    </cfRule>
    <cfRule type="containsText" dxfId="1268" priority="570" operator="containsText" text="Recommend">
      <formula>NOT(ISERROR(SEARCH("Recommend",L58)))</formula>
    </cfRule>
    <cfRule type="containsText" dxfId="1267" priority="571" operator="containsText" text="Required">
      <formula>NOT(ISERROR(SEARCH("Required",L58)))</formula>
    </cfRule>
  </conditionalFormatting>
  <conditionalFormatting sqref="L59">
    <cfRule type="containsText" dxfId="1266" priority="563" operator="containsText" text="Optional">
      <formula>NOT(ISERROR(SEARCH("Optional",L59)))</formula>
    </cfRule>
    <cfRule type="containsText" dxfId="1265" priority="564" operator="containsText" text="Recommend">
      <formula>NOT(ISERROR(SEARCH("Recommend",L59)))</formula>
    </cfRule>
    <cfRule type="containsText" dxfId="1264" priority="565" operator="containsText" text="Required">
      <formula>NOT(ISERROR(SEARCH("Required",L59)))</formula>
    </cfRule>
  </conditionalFormatting>
  <conditionalFormatting sqref="L60:L63">
    <cfRule type="containsText" dxfId="1263" priority="158" operator="containsText" text="Optional">
      <formula>NOT(ISERROR(SEARCH("Optional",L60)))</formula>
    </cfRule>
    <cfRule type="containsText" dxfId="1262" priority="159" operator="containsText" text="Recommend">
      <formula>NOT(ISERROR(SEARCH("Recommend",L60)))</formula>
    </cfRule>
    <cfRule type="containsText" dxfId="1261" priority="160" operator="containsText" text="Required">
      <formula>NOT(ISERROR(SEARCH("Required",L60)))</formula>
    </cfRule>
  </conditionalFormatting>
  <conditionalFormatting sqref="L91:L95">
    <cfRule type="containsText" dxfId="1260" priority="80" operator="containsText" text="Optional">
      <formula>NOT(ISERROR(SEARCH("Optional",L91)))</formula>
    </cfRule>
    <cfRule type="containsText" dxfId="1259" priority="81" operator="containsText" text="Recommend">
      <formula>NOT(ISERROR(SEARCH("Recommend",L91)))</formula>
    </cfRule>
    <cfRule type="containsText" dxfId="1258" priority="82" operator="containsText" text="Required">
      <formula>NOT(ISERROR(SEARCH("Required",L91)))</formula>
    </cfRule>
  </conditionalFormatting>
  <conditionalFormatting sqref="L86:L89">
    <cfRule type="containsText" dxfId="1257" priority="84" operator="containsText" text="Optional">
      <formula>NOT(ISERROR(SEARCH("Optional",L86)))</formula>
    </cfRule>
    <cfRule type="containsText" dxfId="1256" priority="85" operator="containsText" text="Recommend">
      <formula>NOT(ISERROR(SEARCH("Recommend",L86)))</formula>
    </cfRule>
    <cfRule type="containsText" dxfId="1255" priority="86" operator="containsText" text="Required">
      <formula>NOT(ISERROR(SEARCH("Required",L86)))</formula>
    </cfRule>
  </conditionalFormatting>
  <conditionalFormatting sqref="L77:L84">
    <cfRule type="containsText" dxfId="1254" priority="88" operator="containsText" text="Optional">
      <formula>NOT(ISERROR(SEARCH("Optional",L77)))</formula>
    </cfRule>
    <cfRule type="containsText" dxfId="1253" priority="89" operator="containsText" text="Recommend">
      <formula>NOT(ISERROR(SEARCH("Recommend",L77)))</formula>
    </cfRule>
    <cfRule type="containsText" dxfId="1252" priority="90" operator="containsText" text="Required">
      <formula>NOT(ISERROR(SEARCH("Required",L77)))</formula>
    </cfRule>
  </conditionalFormatting>
  <conditionalFormatting sqref="L70:L75">
    <cfRule type="containsText" dxfId="1251" priority="92" operator="containsText" text="Optional">
      <formula>NOT(ISERROR(SEARCH("Optional",L70)))</formula>
    </cfRule>
    <cfRule type="containsText" dxfId="1250" priority="93" operator="containsText" text="Recommend">
      <formula>NOT(ISERROR(SEARCH("Recommend",L70)))</formula>
    </cfRule>
    <cfRule type="containsText" dxfId="1249" priority="94" operator="containsText" text="Required">
      <formula>NOT(ISERROR(SEARCH("Required",L70)))</formula>
    </cfRule>
  </conditionalFormatting>
  <conditionalFormatting sqref="L65:L68">
    <cfRule type="containsText" dxfId="1248" priority="96" operator="containsText" text="Optional">
      <formula>NOT(ISERROR(SEARCH("Optional",L65)))</formula>
    </cfRule>
    <cfRule type="containsText" dxfId="1247" priority="97" operator="containsText" text="Recommend">
      <formula>NOT(ISERROR(SEARCH("Recommend",L65)))</formula>
    </cfRule>
    <cfRule type="containsText" dxfId="1246" priority="98" operator="containsText" text="Required">
      <formula>NOT(ISERROR(SEARCH("Required",L65)))</formula>
    </cfRule>
  </conditionalFormatting>
  <conditionalFormatting sqref="L59:M63">
    <cfRule type="containsBlanks" dxfId="1245" priority="99">
      <formula>LEN(TRIM(L59))=0</formula>
    </cfRule>
  </conditionalFormatting>
  <conditionalFormatting sqref="L65:M68">
    <cfRule type="containsBlanks" dxfId="1244" priority="95">
      <formula>LEN(TRIM(L65))=0</formula>
    </cfRule>
  </conditionalFormatting>
  <conditionalFormatting sqref="L70:M75">
    <cfRule type="containsBlanks" dxfId="1243" priority="91">
      <formula>LEN(TRIM(L70))=0</formula>
    </cfRule>
  </conditionalFormatting>
  <conditionalFormatting sqref="L77:M84">
    <cfRule type="containsBlanks" dxfId="1242" priority="87">
      <formula>LEN(TRIM(L77))=0</formula>
    </cfRule>
  </conditionalFormatting>
  <conditionalFormatting sqref="L86:M89">
    <cfRule type="containsBlanks" dxfId="1241" priority="83">
      <formula>LEN(TRIM(L86))=0</formula>
    </cfRule>
  </conditionalFormatting>
  <conditionalFormatting sqref="L97:L102">
    <cfRule type="containsText" dxfId="1240" priority="76" operator="containsText" text="Optional">
      <formula>NOT(ISERROR(SEARCH("Optional",L97)))</formula>
    </cfRule>
    <cfRule type="containsText" dxfId="1239" priority="77" operator="containsText" text="Recommend">
      <formula>NOT(ISERROR(SEARCH("Recommend",L97)))</formula>
    </cfRule>
    <cfRule type="containsText" dxfId="1238" priority="78" operator="containsText" text="Required">
      <formula>NOT(ISERROR(SEARCH("Required",L97)))</formula>
    </cfRule>
  </conditionalFormatting>
  <conditionalFormatting sqref="L91:M95">
    <cfRule type="containsBlanks" dxfId="1237" priority="79">
      <formula>LEN(TRIM(L91))=0</formula>
    </cfRule>
  </conditionalFormatting>
  <conditionalFormatting sqref="L97:M102">
    <cfRule type="containsBlanks" dxfId="1236" priority="75">
      <formula>LEN(TRIM(L97))=0</formula>
    </cfRule>
  </conditionalFormatting>
  <conditionalFormatting sqref="L104:L107">
    <cfRule type="containsText" dxfId="1235" priority="72" operator="containsText" text="Optional">
      <formula>NOT(ISERROR(SEARCH("Optional",L104)))</formula>
    </cfRule>
    <cfRule type="containsText" dxfId="1234" priority="73" operator="containsText" text="Recommend">
      <formula>NOT(ISERROR(SEARCH("Recommend",L104)))</formula>
    </cfRule>
    <cfRule type="containsText" dxfId="1233" priority="74" operator="containsText" text="Required">
      <formula>NOT(ISERROR(SEARCH("Required",L104)))</formula>
    </cfRule>
  </conditionalFormatting>
  <conditionalFormatting sqref="L104:M107">
    <cfRule type="containsBlanks" dxfId="1232" priority="71">
      <formula>LEN(TRIM(L104))=0</formula>
    </cfRule>
  </conditionalFormatting>
  <conditionalFormatting sqref="L109:L112">
    <cfRule type="containsText" dxfId="1231" priority="68" operator="containsText" text="Optional">
      <formula>NOT(ISERROR(SEARCH("Optional",L109)))</formula>
    </cfRule>
    <cfRule type="containsText" dxfId="1230" priority="69" operator="containsText" text="Recommend">
      <formula>NOT(ISERROR(SEARCH("Recommend",L109)))</formula>
    </cfRule>
    <cfRule type="containsText" dxfId="1229" priority="70" operator="containsText" text="Required">
      <formula>NOT(ISERROR(SEARCH("Required",L109)))</formula>
    </cfRule>
  </conditionalFormatting>
  <conditionalFormatting sqref="L109:M112">
    <cfRule type="containsBlanks" dxfId="1228" priority="67">
      <formula>LEN(TRIM(L109))=0</formula>
    </cfRule>
  </conditionalFormatting>
  <conditionalFormatting sqref="L114:L118">
    <cfRule type="containsText" dxfId="1227" priority="64" operator="containsText" text="Optional">
      <formula>NOT(ISERROR(SEARCH("Optional",L114)))</formula>
    </cfRule>
    <cfRule type="containsText" dxfId="1226" priority="65" operator="containsText" text="Recommend">
      <formula>NOT(ISERROR(SEARCH("Recommend",L114)))</formula>
    </cfRule>
    <cfRule type="containsText" dxfId="1225" priority="66" operator="containsText" text="Required">
      <formula>NOT(ISERROR(SEARCH("Required",L114)))</formula>
    </cfRule>
  </conditionalFormatting>
  <conditionalFormatting sqref="L114:M118">
    <cfRule type="containsBlanks" dxfId="1224" priority="63">
      <formula>LEN(TRIM(L114))=0</formula>
    </cfRule>
  </conditionalFormatting>
  <conditionalFormatting sqref="L120:L124">
    <cfRule type="containsText" dxfId="1223" priority="60" operator="containsText" text="Optional">
      <formula>NOT(ISERROR(SEARCH("Optional",L120)))</formula>
    </cfRule>
    <cfRule type="containsText" dxfId="1222" priority="61" operator="containsText" text="Recommend">
      <formula>NOT(ISERROR(SEARCH("Recommend",L120)))</formula>
    </cfRule>
    <cfRule type="containsText" dxfId="1221" priority="62" operator="containsText" text="Required">
      <formula>NOT(ISERROR(SEARCH("Required",L120)))</formula>
    </cfRule>
  </conditionalFormatting>
  <conditionalFormatting sqref="L120:M124">
    <cfRule type="containsBlanks" dxfId="1220" priority="59">
      <formula>LEN(TRIM(L120))=0</formula>
    </cfRule>
  </conditionalFormatting>
  <conditionalFormatting sqref="L126:L131">
    <cfRule type="containsText" dxfId="1219" priority="56" operator="containsText" text="Optional">
      <formula>NOT(ISERROR(SEARCH("Optional",L126)))</formula>
    </cfRule>
    <cfRule type="containsText" dxfId="1218" priority="57" operator="containsText" text="Recommend">
      <formula>NOT(ISERROR(SEARCH("Recommend",L126)))</formula>
    </cfRule>
    <cfRule type="containsText" dxfId="1217" priority="58" operator="containsText" text="Required">
      <formula>NOT(ISERROR(SEARCH("Required",L126)))</formula>
    </cfRule>
  </conditionalFormatting>
  <conditionalFormatting sqref="L126:M131">
    <cfRule type="containsBlanks" dxfId="1216" priority="55">
      <formula>LEN(TRIM(L126))=0</formula>
    </cfRule>
  </conditionalFormatting>
  <conditionalFormatting sqref="L133:L137">
    <cfRule type="containsText" dxfId="1215" priority="52" operator="containsText" text="Optional">
      <formula>NOT(ISERROR(SEARCH("Optional",L133)))</formula>
    </cfRule>
    <cfRule type="containsText" dxfId="1214" priority="53" operator="containsText" text="Recommend">
      <formula>NOT(ISERROR(SEARCH("Recommend",L133)))</formula>
    </cfRule>
    <cfRule type="containsText" dxfId="1213" priority="54" operator="containsText" text="Required">
      <formula>NOT(ISERROR(SEARCH("Required",L133)))</formula>
    </cfRule>
  </conditionalFormatting>
  <conditionalFormatting sqref="L133:M137">
    <cfRule type="containsBlanks" dxfId="1212" priority="51">
      <formula>LEN(TRIM(L133))=0</formula>
    </cfRule>
  </conditionalFormatting>
  <conditionalFormatting sqref="L139:L142">
    <cfRule type="containsText" dxfId="1211" priority="48" operator="containsText" text="Optional">
      <formula>NOT(ISERROR(SEARCH("Optional",L139)))</formula>
    </cfRule>
    <cfRule type="containsText" dxfId="1210" priority="49" operator="containsText" text="Recommend">
      <formula>NOT(ISERROR(SEARCH("Recommend",L139)))</formula>
    </cfRule>
    <cfRule type="containsText" dxfId="1209" priority="50" operator="containsText" text="Required">
      <formula>NOT(ISERROR(SEARCH("Required",L139)))</formula>
    </cfRule>
  </conditionalFormatting>
  <conditionalFormatting sqref="L139:M142">
    <cfRule type="containsBlanks" dxfId="1208" priority="47">
      <formula>LEN(TRIM(L139))=0</formula>
    </cfRule>
  </conditionalFormatting>
  <conditionalFormatting sqref="L144:L148">
    <cfRule type="containsText" dxfId="1207" priority="44" operator="containsText" text="Optional">
      <formula>NOT(ISERROR(SEARCH("Optional",L144)))</formula>
    </cfRule>
    <cfRule type="containsText" dxfId="1206" priority="45" operator="containsText" text="Recommend">
      <formula>NOT(ISERROR(SEARCH("Recommend",L144)))</formula>
    </cfRule>
    <cfRule type="containsText" dxfId="1205" priority="46" operator="containsText" text="Required">
      <formula>NOT(ISERROR(SEARCH("Required",L144)))</formula>
    </cfRule>
  </conditionalFormatting>
  <conditionalFormatting sqref="L144:M148">
    <cfRule type="containsBlanks" dxfId="1204" priority="43">
      <formula>LEN(TRIM(L144))=0</formula>
    </cfRule>
  </conditionalFormatting>
  <conditionalFormatting sqref="L150:L159">
    <cfRule type="containsText" dxfId="1203" priority="40" operator="containsText" text="Optional">
      <formula>NOT(ISERROR(SEARCH("Optional",L150)))</formula>
    </cfRule>
    <cfRule type="containsText" dxfId="1202" priority="41" operator="containsText" text="Recommend">
      <formula>NOT(ISERROR(SEARCH("Recommend",L150)))</formula>
    </cfRule>
    <cfRule type="containsText" dxfId="1201" priority="42" operator="containsText" text="Required">
      <formula>NOT(ISERROR(SEARCH("Required",L150)))</formula>
    </cfRule>
  </conditionalFormatting>
  <conditionalFormatting sqref="L150:M159">
    <cfRule type="containsBlanks" dxfId="1200" priority="39">
      <formula>LEN(TRIM(L150))=0</formula>
    </cfRule>
  </conditionalFormatting>
  <conditionalFormatting sqref="L161:L166">
    <cfRule type="containsText" dxfId="1199" priority="36" operator="containsText" text="Optional">
      <formula>NOT(ISERROR(SEARCH("Optional",L161)))</formula>
    </cfRule>
    <cfRule type="containsText" dxfId="1198" priority="37" operator="containsText" text="Recommend">
      <formula>NOT(ISERROR(SEARCH("Recommend",L161)))</formula>
    </cfRule>
    <cfRule type="containsText" dxfId="1197" priority="38" operator="containsText" text="Required">
      <formula>NOT(ISERROR(SEARCH("Required",L161)))</formula>
    </cfRule>
  </conditionalFormatting>
  <conditionalFormatting sqref="L161:M166">
    <cfRule type="containsBlanks" dxfId="1196" priority="35">
      <formula>LEN(TRIM(L161))=0</formula>
    </cfRule>
  </conditionalFormatting>
  <conditionalFormatting sqref="L168:L173">
    <cfRule type="containsText" dxfId="1195" priority="32" operator="containsText" text="Optional">
      <formula>NOT(ISERROR(SEARCH("Optional",L168)))</formula>
    </cfRule>
    <cfRule type="containsText" dxfId="1194" priority="33" operator="containsText" text="Recommend">
      <formula>NOT(ISERROR(SEARCH("Recommend",L168)))</formula>
    </cfRule>
    <cfRule type="containsText" dxfId="1193" priority="34" operator="containsText" text="Required">
      <formula>NOT(ISERROR(SEARCH("Required",L168)))</formula>
    </cfRule>
  </conditionalFormatting>
  <conditionalFormatting sqref="L168:M173">
    <cfRule type="containsBlanks" dxfId="1192" priority="31">
      <formula>LEN(TRIM(L168))=0</formula>
    </cfRule>
  </conditionalFormatting>
  <conditionalFormatting sqref="L175:L179">
    <cfRule type="containsText" dxfId="1191" priority="28" operator="containsText" text="Optional">
      <formula>NOT(ISERROR(SEARCH("Optional",L175)))</formula>
    </cfRule>
    <cfRule type="containsText" dxfId="1190" priority="29" operator="containsText" text="Recommend">
      <formula>NOT(ISERROR(SEARCH("Recommend",L175)))</formula>
    </cfRule>
    <cfRule type="containsText" dxfId="1189" priority="30" operator="containsText" text="Required">
      <formula>NOT(ISERROR(SEARCH("Required",L175)))</formula>
    </cfRule>
  </conditionalFormatting>
  <conditionalFormatting sqref="L175:M179">
    <cfRule type="containsBlanks" dxfId="1188" priority="27">
      <formula>LEN(TRIM(L175))=0</formula>
    </cfRule>
  </conditionalFormatting>
  <conditionalFormatting sqref="L181:L182">
    <cfRule type="containsText" dxfId="1187" priority="24" operator="containsText" text="Optional">
      <formula>NOT(ISERROR(SEARCH("Optional",L181)))</formula>
    </cfRule>
    <cfRule type="containsText" dxfId="1186" priority="25" operator="containsText" text="Recommend">
      <formula>NOT(ISERROR(SEARCH("Recommend",L181)))</formula>
    </cfRule>
    <cfRule type="containsText" dxfId="1185" priority="26" operator="containsText" text="Required">
      <formula>NOT(ISERROR(SEARCH("Required",L181)))</formula>
    </cfRule>
  </conditionalFormatting>
  <conditionalFormatting sqref="L181:M182">
    <cfRule type="containsBlanks" dxfId="1184" priority="23">
      <formula>LEN(TRIM(L181))=0</formula>
    </cfRule>
  </conditionalFormatting>
  <conditionalFormatting sqref="L45:L54">
    <cfRule type="containsText" dxfId="1183" priority="20" operator="containsText" text="Optional">
      <formula>NOT(ISERROR(SEARCH("Optional",L45)))</formula>
    </cfRule>
    <cfRule type="containsText" dxfId="1182" priority="21" operator="containsText" text="Recommend">
      <formula>NOT(ISERROR(SEARCH("Recommend",L45)))</formula>
    </cfRule>
    <cfRule type="containsText" dxfId="1181" priority="22" operator="containsText" text="Required">
      <formula>NOT(ISERROR(SEARCH("Required",L45)))</formula>
    </cfRule>
  </conditionalFormatting>
  <conditionalFormatting sqref="L45:M54">
    <cfRule type="containsBlanks" dxfId="1180" priority="19">
      <formula>LEN(TRIM(L45))=0</formula>
    </cfRule>
  </conditionalFormatting>
  <conditionalFormatting sqref="L44">
    <cfRule type="containsText" dxfId="1179" priority="16" operator="containsText" text="Optional">
      <formula>NOT(ISERROR(SEARCH("Optional",L44)))</formula>
    </cfRule>
    <cfRule type="containsText" dxfId="1178" priority="17" operator="containsText" text="Recommend">
      <formula>NOT(ISERROR(SEARCH("Recommend",L44)))</formula>
    </cfRule>
    <cfRule type="containsText" dxfId="1177" priority="18" operator="containsText" text="Required">
      <formula>NOT(ISERROR(SEARCH("Required",L44)))</formula>
    </cfRule>
  </conditionalFormatting>
  <conditionalFormatting sqref="B184:V184">
    <cfRule type="containsText" dxfId="1176" priority="11" operator="containsText" text="MISSING">
      <formula>NOT(ISERROR(SEARCH("MISSING",B184)))</formula>
    </cfRule>
    <cfRule type="containsText" dxfId="1175" priority="12" operator="containsText" text="COMPLETE">
      <formula>NOT(ISERROR(SEARCH("COMPLETE",B184)))</formula>
    </cfRule>
  </conditionalFormatting>
  <conditionalFormatting sqref="B29:E32">
    <cfRule type="expression" dxfId="1174" priority="9">
      <formula>N29&gt;="Unknown"</formula>
    </cfRule>
  </conditionalFormatting>
  <conditionalFormatting sqref="E22:K22 B28:M28">
    <cfRule type="containsBlanks" dxfId="1173" priority="8">
      <formula>LEN(TRIM(B22))=0</formula>
    </cfRule>
  </conditionalFormatting>
  <conditionalFormatting sqref="E6">
    <cfRule type="containsBlanks" dxfId="1172" priority="7">
      <formula>LEN(TRIM(E6))=0</formula>
    </cfRule>
  </conditionalFormatting>
  <conditionalFormatting sqref="P6">
    <cfRule type="containsBlanks" dxfId="1171" priority="6">
      <formula>LEN(TRIM(P6))=0</formula>
    </cfRule>
  </conditionalFormatting>
  <conditionalFormatting sqref="J190:Q199">
    <cfRule type="containsErrors" dxfId="1170" priority="572">
      <formula>ISERROR(J190)</formula>
    </cfRule>
  </conditionalFormatting>
  <conditionalFormatting sqref="P188">
    <cfRule type="containsText" dxfId="1169" priority="2" operator="containsText" text="Optional">
      <formula>NOT(ISERROR(SEARCH("Optional",P188)))</formula>
    </cfRule>
    <cfRule type="containsText" dxfId="1168" priority="3" operator="containsText" text="Recommend">
      <formula>NOT(ISERROR(SEARCH("Recommend",P188)))</formula>
    </cfRule>
    <cfRule type="containsText" dxfId="1167" priority="4" operator="containsText" text="Required">
      <formula>NOT(ISERROR(SEARCH("Required",P188)))</formula>
    </cfRule>
  </conditionalFormatting>
  <conditionalFormatting sqref="P188:Q188">
    <cfRule type="containsBlanks" dxfId="1166" priority="1">
      <formula>LEN(TRIM(P188))=0</formula>
    </cfRule>
  </conditionalFormatting>
  <dataValidations count="9">
    <dataValidation type="list" allowBlank="1" showInputMessage="1" showErrorMessage="1" sqref="L168:L173 L59:L63 L65:L68 L70:L75 L77:L84 L86:L89 L91:L95 L97:L102 L104:L107 L109:L112 L114:L118 L120:L124 L126:L131 L133:L137 L139:L142 L144:L148 L150:L159 L161:L166 L181:L182 L175:L179"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L54:M54"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02"/>
  <sheetViews>
    <sheetView showGridLines="0" zoomScale="70" zoomScaleNormal="70" workbookViewId="0">
      <selection activeCell="Q11" sqref="Q11"/>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506" t="s">
        <v>2075</v>
      </c>
      <c r="F1" s="506"/>
      <c r="G1" s="506"/>
      <c r="H1" s="506"/>
      <c r="I1" s="506"/>
      <c r="J1" s="506"/>
      <c r="K1" s="506"/>
      <c r="L1" s="506"/>
      <c r="M1" s="506"/>
      <c r="N1" s="506"/>
      <c r="O1" s="506"/>
      <c r="P1" s="506"/>
      <c r="Q1" s="383"/>
      <c r="R1" s="383"/>
      <c r="S1" s="591">
        <f ca="1">TODAY()</f>
        <v>44124</v>
      </c>
      <c r="T1" s="592"/>
    </row>
    <row r="2" spans="1:20" ht="30" thickTop="1">
      <c r="A2" s="386"/>
      <c r="B2" s="387"/>
      <c r="C2" s="384"/>
      <c r="D2" s="384"/>
      <c r="E2" s="507">
        <f>'VENDOR QUESTIONNAIRE'!E6</f>
        <v>0</v>
      </c>
      <c r="F2" s="507"/>
      <c r="G2" s="507"/>
      <c r="H2" s="507"/>
      <c r="I2" s="507"/>
      <c r="J2" s="507"/>
      <c r="K2" s="507"/>
      <c r="L2" s="507"/>
      <c r="M2" s="507"/>
      <c r="N2" s="507"/>
      <c r="O2" s="507"/>
      <c r="P2" s="507"/>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546" t="s">
        <v>1528</v>
      </c>
      <c r="D4" s="547"/>
      <c r="E4" s="546" t="s">
        <v>1511</v>
      </c>
      <c r="F4" s="547"/>
      <c r="G4" s="546" t="s">
        <v>1923</v>
      </c>
      <c r="H4" s="547"/>
      <c r="I4" s="341"/>
      <c r="J4" s="341"/>
      <c r="K4" s="598" t="s">
        <v>1915</v>
      </c>
      <c r="L4" s="599"/>
      <c r="M4" s="602" t="s">
        <v>1542</v>
      </c>
      <c r="N4" s="603"/>
      <c r="O4" s="606" t="s">
        <v>2050</v>
      </c>
      <c r="P4" s="607"/>
      <c r="Q4" s="556" t="s">
        <v>1916</v>
      </c>
      <c r="R4" s="557"/>
      <c r="S4" s="341"/>
      <c r="T4" s="342"/>
    </row>
    <row r="5" spans="1:20" s="102" customFormat="1" ht="20" customHeight="1" thickBot="1">
      <c r="A5" s="340"/>
      <c r="B5" s="341"/>
      <c r="C5" s="548"/>
      <c r="D5" s="549"/>
      <c r="E5" s="548"/>
      <c r="F5" s="549"/>
      <c r="G5" s="548"/>
      <c r="H5" s="549"/>
      <c r="I5" s="341"/>
      <c r="J5" s="341"/>
      <c r="K5" s="600"/>
      <c r="L5" s="601"/>
      <c r="M5" s="604"/>
      <c r="N5" s="605"/>
      <c r="O5" s="608"/>
      <c r="P5" s="609"/>
      <c r="Q5" s="558"/>
      <c r="R5" s="559"/>
      <c r="S5" s="341"/>
      <c r="T5" s="342"/>
    </row>
    <row r="6" spans="1:20" ht="16" customHeight="1">
      <c r="A6" s="274"/>
      <c r="B6" s="343"/>
      <c r="C6" s="550" t="str">
        <f>'Risk Calc'!U14</f>
        <v>Unknown</v>
      </c>
      <c r="D6" s="551"/>
      <c r="E6" s="550" t="str">
        <f>'Risk Calc'!AD58</f>
        <v>Unknown</v>
      </c>
      <c r="F6" s="551"/>
      <c r="G6" s="550" t="str">
        <f>'Risk Calc'!AB79</f>
        <v>Unknown</v>
      </c>
      <c r="H6" s="551"/>
      <c r="I6" s="343"/>
      <c r="J6" s="343"/>
      <c r="K6" s="560">
        <f>J38</f>
        <v>0</v>
      </c>
      <c r="L6" s="561"/>
      <c r="M6" s="560">
        <f>L38</f>
        <v>0</v>
      </c>
      <c r="N6" s="561"/>
      <c r="O6" s="560">
        <f>M38</f>
        <v>0</v>
      </c>
      <c r="P6" s="561"/>
      <c r="Q6" s="560">
        <f>M93+M94+M95+M96+M7</f>
        <v>0</v>
      </c>
      <c r="R6" s="561"/>
      <c r="S6" s="343"/>
      <c r="T6" s="275"/>
    </row>
    <row r="7" spans="1:20" ht="16" customHeight="1">
      <c r="A7" s="274"/>
      <c r="B7" s="343"/>
      <c r="C7" s="552"/>
      <c r="D7" s="553"/>
      <c r="E7" s="552"/>
      <c r="F7" s="553"/>
      <c r="G7" s="552"/>
      <c r="H7" s="553"/>
      <c r="I7" s="343"/>
      <c r="J7" s="343"/>
      <c r="K7" s="562"/>
      <c r="L7" s="563"/>
      <c r="M7" s="562"/>
      <c r="N7" s="563"/>
      <c r="O7" s="562"/>
      <c r="P7" s="563"/>
      <c r="Q7" s="562"/>
      <c r="R7" s="563"/>
      <c r="S7" s="343"/>
      <c r="T7" s="275"/>
    </row>
    <row r="8" spans="1:20" ht="16" customHeight="1">
      <c r="A8" s="274"/>
      <c r="B8" s="343"/>
      <c r="C8" s="552"/>
      <c r="D8" s="553"/>
      <c r="E8" s="552"/>
      <c r="F8" s="553"/>
      <c r="G8" s="552"/>
      <c r="H8" s="553"/>
      <c r="I8" s="343"/>
      <c r="J8" s="343"/>
      <c r="K8" s="562"/>
      <c r="L8" s="563"/>
      <c r="M8" s="562"/>
      <c r="N8" s="563"/>
      <c r="O8" s="562"/>
      <c r="P8" s="563"/>
      <c r="Q8" s="562"/>
      <c r="R8" s="563"/>
      <c r="S8" s="343"/>
      <c r="T8" s="275"/>
    </row>
    <row r="9" spans="1:20" ht="16" customHeight="1">
      <c r="A9" s="274"/>
      <c r="B9" s="343"/>
      <c r="C9" s="552"/>
      <c r="D9" s="553"/>
      <c r="E9" s="552"/>
      <c r="F9" s="553"/>
      <c r="G9" s="552"/>
      <c r="H9" s="553"/>
      <c r="I9" s="343"/>
      <c r="J9" s="343"/>
      <c r="K9" s="562"/>
      <c r="L9" s="563"/>
      <c r="M9" s="562"/>
      <c r="N9" s="563"/>
      <c r="O9" s="562"/>
      <c r="P9" s="563"/>
      <c r="Q9" s="562"/>
      <c r="R9" s="563"/>
      <c r="S9" s="343"/>
      <c r="T9" s="275"/>
    </row>
    <row r="10" spans="1:20" ht="17" customHeight="1" thickBot="1">
      <c r="A10" s="274"/>
      <c r="B10" s="343"/>
      <c r="C10" s="554"/>
      <c r="D10" s="555"/>
      <c r="E10" s="554"/>
      <c r="F10" s="555"/>
      <c r="G10" s="554"/>
      <c r="H10" s="555"/>
      <c r="I10" s="343"/>
      <c r="J10" s="343"/>
      <c r="K10" s="564"/>
      <c r="L10" s="565"/>
      <c r="M10" s="564"/>
      <c r="N10" s="565"/>
      <c r="O10" s="564"/>
      <c r="P10" s="565"/>
      <c r="Q10" s="564"/>
      <c r="R10" s="565"/>
      <c r="S10" s="343"/>
      <c r="T10" s="275"/>
    </row>
    <row r="11" spans="1:20">
      <c r="A11" s="274"/>
      <c r="B11" s="343"/>
      <c r="C11" s="343"/>
      <c r="D11" s="343"/>
      <c r="E11" s="343"/>
      <c r="F11" s="343"/>
      <c r="G11" s="343"/>
      <c r="H11" s="343"/>
      <c r="I11" s="570"/>
      <c r="J11" s="570"/>
      <c r="K11" s="571"/>
      <c r="L11" s="571"/>
      <c r="M11" s="571"/>
      <c r="N11" s="571"/>
      <c r="O11" s="343"/>
      <c r="P11" s="343"/>
      <c r="Q11" s="343"/>
      <c r="R11" s="343"/>
      <c r="S11" s="343"/>
      <c r="T11" s="275"/>
    </row>
    <row r="12" spans="1:20">
      <c r="A12" s="274"/>
      <c r="B12" s="505" t="s">
        <v>1541</v>
      </c>
      <c r="C12" s="505"/>
      <c r="D12" s="505"/>
      <c r="E12" s="505"/>
      <c r="F12" s="505"/>
      <c r="G12" s="505"/>
      <c r="H12" s="505"/>
      <c r="I12" s="505"/>
      <c r="J12" s="505"/>
      <c r="K12" s="505"/>
      <c r="L12" s="505"/>
      <c r="M12" s="505"/>
      <c r="N12" s="505"/>
      <c r="O12" s="505"/>
      <c r="P12" s="505"/>
      <c r="Q12" s="505"/>
      <c r="R12" s="505"/>
      <c r="S12" s="505"/>
      <c r="T12" s="275"/>
    </row>
    <row r="13" spans="1:20" ht="17" thickBot="1">
      <c r="A13" s="274"/>
      <c r="B13" s="505"/>
      <c r="C13" s="505"/>
      <c r="D13" s="505"/>
      <c r="E13" s="505"/>
      <c r="F13" s="505"/>
      <c r="G13" s="505"/>
      <c r="H13" s="505"/>
      <c r="I13" s="505"/>
      <c r="J13" s="505"/>
      <c r="K13" s="505"/>
      <c r="L13" s="505"/>
      <c r="M13" s="505"/>
      <c r="N13" s="505"/>
      <c r="O13" s="505"/>
      <c r="P13" s="505"/>
      <c r="Q13" s="505"/>
      <c r="R13" s="505"/>
      <c r="S13" s="505"/>
      <c r="T13" s="275"/>
    </row>
    <row r="14" spans="1:20" ht="16.5" customHeight="1" thickBot="1">
      <c r="A14" s="274"/>
      <c r="B14" s="566"/>
      <c r="C14" s="567"/>
      <c r="D14" s="567"/>
      <c r="E14" s="567"/>
      <c r="F14" s="567"/>
      <c r="G14" s="567"/>
      <c r="H14" s="567"/>
      <c r="I14" s="567"/>
      <c r="J14" s="587" t="s">
        <v>1538</v>
      </c>
      <c r="K14" s="587"/>
      <c r="L14" s="587"/>
      <c r="M14" s="587"/>
      <c r="N14" s="587"/>
      <c r="O14" s="165"/>
      <c r="P14" s="232"/>
      <c r="Q14" s="232"/>
      <c r="R14" s="232"/>
      <c r="S14" s="233"/>
      <c r="T14" s="275"/>
    </row>
    <row r="15" spans="1:20" ht="17" customHeight="1">
      <c r="A15" s="274"/>
      <c r="B15" s="568"/>
      <c r="C15" s="569"/>
      <c r="D15" s="569"/>
      <c r="E15" s="569"/>
      <c r="F15" s="569"/>
      <c r="G15" s="569"/>
      <c r="H15" s="569"/>
      <c r="I15" s="569"/>
      <c r="J15" s="610" t="s">
        <v>9</v>
      </c>
      <c r="K15" s="611"/>
      <c r="L15" s="611"/>
      <c r="M15" s="611"/>
      <c r="N15" s="612"/>
      <c r="O15" s="595" t="s">
        <v>1928</v>
      </c>
      <c r="P15" s="596"/>
      <c r="Q15" s="596"/>
      <c r="R15" s="596"/>
      <c r="S15" s="597"/>
      <c r="T15" s="275"/>
    </row>
    <row r="16" spans="1:20" ht="17" customHeight="1">
      <c r="A16" s="274"/>
      <c r="B16" s="613" t="s">
        <v>1533</v>
      </c>
      <c r="C16" s="614"/>
      <c r="D16" s="614"/>
      <c r="E16" s="614"/>
      <c r="F16" s="614"/>
      <c r="G16" s="614"/>
      <c r="H16" s="614"/>
      <c r="I16" s="615"/>
      <c r="J16" s="576" t="s">
        <v>1539</v>
      </c>
      <c r="K16" s="574" t="s">
        <v>1531</v>
      </c>
      <c r="L16" s="572" t="s">
        <v>1532</v>
      </c>
      <c r="M16" s="544" t="s">
        <v>2050</v>
      </c>
      <c r="N16" s="542" t="s">
        <v>1540</v>
      </c>
      <c r="O16" s="540" t="s">
        <v>1429</v>
      </c>
      <c r="P16" s="580" t="s">
        <v>1430</v>
      </c>
      <c r="Q16" s="580" t="s">
        <v>1431</v>
      </c>
      <c r="R16" s="580" t="s">
        <v>1473</v>
      </c>
      <c r="S16" s="593" t="s">
        <v>2091</v>
      </c>
      <c r="T16" s="275"/>
    </row>
    <row r="17" spans="1:20" ht="15.75" customHeight="1">
      <c r="A17" s="274"/>
      <c r="B17" s="616"/>
      <c r="C17" s="503"/>
      <c r="D17" s="503"/>
      <c r="E17" s="503"/>
      <c r="F17" s="503"/>
      <c r="G17" s="503"/>
      <c r="H17" s="503"/>
      <c r="I17" s="617"/>
      <c r="J17" s="577"/>
      <c r="K17" s="575"/>
      <c r="L17" s="573"/>
      <c r="M17" s="545"/>
      <c r="N17" s="543"/>
      <c r="O17" s="541"/>
      <c r="P17" s="581"/>
      <c r="Q17" s="581"/>
      <c r="R17" s="581"/>
      <c r="S17" s="594"/>
      <c r="T17" s="275"/>
    </row>
    <row r="18" spans="1:20" ht="15.75" customHeight="1">
      <c r="A18" s="274"/>
      <c r="B18" s="588" t="s">
        <v>43</v>
      </c>
      <c r="C18" s="589"/>
      <c r="D18" s="589"/>
      <c r="E18" s="589"/>
      <c r="F18" s="589"/>
      <c r="G18" s="589"/>
      <c r="H18" s="589"/>
      <c r="I18" s="590"/>
      <c r="J18" s="164">
        <f>COUNTIFS('VENDOR QUESTIONNAIRE'!$R$59:$R$182,B18,'VENDOR QUESTIONNAIRE'!$T$59:$T$182,$J$15)</f>
        <v>0</v>
      </c>
      <c r="K18" s="77">
        <f>COUNTIFS('VENDOR QUESTIONNAIRE'!$R$59:$R$182,B18,'VENDOR QUESTIONNAIRE'!$T$59:$T$182,$J$15,'VENDOR QUESTIONNAIRE'!$L$59:$L$182,$K$16)</f>
        <v>0</v>
      </c>
      <c r="L18" s="77">
        <f>COUNTIFS('VENDOR QUESTIONNAIRE'!$R$59:$R$182,$B18,'VENDOR QUESTIONNAIRE'!$T$59:$T$182,$J$15,'VENDOR QUESTIONNAIRE'!$L$59:$L$182,$L$16)</f>
        <v>0</v>
      </c>
      <c r="M18" s="77">
        <f>COUNTIFS('VENDOR QUESTIONNAIRE'!$R$59:$R$182,$B18,'VENDOR QUESTIONNAIRE'!$T$59:$T$182,$J$15,'VENDOR QUESTIONNAIRE'!$L$59:$L$182,$M$16)</f>
        <v>0</v>
      </c>
      <c r="N18" s="334" t="e">
        <f>(K18+M18)/J18</f>
        <v>#DIV/0!</v>
      </c>
      <c r="O18" s="336">
        <f>COUNTIFS('VENDOR QUESTIONNAIRE'!$R$59:$R$182,$B18,'VENDOR QUESTIONNAIRE'!$S$59:$S$182,O$16,'VENDOR QUESTIONNAIRE'!$L$59:$L$182,"Yes",'VENDOR QUESTIONNAIRE'!$T$59:$T$182,"Required")</f>
        <v>0</v>
      </c>
      <c r="P18" s="234">
        <f>COUNTIFS('VENDOR QUESTIONNAIRE'!$R$59:$R$182,$B18,'VENDOR QUESTIONNAIRE'!$S$59:$S$182,P$16,'VENDOR QUESTIONNAIRE'!$L$59:$L$182,"Yes",'VENDOR QUESTIONNAIRE'!$T$59:$T$182,"Required")</f>
        <v>0</v>
      </c>
      <c r="Q18" s="234">
        <f>COUNTIFS('VENDOR QUESTIONNAIRE'!$R$59:$R$182,$B18,'VENDOR QUESTIONNAIRE'!$S$59:$S$182,Q$16,'VENDOR QUESTIONNAIRE'!$L$59:$L$182,"Yes",'VENDOR QUESTIONNAIRE'!$T$59:$T$182,"Required")</f>
        <v>0</v>
      </c>
      <c r="R18" s="234">
        <f>COUNTIFS('VENDOR QUESTIONNAIRE'!$R$59:$R$182,$B18,'VENDOR QUESTIONNAIRE'!$S$59:$S$182,R$16,'VENDOR QUESTIONNAIRE'!$L$59:$L$182,"Yes",'VENDOR QUESTIONNAIRE'!$T$59:$T$182,"Required")</f>
        <v>0</v>
      </c>
      <c r="S18" s="235">
        <f>COUNTIFS('VENDOR QUESTIONNAIRE'!$R$59:$R$182,$B18,'VENDOR QUESTIONNAIRE'!$S$59:$S$182,S$16,'VENDOR QUESTIONNAIRE'!$L$59:$L$182,"Yes",'VENDOR QUESTIONNAIRE'!$T$59:$T$182,"Required")</f>
        <v>0</v>
      </c>
      <c r="T18" s="275"/>
    </row>
    <row r="19" spans="1:20" ht="15.75" customHeight="1">
      <c r="A19" s="274"/>
      <c r="B19" s="588" t="s">
        <v>44</v>
      </c>
      <c r="C19" s="589"/>
      <c r="D19" s="589"/>
      <c r="E19" s="589"/>
      <c r="F19" s="589"/>
      <c r="G19" s="589"/>
      <c r="H19" s="589"/>
      <c r="I19" s="590"/>
      <c r="J19" s="164">
        <f>COUNTIFS('VENDOR QUESTIONNAIRE'!$R$59:$R$182,B19,'VENDOR QUESTIONNAIRE'!$T$59:$T$182,$J$15)</f>
        <v>0</v>
      </c>
      <c r="K19" s="77">
        <f>COUNTIFS('VENDOR QUESTIONNAIRE'!$R$59:$R$182,B19,'VENDOR QUESTIONNAIRE'!$T$59:$T$182,$J$15,'VENDOR QUESTIONNAIRE'!$L$59:$L$182,$K$16)</f>
        <v>0</v>
      </c>
      <c r="L19" s="77">
        <f>COUNTIFS('VENDOR QUESTIONNAIRE'!$R$59:$R$182,$B19,'VENDOR QUESTIONNAIRE'!$T$59:$T$182,$J$15,'VENDOR QUESTIONNAIRE'!$L$59:$L$182,$L$16)</f>
        <v>0</v>
      </c>
      <c r="M19" s="77">
        <f>COUNTIFS('VENDOR QUESTIONNAIRE'!$R$59:$R$182,$B19,'VENDOR QUESTIONNAIRE'!$T$59:$T$182,$J$15,'VENDOR QUESTIONNAIRE'!$L$59:$L$182,$M$16)</f>
        <v>0</v>
      </c>
      <c r="N19" s="334" t="e">
        <f t="shared" ref="N19:N37" si="0">(K19+M19)/J19</f>
        <v>#DIV/0!</v>
      </c>
      <c r="O19" s="336">
        <f>COUNTIFS('VENDOR QUESTIONNAIRE'!$R$59:$R$182,B19,'VENDOR QUESTIONNAIRE'!$S$59:$S$182,$O$16,'VENDOR QUESTIONNAIRE'!$L$59:$L$182,"Yes",'VENDOR QUESTIONNAIRE'!$T$59:$T$182,"Required")</f>
        <v>0</v>
      </c>
      <c r="P19" s="234">
        <f>COUNTIFS('VENDOR QUESTIONNAIRE'!$R$59:$R$182,$B19,'VENDOR QUESTIONNAIRE'!$S$59:$S$182,P$16,'VENDOR QUESTIONNAIRE'!$L$59:$L$182,"Yes",'VENDOR QUESTIONNAIRE'!$T$59:$T$182,"Required")</f>
        <v>0</v>
      </c>
      <c r="Q19" s="234">
        <f>COUNTIFS('VENDOR QUESTIONNAIRE'!$R$59:$R$182,$B19,'VENDOR QUESTIONNAIRE'!$S$59:$S$182,Q$16,'VENDOR QUESTIONNAIRE'!$L$59:$L$182,"Yes",'VENDOR QUESTIONNAIRE'!$T$59:$T$182,"Required")</f>
        <v>0</v>
      </c>
      <c r="R19" s="234">
        <f>COUNTIFS('VENDOR QUESTIONNAIRE'!$R$59:$R$182,$B19,'VENDOR QUESTIONNAIRE'!$S$59:$S$182,R$16,'VENDOR QUESTIONNAIRE'!$L$59:$L$182,"Yes",'VENDOR QUESTIONNAIRE'!$T$59:$T$182,"Required")</f>
        <v>0</v>
      </c>
      <c r="S19" s="235">
        <f>COUNTIFS('VENDOR QUESTIONNAIRE'!$R$59:$R$182,$B19,'VENDOR QUESTIONNAIRE'!$S$59:$S$182,S$16,'VENDOR QUESTIONNAIRE'!$L$59:$L$182,"Yes",'VENDOR QUESTIONNAIRE'!$T$59:$T$182,"Required")</f>
        <v>0</v>
      </c>
      <c r="T19" s="275"/>
    </row>
    <row r="20" spans="1:20" ht="15.75" customHeight="1">
      <c r="A20" s="274"/>
      <c r="B20" s="588" t="s">
        <v>45</v>
      </c>
      <c r="C20" s="589"/>
      <c r="D20" s="589"/>
      <c r="E20" s="589"/>
      <c r="F20" s="589"/>
      <c r="G20" s="589"/>
      <c r="H20" s="589"/>
      <c r="I20" s="590"/>
      <c r="J20" s="164">
        <f>COUNTIFS('VENDOR QUESTIONNAIRE'!$R$59:$R$182,B20,'VENDOR QUESTIONNAIRE'!$T$59:$T$182,$J$15)</f>
        <v>0</v>
      </c>
      <c r="K20" s="77">
        <f>COUNTIFS('VENDOR QUESTIONNAIRE'!$R$59:$R$182,B20,'VENDOR QUESTIONNAIRE'!$T$59:$T$182,$J$15,'VENDOR QUESTIONNAIRE'!$L$59:$L$182,$K$16)</f>
        <v>0</v>
      </c>
      <c r="L20" s="77">
        <f>COUNTIFS('VENDOR QUESTIONNAIRE'!$R$59:$R$182,$B20,'VENDOR QUESTIONNAIRE'!$T$59:$T$182,$J$15,'VENDOR QUESTIONNAIRE'!$L$59:$L$182,$L$16)</f>
        <v>0</v>
      </c>
      <c r="M20" s="77">
        <f>COUNTIFS('VENDOR QUESTIONNAIRE'!$R$59:$R$182,$B20,'VENDOR QUESTIONNAIRE'!$T$59:$T$182,$J$15,'VENDOR QUESTIONNAIRE'!$L$59:$L$182,$M$16)</f>
        <v>0</v>
      </c>
      <c r="N20" s="334" t="e">
        <f t="shared" si="0"/>
        <v>#DIV/0!</v>
      </c>
      <c r="O20" s="336">
        <f>COUNTIFS('VENDOR QUESTIONNAIRE'!$R$59:$R$182,B20,'VENDOR QUESTIONNAIRE'!$S$59:$S$182,$O$16,'VENDOR QUESTIONNAIRE'!$L$59:$L$182,"Yes",'VENDOR QUESTIONNAIRE'!$T$59:$T$182,"Required")</f>
        <v>0</v>
      </c>
      <c r="P20" s="234">
        <f>COUNTIFS('VENDOR QUESTIONNAIRE'!$R$59:$R$182,$B20,'VENDOR QUESTIONNAIRE'!$S$59:$S$182,P$16,'VENDOR QUESTIONNAIRE'!$L$59:$L$182,"Yes",'VENDOR QUESTIONNAIRE'!$T$59:$T$182,"Required")</f>
        <v>0</v>
      </c>
      <c r="Q20" s="234">
        <f>COUNTIFS('VENDOR QUESTIONNAIRE'!$R$59:$R$182,$B20,'VENDOR QUESTIONNAIRE'!$S$59:$S$182,Q$16,'VENDOR QUESTIONNAIRE'!$L$59:$L$182,"Yes",'VENDOR QUESTIONNAIRE'!$T$59:$T$182,"Required")</f>
        <v>0</v>
      </c>
      <c r="R20" s="234">
        <f>COUNTIFS('VENDOR QUESTIONNAIRE'!$R$59:$R$182,$B20,'VENDOR QUESTIONNAIRE'!$S$59:$S$182,R$16,'VENDOR QUESTIONNAIRE'!$L$59:$L$182,"Yes",'VENDOR QUESTIONNAIRE'!$T$59:$T$182,"Required")</f>
        <v>0</v>
      </c>
      <c r="S20" s="235">
        <f>COUNTIFS('VENDOR QUESTIONNAIRE'!$R$59:$R$182,$B20,'VENDOR QUESTIONNAIRE'!$S$59:$S$182,S$16,'VENDOR QUESTIONNAIRE'!$L$59:$L$182,"Yes",'VENDOR QUESTIONNAIRE'!$T$59:$T$182,"Required")</f>
        <v>0</v>
      </c>
      <c r="T20" s="275"/>
    </row>
    <row r="21" spans="1:20" ht="15.75" customHeight="1">
      <c r="A21" s="274"/>
      <c r="B21" s="588" t="s">
        <v>48</v>
      </c>
      <c r="C21" s="589"/>
      <c r="D21" s="589"/>
      <c r="E21" s="589"/>
      <c r="F21" s="589"/>
      <c r="G21" s="589"/>
      <c r="H21" s="589"/>
      <c r="I21" s="590"/>
      <c r="J21" s="164">
        <f>COUNTIFS('VENDOR QUESTIONNAIRE'!$R$59:$R$182,B21,'VENDOR QUESTIONNAIRE'!$T$59:$T$182,$J$15)</f>
        <v>0</v>
      </c>
      <c r="K21" s="77">
        <f>COUNTIFS('VENDOR QUESTIONNAIRE'!$R$59:$R$182,B21,'VENDOR QUESTIONNAIRE'!$T$59:$T$182,$J$15,'VENDOR QUESTIONNAIRE'!$L$59:$L$182,$K$16)</f>
        <v>0</v>
      </c>
      <c r="L21" s="77">
        <f>COUNTIFS('VENDOR QUESTIONNAIRE'!$R$59:$R$182,$B21,'VENDOR QUESTIONNAIRE'!$T$59:$T$182,$J$15,'VENDOR QUESTIONNAIRE'!$L$59:$L$182,$L$16)</f>
        <v>0</v>
      </c>
      <c r="M21" s="77">
        <f>COUNTIFS('VENDOR QUESTIONNAIRE'!$R$59:$R$182,$B21,'VENDOR QUESTIONNAIRE'!$T$59:$T$182,$J$15,'VENDOR QUESTIONNAIRE'!$L$59:$L$182,$M$16)</f>
        <v>0</v>
      </c>
      <c r="N21" s="334" t="e">
        <f t="shared" si="0"/>
        <v>#DIV/0!</v>
      </c>
      <c r="O21" s="336">
        <f>COUNTIFS('VENDOR QUESTIONNAIRE'!$R$59:$R$182,B21,'VENDOR QUESTIONNAIRE'!$S$59:$S$182,$O$16,'VENDOR QUESTIONNAIRE'!$L$59:$L$182,"Yes",'VENDOR QUESTIONNAIRE'!$T$59:$T$182,"Required")</f>
        <v>0</v>
      </c>
      <c r="P21" s="234">
        <f>COUNTIFS('VENDOR QUESTIONNAIRE'!$R$59:$R$182,$B21,'VENDOR QUESTIONNAIRE'!$S$59:$S$182,P$16,'VENDOR QUESTIONNAIRE'!$L$59:$L$182,"Yes",'VENDOR QUESTIONNAIRE'!$T$59:$T$182,"Required")</f>
        <v>0</v>
      </c>
      <c r="Q21" s="234">
        <f>COUNTIFS('VENDOR QUESTIONNAIRE'!$R$59:$R$182,$B21,'VENDOR QUESTIONNAIRE'!$S$59:$S$182,Q$16,'VENDOR QUESTIONNAIRE'!$L$59:$L$182,"Yes",'VENDOR QUESTIONNAIRE'!$T$59:$T$182,"Required")</f>
        <v>0</v>
      </c>
      <c r="R21" s="234">
        <f>COUNTIFS('VENDOR QUESTIONNAIRE'!$R$59:$R$182,$B21,'VENDOR QUESTIONNAIRE'!$S$59:$S$182,R$16,'VENDOR QUESTIONNAIRE'!$L$59:$L$182,"Yes",'VENDOR QUESTIONNAIRE'!$T$59:$T$182,"Required")</f>
        <v>0</v>
      </c>
      <c r="S21" s="235">
        <f>COUNTIFS('VENDOR QUESTIONNAIRE'!$R$59:$R$182,$B21,'VENDOR QUESTIONNAIRE'!$S$59:$S$182,S$16,'VENDOR QUESTIONNAIRE'!$L$59:$L$182,"Yes",'VENDOR QUESTIONNAIRE'!$T$59:$T$182,"Required")</f>
        <v>0</v>
      </c>
      <c r="T21" s="275"/>
    </row>
    <row r="22" spans="1:20" ht="15.75" customHeight="1">
      <c r="A22" s="274"/>
      <c r="B22" s="588" t="s">
        <v>63</v>
      </c>
      <c r="C22" s="589"/>
      <c r="D22" s="589"/>
      <c r="E22" s="589"/>
      <c r="F22" s="589"/>
      <c r="G22" s="589"/>
      <c r="H22" s="589"/>
      <c r="I22" s="590"/>
      <c r="J22" s="164">
        <f>COUNTIFS('VENDOR QUESTIONNAIRE'!$R$59:$R$182,B22,'VENDOR QUESTIONNAIRE'!$T$59:$T$182,$J$15)</f>
        <v>0</v>
      </c>
      <c r="K22" s="77">
        <f>COUNTIFS('VENDOR QUESTIONNAIRE'!$R$59:$R$182,B22,'VENDOR QUESTIONNAIRE'!$T$59:$T$182,$J$15,'VENDOR QUESTIONNAIRE'!$L$59:$L$182,$K$16)</f>
        <v>0</v>
      </c>
      <c r="L22" s="77">
        <f>COUNTIFS('VENDOR QUESTIONNAIRE'!$R$59:$R$182,$B22,'VENDOR QUESTIONNAIRE'!$T$59:$T$182,$J$15,'VENDOR QUESTIONNAIRE'!$L$59:$L$182,$L$16)</f>
        <v>0</v>
      </c>
      <c r="M22" s="77">
        <f>COUNTIFS('VENDOR QUESTIONNAIRE'!$R$59:$R$182,$B22,'VENDOR QUESTIONNAIRE'!$T$59:$T$182,$J$15,'VENDOR QUESTIONNAIRE'!$L$59:$L$182,$M$16)</f>
        <v>0</v>
      </c>
      <c r="N22" s="334" t="e">
        <f t="shared" si="0"/>
        <v>#DIV/0!</v>
      </c>
      <c r="O22" s="336">
        <f>COUNTIFS('VENDOR QUESTIONNAIRE'!$R$59:$R$182,B22,'VENDOR QUESTIONNAIRE'!$S$59:$S$182,$O$16,'VENDOR QUESTIONNAIRE'!$L$59:$L$182,"Yes",'VENDOR QUESTIONNAIRE'!$T$59:$T$182,"Required")</f>
        <v>0</v>
      </c>
      <c r="P22" s="234">
        <f>COUNTIFS('VENDOR QUESTIONNAIRE'!$R$59:$R$182,$B22,'VENDOR QUESTIONNAIRE'!$S$59:$S$182,P$16,'VENDOR QUESTIONNAIRE'!$L$59:$L$182,"Yes",'VENDOR QUESTIONNAIRE'!$T$59:$T$182,"Required")</f>
        <v>0</v>
      </c>
      <c r="Q22" s="234">
        <f>COUNTIFS('VENDOR QUESTIONNAIRE'!$R$59:$R$182,$B22,'VENDOR QUESTIONNAIRE'!$S$59:$S$182,Q$16,'VENDOR QUESTIONNAIRE'!$L$59:$L$182,"Yes",'VENDOR QUESTIONNAIRE'!$T$59:$T$182,"Required")</f>
        <v>0</v>
      </c>
      <c r="R22" s="234">
        <f>COUNTIFS('VENDOR QUESTIONNAIRE'!$R$59:$R$182,$B22,'VENDOR QUESTIONNAIRE'!$S$59:$S$182,R$16,'VENDOR QUESTIONNAIRE'!$L$59:$L$182,"Yes",'VENDOR QUESTIONNAIRE'!$T$59:$T$182,"Required")</f>
        <v>0</v>
      </c>
      <c r="S22" s="235">
        <f>COUNTIFS('VENDOR QUESTIONNAIRE'!$R$59:$R$182,$B22,'VENDOR QUESTIONNAIRE'!$S$59:$S$182,S$16,'VENDOR QUESTIONNAIRE'!$L$59:$L$182,"Yes",'VENDOR QUESTIONNAIRE'!$T$59:$T$182,"Required")</f>
        <v>0</v>
      </c>
      <c r="T22" s="275"/>
    </row>
    <row r="23" spans="1:20" ht="15.75" customHeight="1">
      <c r="A23" s="274"/>
      <c r="B23" s="588" t="s">
        <v>73</v>
      </c>
      <c r="C23" s="589"/>
      <c r="D23" s="589"/>
      <c r="E23" s="589"/>
      <c r="F23" s="589"/>
      <c r="G23" s="589"/>
      <c r="H23" s="589"/>
      <c r="I23" s="590"/>
      <c r="J23" s="164">
        <f>COUNTIFS('VENDOR QUESTIONNAIRE'!$R$59:$R$182,B23,'VENDOR QUESTIONNAIRE'!$T$59:$T$182,$J$15)</f>
        <v>0</v>
      </c>
      <c r="K23" s="77">
        <f>COUNTIFS('VENDOR QUESTIONNAIRE'!$R$59:$R$182,B23,'VENDOR QUESTIONNAIRE'!$T$59:$T$182,$J$15,'VENDOR QUESTIONNAIRE'!$L$59:$L$182,$K$16)</f>
        <v>0</v>
      </c>
      <c r="L23" s="77">
        <f>COUNTIFS('VENDOR QUESTIONNAIRE'!$R$59:$R$182,$B23,'VENDOR QUESTIONNAIRE'!$T$59:$T$182,$J$15,'VENDOR QUESTIONNAIRE'!$L$59:$L$182,$L$16)</f>
        <v>0</v>
      </c>
      <c r="M23" s="77">
        <f>COUNTIFS('VENDOR QUESTIONNAIRE'!$R$59:$R$182,$B23,'VENDOR QUESTIONNAIRE'!$T$59:$T$182,$J$15,'VENDOR QUESTIONNAIRE'!$L$59:$L$182,$M$16)</f>
        <v>0</v>
      </c>
      <c r="N23" s="334" t="e">
        <f t="shared" si="0"/>
        <v>#DIV/0!</v>
      </c>
      <c r="O23" s="336">
        <f>COUNTIFS('VENDOR QUESTIONNAIRE'!$R$59:$R$182,B23,'VENDOR QUESTIONNAIRE'!$S$59:$S$182,$O$16,'VENDOR QUESTIONNAIRE'!$L$59:$L$182,"Yes",'VENDOR QUESTIONNAIRE'!$T$59:$T$182,"Required")</f>
        <v>0</v>
      </c>
      <c r="P23" s="234">
        <f>COUNTIFS('VENDOR QUESTIONNAIRE'!$R$59:$R$182,$B23,'VENDOR QUESTIONNAIRE'!$S$59:$S$182,P$16,'VENDOR QUESTIONNAIRE'!$L$59:$L$182,"Yes",'VENDOR QUESTIONNAIRE'!$T$59:$T$182,"Required")</f>
        <v>0</v>
      </c>
      <c r="Q23" s="234">
        <f>COUNTIFS('VENDOR QUESTIONNAIRE'!$R$59:$R$182,$B23,'VENDOR QUESTIONNAIRE'!$S$59:$S$182,Q$16,'VENDOR QUESTIONNAIRE'!$L$59:$L$182,"Yes",'VENDOR QUESTIONNAIRE'!$T$59:$T$182,"Required")</f>
        <v>0</v>
      </c>
      <c r="R23" s="234">
        <f>COUNTIFS('VENDOR QUESTIONNAIRE'!$R$59:$R$182,$B23,'VENDOR QUESTIONNAIRE'!$S$59:$S$182,R$16,'VENDOR QUESTIONNAIRE'!$L$59:$L$182,"Yes",'VENDOR QUESTIONNAIRE'!$T$59:$T$182,"Required")</f>
        <v>0</v>
      </c>
      <c r="S23" s="235">
        <f>COUNTIFS('VENDOR QUESTIONNAIRE'!$R$59:$R$182,$B23,'VENDOR QUESTIONNAIRE'!$S$59:$S$182,S$16,'VENDOR QUESTIONNAIRE'!$L$59:$L$182,"Yes",'VENDOR QUESTIONNAIRE'!$T$59:$T$182,"Required")</f>
        <v>0</v>
      </c>
      <c r="T23" s="275"/>
    </row>
    <row r="24" spans="1:20" ht="16" customHeight="1">
      <c r="A24" s="274"/>
      <c r="B24" s="588" t="s">
        <v>83</v>
      </c>
      <c r="C24" s="589"/>
      <c r="D24" s="589"/>
      <c r="E24" s="589"/>
      <c r="F24" s="589"/>
      <c r="G24" s="589"/>
      <c r="H24" s="589"/>
      <c r="I24" s="590"/>
      <c r="J24" s="164">
        <f>COUNTIFS('VENDOR QUESTIONNAIRE'!$R$59:$R$182,B24,'VENDOR QUESTIONNAIRE'!$T$59:$T$182,$J$15)</f>
        <v>0</v>
      </c>
      <c r="K24" s="77">
        <f>COUNTIFS('VENDOR QUESTIONNAIRE'!$R$59:$R$182,B24,'VENDOR QUESTIONNAIRE'!$T$59:$T$182,$J$15,'VENDOR QUESTIONNAIRE'!$L$59:$L$182,$K$16)</f>
        <v>0</v>
      </c>
      <c r="L24" s="77">
        <f>COUNTIFS('VENDOR QUESTIONNAIRE'!$R$59:$R$182,$B24,'VENDOR QUESTIONNAIRE'!$T$59:$T$182,$J$15,'VENDOR QUESTIONNAIRE'!$L$59:$L$182,$L$16)</f>
        <v>0</v>
      </c>
      <c r="M24" s="77">
        <f>COUNTIFS('VENDOR QUESTIONNAIRE'!$R$59:$R$182,$B24,'VENDOR QUESTIONNAIRE'!$T$59:$T$182,$J$15,'VENDOR QUESTIONNAIRE'!$L$59:$L$182,$M$16)</f>
        <v>0</v>
      </c>
      <c r="N24" s="334" t="e">
        <f t="shared" si="0"/>
        <v>#DIV/0!</v>
      </c>
      <c r="O24" s="336">
        <f>COUNTIFS('VENDOR QUESTIONNAIRE'!$R$59:$R$182,B24,'VENDOR QUESTIONNAIRE'!$S$59:$S$182,$O$16,'VENDOR QUESTIONNAIRE'!$L$59:$L$182,"Yes",'VENDOR QUESTIONNAIRE'!$T$59:$T$182,"Required")</f>
        <v>0</v>
      </c>
      <c r="P24" s="234">
        <f>COUNTIFS('VENDOR QUESTIONNAIRE'!$R$59:$R$182,$B24,'VENDOR QUESTIONNAIRE'!$S$59:$S$182,P$16,'VENDOR QUESTIONNAIRE'!$L$59:$L$182,"Yes",'VENDOR QUESTIONNAIRE'!$T$59:$T$182,"Required")</f>
        <v>0</v>
      </c>
      <c r="Q24" s="234">
        <f>COUNTIFS('VENDOR QUESTIONNAIRE'!$R$59:$R$182,$B24,'VENDOR QUESTIONNAIRE'!$S$59:$S$182,Q$16,'VENDOR QUESTIONNAIRE'!$L$59:$L$182,"Yes",'VENDOR QUESTIONNAIRE'!$T$59:$T$182,"Required")</f>
        <v>0</v>
      </c>
      <c r="R24" s="234">
        <f>COUNTIFS('VENDOR QUESTIONNAIRE'!$R$59:$R$182,$B24,'VENDOR QUESTIONNAIRE'!$S$59:$S$182,R$16,'VENDOR QUESTIONNAIRE'!$L$59:$L$182,"Yes",'VENDOR QUESTIONNAIRE'!$T$59:$T$182,"Required")</f>
        <v>0</v>
      </c>
      <c r="S24" s="235">
        <f>COUNTIFS('VENDOR QUESTIONNAIRE'!$R$59:$R$182,$B24,'VENDOR QUESTIONNAIRE'!$S$59:$S$182,S$16,'VENDOR QUESTIONNAIRE'!$L$59:$L$182,"Yes",'VENDOR QUESTIONNAIRE'!$T$59:$T$182,"Required")</f>
        <v>0</v>
      </c>
      <c r="T24" s="275"/>
    </row>
    <row r="25" spans="1:20" ht="16" customHeight="1">
      <c r="A25" s="274"/>
      <c r="B25" s="588" t="s">
        <v>88</v>
      </c>
      <c r="C25" s="589"/>
      <c r="D25" s="589"/>
      <c r="E25" s="589"/>
      <c r="F25" s="589"/>
      <c r="G25" s="589"/>
      <c r="H25" s="589"/>
      <c r="I25" s="590"/>
      <c r="J25" s="164">
        <f>COUNTIFS('VENDOR QUESTIONNAIRE'!$R$59:$R$182,B25,'VENDOR QUESTIONNAIRE'!$T$59:$T$182,$J$15)</f>
        <v>0</v>
      </c>
      <c r="K25" s="77">
        <f>COUNTIFS('VENDOR QUESTIONNAIRE'!$R$59:$R$182,B25,'VENDOR QUESTIONNAIRE'!$T$59:$T$182,$J$15,'VENDOR QUESTIONNAIRE'!$L$59:$L$182,$K$16)</f>
        <v>0</v>
      </c>
      <c r="L25" s="77">
        <f>COUNTIFS('VENDOR QUESTIONNAIRE'!$R$59:$R$182,$B25,'VENDOR QUESTIONNAIRE'!$T$59:$T$182,$J$15,'VENDOR QUESTIONNAIRE'!$L$59:$L$182,$L$16)</f>
        <v>0</v>
      </c>
      <c r="M25" s="77">
        <f>COUNTIFS('VENDOR QUESTIONNAIRE'!$R$59:$R$182,$B25,'VENDOR QUESTIONNAIRE'!$T$59:$T$182,$J$15,'VENDOR QUESTIONNAIRE'!$L$59:$L$182,$M$16)</f>
        <v>0</v>
      </c>
      <c r="N25" s="334" t="e">
        <f t="shared" si="0"/>
        <v>#DIV/0!</v>
      </c>
      <c r="O25" s="336">
        <f>COUNTIFS('VENDOR QUESTIONNAIRE'!$R$59:$R$182,B25,'VENDOR QUESTIONNAIRE'!$S$59:$S$182,$O$16,'VENDOR QUESTIONNAIRE'!$L$59:$L$182,"Yes",'VENDOR QUESTIONNAIRE'!$T$59:$T$182,"Required")</f>
        <v>0</v>
      </c>
      <c r="P25" s="234">
        <f>COUNTIFS('VENDOR QUESTIONNAIRE'!$R$59:$R$182,$B25,'VENDOR QUESTIONNAIRE'!$S$59:$S$182,P$16,'VENDOR QUESTIONNAIRE'!$L$59:$L$182,"Yes",'VENDOR QUESTIONNAIRE'!$T$59:$T$182,"Required")</f>
        <v>0</v>
      </c>
      <c r="Q25" s="234">
        <f>COUNTIFS('VENDOR QUESTIONNAIRE'!$R$59:$R$182,$B25,'VENDOR QUESTIONNAIRE'!$S$59:$S$182,Q$16,'VENDOR QUESTIONNAIRE'!$L$59:$L$182,"Yes",'VENDOR QUESTIONNAIRE'!$T$59:$T$182,"Required")</f>
        <v>0</v>
      </c>
      <c r="R25" s="234">
        <f>COUNTIFS('VENDOR QUESTIONNAIRE'!$R$59:$R$182,$B25,'VENDOR QUESTIONNAIRE'!$S$59:$S$182,R$16,'VENDOR QUESTIONNAIRE'!$L$59:$L$182,"Yes",'VENDOR QUESTIONNAIRE'!$T$59:$T$182,"Required")</f>
        <v>0</v>
      </c>
      <c r="S25" s="235">
        <f>COUNTIFS('VENDOR QUESTIONNAIRE'!$R$59:$R$182,$B25,'VENDOR QUESTIONNAIRE'!$S$59:$S$182,S$16,'VENDOR QUESTIONNAIRE'!$L$59:$L$182,"Yes",'VENDOR QUESTIONNAIRE'!$T$59:$T$182,"Required")</f>
        <v>0</v>
      </c>
      <c r="T25" s="275"/>
    </row>
    <row r="26" spans="1:20" ht="15.75" customHeight="1">
      <c r="A26" s="274"/>
      <c r="B26" s="588" t="s">
        <v>99</v>
      </c>
      <c r="C26" s="589"/>
      <c r="D26" s="589"/>
      <c r="E26" s="589"/>
      <c r="F26" s="589"/>
      <c r="G26" s="589"/>
      <c r="H26" s="589"/>
      <c r="I26" s="590"/>
      <c r="J26" s="164">
        <f>COUNTIFS('VENDOR QUESTIONNAIRE'!$R$59:$R$182,B26,'VENDOR QUESTIONNAIRE'!$T$59:$T$182,$J$15)</f>
        <v>0</v>
      </c>
      <c r="K26" s="77">
        <f>COUNTIFS('VENDOR QUESTIONNAIRE'!$R$59:$R$182,B26,'VENDOR QUESTIONNAIRE'!$T$59:$T$182,$J$15,'VENDOR QUESTIONNAIRE'!$L$59:$L$182,$K$16)</f>
        <v>0</v>
      </c>
      <c r="L26" s="77">
        <f>COUNTIFS('VENDOR QUESTIONNAIRE'!$R$59:$R$182,$B26,'VENDOR QUESTIONNAIRE'!$T$59:$T$182,$J$15,'VENDOR QUESTIONNAIRE'!$L$59:$L$182,$L$16)</f>
        <v>0</v>
      </c>
      <c r="M26" s="77">
        <f>COUNTIFS('VENDOR QUESTIONNAIRE'!$R$59:$R$182,$B26,'VENDOR QUESTIONNAIRE'!$T$59:$T$182,$J$15,'VENDOR QUESTIONNAIRE'!$L$59:$L$182,$M$16)</f>
        <v>0</v>
      </c>
      <c r="N26" s="334" t="e">
        <f t="shared" si="0"/>
        <v>#DIV/0!</v>
      </c>
      <c r="O26" s="336">
        <f>COUNTIFS('VENDOR QUESTIONNAIRE'!$R$59:$R$182,B26,'VENDOR QUESTIONNAIRE'!$S$59:$S$182,$O$16,'VENDOR QUESTIONNAIRE'!$L$59:$L$182,"Yes",'VENDOR QUESTIONNAIRE'!$T$59:$T$182,"Required")</f>
        <v>0</v>
      </c>
      <c r="P26" s="234">
        <f>COUNTIFS('VENDOR QUESTIONNAIRE'!$R$59:$R$182,$B26,'VENDOR QUESTIONNAIRE'!$S$59:$S$182,P$16,'VENDOR QUESTIONNAIRE'!$L$59:$L$182,"Yes",'VENDOR QUESTIONNAIRE'!$T$59:$T$182,"Required")</f>
        <v>0</v>
      </c>
      <c r="Q26" s="234">
        <f>COUNTIFS('VENDOR QUESTIONNAIRE'!$R$59:$R$182,$B26,'VENDOR QUESTIONNAIRE'!$S$59:$S$182,Q$16,'VENDOR QUESTIONNAIRE'!$L$59:$L$182,"Yes",'VENDOR QUESTIONNAIRE'!$T$59:$T$182,"Required")</f>
        <v>0</v>
      </c>
      <c r="R26" s="234">
        <f>COUNTIFS('VENDOR QUESTIONNAIRE'!$R$59:$R$182,$B26,'VENDOR QUESTIONNAIRE'!$S$59:$S$182,R$16,'VENDOR QUESTIONNAIRE'!$L$59:$L$182,"Yes",'VENDOR QUESTIONNAIRE'!$T$59:$T$182,"Required")</f>
        <v>0</v>
      </c>
      <c r="S26" s="235">
        <f>COUNTIFS('VENDOR QUESTIONNAIRE'!$R$59:$R$182,$B26,'VENDOR QUESTIONNAIRE'!$S$59:$S$182,S$16,'VENDOR QUESTIONNAIRE'!$L$59:$L$182,"Yes",'VENDOR QUESTIONNAIRE'!$T$59:$T$182,"Required")</f>
        <v>0</v>
      </c>
      <c r="T26" s="275"/>
    </row>
    <row r="27" spans="1:20" ht="15.75" customHeight="1">
      <c r="A27" s="274"/>
      <c r="B27" s="588" t="s">
        <v>106</v>
      </c>
      <c r="C27" s="589"/>
      <c r="D27" s="589"/>
      <c r="E27" s="589"/>
      <c r="F27" s="589"/>
      <c r="G27" s="589"/>
      <c r="H27" s="589"/>
      <c r="I27" s="590"/>
      <c r="J27" s="164">
        <f>COUNTIFS('VENDOR QUESTIONNAIRE'!$R$59:$R$182,B27,'VENDOR QUESTIONNAIRE'!$T$59:$T$182,$J$15)</f>
        <v>0</v>
      </c>
      <c r="K27" s="77">
        <f>COUNTIFS('VENDOR QUESTIONNAIRE'!$R$59:$R$182,B27,'VENDOR QUESTIONNAIRE'!$T$59:$T$182,$J$15,'VENDOR QUESTIONNAIRE'!$L$59:$L$182,$K$16)</f>
        <v>0</v>
      </c>
      <c r="L27" s="77">
        <f>COUNTIFS('VENDOR QUESTIONNAIRE'!$R$59:$R$182,$B27,'VENDOR QUESTIONNAIRE'!$T$59:$T$182,$J$15,'VENDOR QUESTIONNAIRE'!$L$59:$L$182,$L$16)</f>
        <v>0</v>
      </c>
      <c r="M27" s="77">
        <f>COUNTIFS('VENDOR QUESTIONNAIRE'!$R$59:$R$182,$B27,'VENDOR QUESTIONNAIRE'!$T$59:$T$182,$J$15,'VENDOR QUESTIONNAIRE'!$L$59:$L$182,$M$16)</f>
        <v>0</v>
      </c>
      <c r="N27" s="334" t="e">
        <f t="shared" si="0"/>
        <v>#DIV/0!</v>
      </c>
      <c r="O27" s="336">
        <f>COUNTIFS('VENDOR QUESTIONNAIRE'!$R$59:$R$182,B27,'VENDOR QUESTIONNAIRE'!$S$59:$S$182,$O$16,'VENDOR QUESTIONNAIRE'!$L$59:$L$182,"Yes",'VENDOR QUESTIONNAIRE'!$T$59:$T$182,"Required")</f>
        <v>0</v>
      </c>
      <c r="P27" s="234">
        <f>COUNTIFS('VENDOR QUESTIONNAIRE'!$R$59:$R$182,$B27,'VENDOR QUESTIONNAIRE'!$S$59:$S$182,P$16,'VENDOR QUESTIONNAIRE'!$L$59:$L$182,"Yes",'VENDOR QUESTIONNAIRE'!$T$59:$T$182,"Required")</f>
        <v>0</v>
      </c>
      <c r="Q27" s="234">
        <f>COUNTIFS('VENDOR QUESTIONNAIRE'!$R$59:$R$182,$B27,'VENDOR QUESTIONNAIRE'!$S$59:$S$182,Q$16,'VENDOR QUESTIONNAIRE'!$L$59:$L$182,"Yes",'VENDOR QUESTIONNAIRE'!$T$59:$T$182,"Required")</f>
        <v>0</v>
      </c>
      <c r="R27" s="234">
        <f>COUNTIFS('VENDOR QUESTIONNAIRE'!$R$59:$R$182,$B27,'VENDOR QUESTIONNAIRE'!$S$59:$S$182,R$16,'VENDOR QUESTIONNAIRE'!$L$59:$L$182,"Yes",'VENDOR QUESTIONNAIRE'!$T$59:$T$182,"Required")</f>
        <v>0</v>
      </c>
      <c r="S27" s="235">
        <f>COUNTIFS('VENDOR QUESTIONNAIRE'!$R$59:$R$182,$B27,'VENDOR QUESTIONNAIRE'!$S$59:$S$182,S$16,'VENDOR QUESTIONNAIRE'!$L$59:$L$182,"Yes",'VENDOR QUESTIONNAIRE'!$T$59:$T$182,"Required")</f>
        <v>0</v>
      </c>
      <c r="T27" s="275"/>
    </row>
    <row r="28" spans="1:20" ht="15.75" customHeight="1">
      <c r="A28" s="274"/>
      <c r="B28" s="588" t="s">
        <v>114</v>
      </c>
      <c r="C28" s="589"/>
      <c r="D28" s="589"/>
      <c r="E28" s="589"/>
      <c r="F28" s="589"/>
      <c r="G28" s="589"/>
      <c r="H28" s="589"/>
      <c r="I28" s="590"/>
      <c r="J28" s="164">
        <f>COUNTIFS('VENDOR QUESTIONNAIRE'!$R$59:$R$182,B28,'VENDOR QUESTIONNAIRE'!$T$59:$T$182,$J$15)</f>
        <v>0</v>
      </c>
      <c r="K28" s="77">
        <f>COUNTIFS('VENDOR QUESTIONNAIRE'!$R$59:$R$182,B28,'VENDOR QUESTIONNAIRE'!$T$59:$T$182,$J$15,'VENDOR QUESTIONNAIRE'!$L$59:$L$182,$K$16)</f>
        <v>0</v>
      </c>
      <c r="L28" s="77">
        <f>COUNTIFS('VENDOR QUESTIONNAIRE'!$R$59:$R$182,$B28,'VENDOR QUESTIONNAIRE'!$T$59:$T$182,$J$15,'VENDOR QUESTIONNAIRE'!$L$59:$L$182,$L$16)</f>
        <v>0</v>
      </c>
      <c r="M28" s="77">
        <f>COUNTIFS('VENDOR QUESTIONNAIRE'!$R$59:$R$182,$B28,'VENDOR QUESTIONNAIRE'!$T$59:$T$182,$J$15,'VENDOR QUESTIONNAIRE'!$L$59:$L$182,$M$16)</f>
        <v>0</v>
      </c>
      <c r="N28" s="334" t="e">
        <f t="shared" si="0"/>
        <v>#DIV/0!</v>
      </c>
      <c r="O28" s="336">
        <f>COUNTIFS('VENDOR QUESTIONNAIRE'!$R$59:$R$182,B28,'VENDOR QUESTIONNAIRE'!$S$59:$S$182,$O$16,'VENDOR QUESTIONNAIRE'!$L$59:$L$182,"Yes",'VENDOR QUESTIONNAIRE'!$T$59:$T$182,"Required")</f>
        <v>0</v>
      </c>
      <c r="P28" s="234">
        <f>COUNTIFS('VENDOR QUESTIONNAIRE'!$R$59:$R$182,$B28,'VENDOR QUESTIONNAIRE'!$S$59:$S$182,P$16,'VENDOR QUESTIONNAIRE'!$L$59:$L$182,"Yes",'VENDOR QUESTIONNAIRE'!$T$59:$T$182,"Required")</f>
        <v>0</v>
      </c>
      <c r="Q28" s="234">
        <f>COUNTIFS('VENDOR QUESTIONNAIRE'!$R$59:$R$182,$B28,'VENDOR QUESTIONNAIRE'!$S$59:$S$182,Q$16,'VENDOR QUESTIONNAIRE'!$L$59:$L$182,"Yes",'VENDOR QUESTIONNAIRE'!$T$59:$T$182,"Required")</f>
        <v>0</v>
      </c>
      <c r="R28" s="234">
        <f>COUNTIFS('VENDOR QUESTIONNAIRE'!$R$59:$R$182,$B28,'VENDOR QUESTIONNAIRE'!$S$59:$S$182,R$16,'VENDOR QUESTIONNAIRE'!$L$59:$L$182,"Yes",'VENDOR QUESTIONNAIRE'!$T$59:$T$182,"Required")</f>
        <v>0</v>
      </c>
      <c r="S28" s="235">
        <f>COUNTIFS('VENDOR QUESTIONNAIRE'!$R$59:$R$182,$B28,'VENDOR QUESTIONNAIRE'!$S$59:$S$182,S$16,'VENDOR QUESTIONNAIRE'!$L$59:$L$182,"Yes",'VENDOR QUESTIONNAIRE'!$T$59:$T$182,"Required")</f>
        <v>0</v>
      </c>
      <c r="T28" s="275"/>
    </row>
    <row r="29" spans="1:20" ht="15.75" customHeight="1">
      <c r="A29" s="274"/>
      <c r="B29" s="588" t="s">
        <v>121</v>
      </c>
      <c r="C29" s="589"/>
      <c r="D29" s="589"/>
      <c r="E29" s="589"/>
      <c r="F29" s="589"/>
      <c r="G29" s="589"/>
      <c r="H29" s="589"/>
      <c r="I29" s="590"/>
      <c r="J29" s="164">
        <f>COUNTIFS('VENDOR QUESTIONNAIRE'!$R$59:$R$182,B29,'VENDOR QUESTIONNAIRE'!$T$59:$T$182,$J$15)</f>
        <v>0</v>
      </c>
      <c r="K29" s="77">
        <f>COUNTIFS('VENDOR QUESTIONNAIRE'!$R$59:$R$182,B29,'VENDOR QUESTIONNAIRE'!$T$59:$T$182,$J$15,'VENDOR QUESTIONNAIRE'!$L$59:$L$182,$K$16)</f>
        <v>0</v>
      </c>
      <c r="L29" s="77">
        <f>COUNTIFS('VENDOR QUESTIONNAIRE'!$R$59:$R$182,$B29,'VENDOR QUESTIONNAIRE'!$T$59:$T$182,$J$15,'VENDOR QUESTIONNAIRE'!$L$59:$L$182,$L$16)</f>
        <v>0</v>
      </c>
      <c r="M29" s="77">
        <f>COUNTIFS('VENDOR QUESTIONNAIRE'!$R$59:$R$182,$B29,'VENDOR QUESTIONNAIRE'!$T$59:$T$182,$J$15,'VENDOR QUESTIONNAIRE'!$L$59:$L$182,$M$16)</f>
        <v>0</v>
      </c>
      <c r="N29" s="334" t="e">
        <f t="shared" si="0"/>
        <v>#DIV/0!</v>
      </c>
      <c r="O29" s="336">
        <f>COUNTIFS('VENDOR QUESTIONNAIRE'!$R$59:$R$182,B29,'VENDOR QUESTIONNAIRE'!$S$59:$S$182,$O$16,'VENDOR QUESTIONNAIRE'!$L$59:$L$182,"Yes",'VENDOR QUESTIONNAIRE'!$T$59:$T$182,"Required")</f>
        <v>0</v>
      </c>
      <c r="P29" s="234">
        <f>COUNTIFS('VENDOR QUESTIONNAIRE'!$R$59:$R$182,$B29,'VENDOR QUESTIONNAIRE'!$S$59:$S$182,P$16,'VENDOR QUESTIONNAIRE'!$L$59:$L$182,"Yes",'VENDOR QUESTIONNAIRE'!$T$59:$T$182,"Required")</f>
        <v>0</v>
      </c>
      <c r="Q29" s="234">
        <f>COUNTIFS('VENDOR QUESTIONNAIRE'!$R$59:$R$182,$B29,'VENDOR QUESTIONNAIRE'!$S$59:$S$182,Q$16,'VENDOR QUESTIONNAIRE'!$L$59:$L$182,"Yes",'VENDOR QUESTIONNAIRE'!$T$59:$T$182,"Required")</f>
        <v>0</v>
      </c>
      <c r="R29" s="234">
        <f>COUNTIFS('VENDOR QUESTIONNAIRE'!$R$59:$R$182,$B29,'VENDOR QUESTIONNAIRE'!$S$59:$S$182,R$16,'VENDOR QUESTIONNAIRE'!$L$59:$L$182,"Yes",'VENDOR QUESTIONNAIRE'!$T$59:$T$182,"Required")</f>
        <v>0</v>
      </c>
      <c r="S29" s="235">
        <f>COUNTIFS('VENDOR QUESTIONNAIRE'!$R$59:$R$182,$B29,'VENDOR QUESTIONNAIRE'!$S$59:$S$182,S$16,'VENDOR QUESTIONNAIRE'!$L$59:$L$182,"Yes",'VENDOR QUESTIONNAIRE'!$T$59:$T$182,"Required")</f>
        <v>0</v>
      </c>
      <c r="T29" s="275"/>
    </row>
    <row r="30" spans="1:20" ht="15.75" customHeight="1">
      <c r="A30" s="274"/>
      <c r="B30" s="588" t="s">
        <v>122</v>
      </c>
      <c r="C30" s="589"/>
      <c r="D30" s="589"/>
      <c r="E30" s="589"/>
      <c r="F30" s="589"/>
      <c r="G30" s="589"/>
      <c r="H30" s="589"/>
      <c r="I30" s="590"/>
      <c r="J30" s="164">
        <f>COUNTIFS('VENDOR QUESTIONNAIRE'!$R$59:$R$182,B30,'VENDOR QUESTIONNAIRE'!$T$59:$T$182,$J$15)</f>
        <v>0</v>
      </c>
      <c r="K30" s="77">
        <f>COUNTIFS('VENDOR QUESTIONNAIRE'!$R$59:$R$182,B30,'VENDOR QUESTIONNAIRE'!$T$59:$T$182,$J$15,'VENDOR QUESTIONNAIRE'!$L$59:$L$182,$K$16)</f>
        <v>0</v>
      </c>
      <c r="L30" s="77">
        <f>COUNTIFS('VENDOR QUESTIONNAIRE'!$R$59:$R$182,$B30,'VENDOR QUESTIONNAIRE'!$T$59:$T$182,$J$15,'VENDOR QUESTIONNAIRE'!$L$59:$L$182,$L$16)</f>
        <v>0</v>
      </c>
      <c r="M30" s="77">
        <f>COUNTIFS('VENDOR QUESTIONNAIRE'!$R$59:$R$182,$B30,'VENDOR QUESTIONNAIRE'!$T$59:$T$182,$J$15,'VENDOR QUESTIONNAIRE'!$L$59:$L$182,$M$16)</f>
        <v>0</v>
      </c>
      <c r="N30" s="334" t="e">
        <f t="shared" si="0"/>
        <v>#DIV/0!</v>
      </c>
      <c r="O30" s="336">
        <f>COUNTIFS('VENDOR QUESTIONNAIRE'!$R$59:$R$182,B30,'VENDOR QUESTIONNAIRE'!$S$59:$S$182,$O$16,'VENDOR QUESTIONNAIRE'!$L$59:$L$182,"Yes",'VENDOR QUESTIONNAIRE'!$T$59:$T$182,"Required")</f>
        <v>0</v>
      </c>
      <c r="P30" s="234">
        <f>COUNTIFS('VENDOR QUESTIONNAIRE'!$R$59:$R$182,$B30,'VENDOR QUESTIONNAIRE'!$S$59:$S$182,P$16,'VENDOR QUESTIONNAIRE'!$L$59:$L$182,"Yes",'VENDOR QUESTIONNAIRE'!$T$59:$T$182,"Required")</f>
        <v>0</v>
      </c>
      <c r="Q30" s="234">
        <f>COUNTIFS('VENDOR QUESTIONNAIRE'!$R$59:$R$182,$B30,'VENDOR QUESTIONNAIRE'!$S$59:$S$182,Q$16,'VENDOR QUESTIONNAIRE'!$L$59:$L$182,"Yes",'VENDOR QUESTIONNAIRE'!$T$59:$T$182,"Required")</f>
        <v>0</v>
      </c>
      <c r="R30" s="234">
        <f>COUNTIFS('VENDOR QUESTIONNAIRE'!$R$59:$R$182,$B30,'VENDOR QUESTIONNAIRE'!$S$59:$S$182,R$16,'VENDOR QUESTIONNAIRE'!$L$59:$L$182,"Yes",'VENDOR QUESTIONNAIRE'!$T$59:$T$182,"Required")</f>
        <v>0</v>
      </c>
      <c r="S30" s="235">
        <f>COUNTIFS('VENDOR QUESTIONNAIRE'!$R$59:$R$182,$B30,'VENDOR QUESTIONNAIRE'!$S$59:$S$182,S$16,'VENDOR QUESTIONNAIRE'!$L$59:$L$182,"Yes",'VENDOR QUESTIONNAIRE'!$T$59:$T$182,"Required")</f>
        <v>0</v>
      </c>
      <c r="T30" s="275"/>
    </row>
    <row r="31" spans="1:20" ht="15.75" customHeight="1">
      <c r="A31" s="274"/>
      <c r="B31" s="588" t="s">
        <v>123</v>
      </c>
      <c r="C31" s="589"/>
      <c r="D31" s="589"/>
      <c r="E31" s="589"/>
      <c r="F31" s="589"/>
      <c r="G31" s="589"/>
      <c r="H31" s="589"/>
      <c r="I31" s="590"/>
      <c r="J31" s="164">
        <f>COUNTIFS('VENDOR QUESTIONNAIRE'!$R$59:$R$182,B31,'VENDOR QUESTIONNAIRE'!$T$59:$T$182,$J$15)</f>
        <v>0</v>
      </c>
      <c r="K31" s="77">
        <f>COUNTIFS('VENDOR QUESTIONNAIRE'!$R$59:$R$182,B31,'VENDOR QUESTIONNAIRE'!$T$59:$T$182,$J$15,'VENDOR QUESTIONNAIRE'!$L$59:$L$182,$K$16)</f>
        <v>0</v>
      </c>
      <c r="L31" s="77">
        <f>COUNTIFS('VENDOR QUESTIONNAIRE'!$R$59:$R$182,$B31,'VENDOR QUESTIONNAIRE'!$T$59:$T$182,$J$15,'VENDOR QUESTIONNAIRE'!$L$59:$L$182,$L$16)</f>
        <v>0</v>
      </c>
      <c r="M31" s="77">
        <f>COUNTIFS('VENDOR QUESTIONNAIRE'!$R$59:$R$182,$B31,'VENDOR QUESTIONNAIRE'!$T$59:$T$182,$J$15,'VENDOR QUESTIONNAIRE'!$L$59:$L$182,$M$16)</f>
        <v>0</v>
      </c>
      <c r="N31" s="334" t="e">
        <f t="shared" si="0"/>
        <v>#DIV/0!</v>
      </c>
      <c r="O31" s="336">
        <f>COUNTIFS('VENDOR QUESTIONNAIRE'!$R$59:$R$182,B31,'VENDOR QUESTIONNAIRE'!$S$59:$S$182,$O$16,'VENDOR QUESTIONNAIRE'!$L$59:$L$182,"Yes",'VENDOR QUESTIONNAIRE'!$T$59:$T$182,"Required")</f>
        <v>0</v>
      </c>
      <c r="P31" s="234">
        <f>COUNTIFS('VENDOR QUESTIONNAIRE'!$R$59:$R$182,$B31,'VENDOR QUESTIONNAIRE'!$S$59:$S$182,P$16,'VENDOR QUESTIONNAIRE'!$L$59:$L$182,"Yes",'VENDOR QUESTIONNAIRE'!$T$59:$T$182,"Required")</f>
        <v>0</v>
      </c>
      <c r="Q31" s="234">
        <f>COUNTIFS('VENDOR QUESTIONNAIRE'!$R$59:$R$182,$B31,'VENDOR QUESTIONNAIRE'!$S$59:$S$182,Q$16,'VENDOR QUESTIONNAIRE'!$L$59:$L$182,"Yes",'VENDOR QUESTIONNAIRE'!$T$59:$T$182,"Required")</f>
        <v>0</v>
      </c>
      <c r="R31" s="234">
        <f>COUNTIFS('VENDOR QUESTIONNAIRE'!$R$59:$R$182,$B31,'VENDOR QUESTIONNAIRE'!$S$59:$S$182,R$16,'VENDOR QUESTIONNAIRE'!$L$59:$L$182,"Yes",'VENDOR QUESTIONNAIRE'!$T$59:$T$182,"Required")</f>
        <v>0</v>
      </c>
      <c r="S31" s="235">
        <f>COUNTIFS('VENDOR QUESTIONNAIRE'!$R$59:$R$182,$B31,'VENDOR QUESTIONNAIRE'!$S$59:$S$182,S$16,'VENDOR QUESTIONNAIRE'!$L$59:$L$182,"Yes",'VENDOR QUESTIONNAIRE'!$T$59:$T$182,"Required")</f>
        <v>0</v>
      </c>
      <c r="T31" s="275"/>
    </row>
    <row r="32" spans="1:20" ht="15.75" customHeight="1">
      <c r="A32" s="274"/>
      <c r="B32" s="588" t="s">
        <v>124</v>
      </c>
      <c r="C32" s="589"/>
      <c r="D32" s="589"/>
      <c r="E32" s="589"/>
      <c r="F32" s="589"/>
      <c r="G32" s="589"/>
      <c r="H32" s="589"/>
      <c r="I32" s="590"/>
      <c r="J32" s="164">
        <f>COUNTIFS('VENDOR QUESTIONNAIRE'!$R$59:$R$182,B32,'VENDOR QUESTIONNAIRE'!$T$59:$T$182,$J$15)</f>
        <v>0</v>
      </c>
      <c r="K32" s="77">
        <f>COUNTIFS('VENDOR QUESTIONNAIRE'!$R$59:$R$182,B32,'VENDOR QUESTIONNAIRE'!$T$59:$T$182,$J$15,'VENDOR QUESTIONNAIRE'!$L$59:$L$182,$K$16)</f>
        <v>0</v>
      </c>
      <c r="L32" s="77">
        <f>COUNTIFS('VENDOR QUESTIONNAIRE'!$R$59:$R$182,$B32,'VENDOR QUESTIONNAIRE'!$T$59:$T$182,$J$15,'VENDOR QUESTIONNAIRE'!$L$59:$L$182,$L$16)</f>
        <v>0</v>
      </c>
      <c r="M32" s="77">
        <f>COUNTIFS('VENDOR QUESTIONNAIRE'!$R$59:$R$182,$B32,'VENDOR QUESTIONNAIRE'!$T$59:$T$182,$J$15,'VENDOR QUESTIONNAIRE'!$L$59:$L$182,$M$16)</f>
        <v>0</v>
      </c>
      <c r="N32" s="334" t="e">
        <f t="shared" si="0"/>
        <v>#DIV/0!</v>
      </c>
      <c r="O32" s="336">
        <f>COUNTIFS('VENDOR QUESTIONNAIRE'!$R$59:$R$182,B32,'VENDOR QUESTIONNAIRE'!$S$59:$S$182,$O$16,'VENDOR QUESTIONNAIRE'!$L$59:$L$182,"Yes",'VENDOR QUESTIONNAIRE'!$T$59:$T$182,"Required")</f>
        <v>0</v>
      </c>
      <c r="P32" s="234">
        <f>COUNTIFS('VENDOR QUESTIONNAIRE'!$R$59:$R$182,$B32,'VENDOR QUESTIONNAIRE'!$S$59:$S$182,P$16,'VENDOR QUESTIONNAIRE'!$L$59:$L$182,"Yes",'VENDOR QUESTIONNAIRE'!$T$59:$T$182,"Required")</f>
        <v>0</v>
      </c>
      <c r="Q32" s="234">
        <f>COUNTIFS('VENDOR QUESTIONNAIRE'!$R$59:$R$182,$B32,'VENDOR QUESTIONNAIRE'!$S$59:$S$182,Q$16,'VENDOR QUESTIONNAIRE'!$L$59:$L$182,"Yes",'VENDOR QUESTIONNAIRE'!$T$59:$T$182,"Required")</f>
        <v>0</v>
      </c>
      <c r="R32" s="234">
        <f>COUNTIFS('VENDOR QUESTIONNAIRE'!$R$59:$R$182,$B32,'VENDOR QUESTIONNAIRE'!$S$59:$S$182,R$16,'VENDOR QUESTIONNAIRE'!$L$59:$L$182,"Yes",'VENDOR QUESTIONNAIRE'!$T$59:$T$182,"Required")</f>
        <v>0</v>
      </c>
      <c r="S32" s="235">
        <f>COUNTIFS('VENDOR QUESTIONNAIRE'!$R$59:$R$182,$B32,'VENDOR QUESTIONNAIRE'!$S$59:$S$182,S$16,'VENDOR QUESTIONNAIRE'!$L$59:$L$182,"Yes",'VENDOR QUESTIONNAIRE'!$T$59:$T$182,"Required")</f>
        <v>0</v>
      </c>
      <c r="T32" s="275"/>
    </row>
    <row r="33" spans="1:20" ht="15.75" customHeight="1">
      <c r="A33" s="274"/>
      <c r="B33" s="588" t="s">
        <v>125</v>
      </c>
      <c r="C33" s="589"/>
      <c r="D33" s="589"/>
      <c r="E33" s="589"/>
      <c r="F33" s="589"/>
      <c r="G33" s="589"/>
      <c r="H33" s="589"/>
      <c r="I33" s="590"/>
      <c r="J33" s="164">
        <f>COUNTIFS('VENDOR QUESTIONNAIRE'!$R$59:$R$182,B33,'VENDOR QUESTIONNAIRE'!$T$59:$T$182,$J$15)</f>
        <v>0</v>
      </c>
      <c r="K33" s="77">
        <f>COUNTIFS('VENDOR QUESTIONNAIRE'!$R$59:$R$182,B33,'VENDOR QUESTIONNAIRE'!$T$59:$T$182,$J$15,'VENDOR QUESTIONNAIRE'!$L$59:$L$182,$K$16)</f>
        <v>0</v>
      </c>
      <c r="L33" s="77">
        <f>COUNTIFS('VENDOR QUESTIONNAIRE'!$R$59:$R$182,$B33,'VENDOR QUESTIONNAIRE'!$T$59:$T$182,$J$15,'VENDOR QUESTIONNAIRE'!$L$59:$L$182,$L$16)</f>
        <v>0</v>
      </c>
      <c r="M33" s="77">
        <f>COUNTIFS('VENDOR QUESTIONNAIRE'!$R$59:$R$182,$B33,'VENDOR QUESTIONNAIRE'!$T$59:$T$182,$J$15,'VENDOR QUESTIONNAIRE'!$L$59:$L$182,$M$16)</f>
        <v>0</v>
      </c>
      <c r="N33" s="334" t="e">
        <f t="shared" si="0"/>
        <v>#DIV/0!</v>
      </c>
      <c r="O33" s="336">
        <f>COUNTIFS('VENDOR QUESTIONNAIRE'!$R$59:$R$182,B33,'VENDOR QUESTIONNAIRE'!$S$59:$S$182,$O$16,'VENDOR QUESTIONNAIRE'!$L$59:$L$182,"Yes",'VENDOR QUESTIONNAIRE'!$T$59:$T$182,"Required")</f>
        <v>0</v>
      </c>
      <c r="P33" s="234">
        <f>COUNTIFS('VENDOR QUESTIONNAIRE'!$R$59:$R$182,$B33,'VENDOR QUESTIONNAIRE'!$S$59:$S$182,P$16,'VENDOR QUESTIONNAIRE'!$L$59:$L$182,"Yes",'VENDOR QUESTIONNAIRE'!$T$59:$T$182,"Required")</f>
        <v>0</v>
      </c>
      <c r="Q33" s="234">
        <f>COUNTIFS('VENDOR QUESTIONNAIRE'!$R$59:$R$182,$B33,'VENDOR QUESTIONNAIRE'!$S$59:$S$182,Q$16,'VENDOR QUESTIONNAIRE'!$L$59:$L$182,"Yes",'VENDOR QUESTIONNAIRE'!$T$59:$T$182,"Required")</f>
        <v>0</v>
      </c>
      <c r="R33" s="234">
        <f>COUNTIFS('VENDOR QUESTIONNAIRE'!$R$59:$R$182,$B33,'VENDOR QUESTIONNAIRE'!$S$59:$S$182,R$16,'VENDOR QUESTIONNAIRE'!$L$59:$L$182,"Yes",'VENDOR QUESTIONNAIRE'!$T$59:$T$182,"Required")</f>
        <v>0</v>
      </c>
      <c r="S33" s="235">
        <f>COUNTIFS('VENDOR QUESTIONNAIRE'!$R$59:$R$182,$B33,'VENDOR QUESTIONNAIRE'!$S$59:$S$182,S$16,'VENDOR QUESTIONNAIRE'!$L$59:$L$182,"Yes",'VENDOR QUESTIONNAIRE'!$T$59:$T$182,"Required")</f>
        <v>0</v>
      </c>
      <c r="T33" s="275"/>
    </row>
    <row r="34" spans="1:20" ht="15.75" customHeight="1">
      <c r="A34" s="274"/>
      <c r="B34" s="588" t="s">
        <v>126</v>
      </c>
      <c r="C34" s="589"/>
      <c r="D34" s="589"/>
      <c r="E34" s="589"/>
      <c r="F34" s="589"/>
      <c r="G34" s="589"/>
      <c r="H34" s="589"/>
      <c r="I34" s="590"/>
      <c r="J34" s="164">
        <f>COUNTIFS('VENDOR QUESTIONNAIRE'!$R$59:$R$182,B34,'VENDOR QUESTIONNAIRE'!$T$59:$T$182,$J$15)</f>
        <v>0</v>
      </c>
      <c r="K34" s="77">
        <f>COUNTIFS('VENDOR QUESTIONNAIRE'!$R$59:$R$182,B34,'VENDOR QUESTIONNAIRE'!$T$59:$T$182,$J$15,'VENDOR QUESTIONNAIRE'!$L$59:$L$182,$K$16)</f>
        <v>0</v>
      </c>
      <c r="L34" s="77">
        <f>COUNTIFS('VENDOR QUESTIONNAIRE'!$R$59:$R$182,$B34,'VENDOR QUESTIONNAIRE'!$T$59:$T$182,$J$15,'VENDOR QUESTIONNAIRE'!$L$59:$L$182,$L$16)</f>
        <v>0</v>
      </c>
      <c r="M34" s="77">
        <f>COUNTIFS('VENDOR QUESTIONNAIRE'!$R$59:$R$182,$B34,'VENDOR QUESTIONNAIRE'!$T$59:$T$182,$J$15,'VENDOR QUESTIONNAIRE'!$L$59:$L$182,$M$16)</f>
        <v>0</v>
      </c>
      <c r="N34" s="334" t="e">
        <f t="shared" si="0"/>
        <v>#DIV/0!</v>
      </c>
      <c r="O34" s="336">
        <f>COUNTIFS('VENDOR QUESTIONNAIRE'!$R$59:$R$182,B34,'VENDOR QUESTIONNAIRE'!$S$59:$S$182,$O$16,'VENDOR QUESTIONNAIRE'!$L$59:$L$182,"Yes",'VENDOR QUESTIONNAIRE'!$T$59:$T$182,"Required")</f>
        <v>0</v>
      </c>
      <c r="P34" s="234">
        <f>COUNTIFS('VENDOR QUESTIONNAIRE'!$R$59:$R$182,$B34,'VENDOR QUESTIONNAIRE'!$S$59:$S$182,P$16,'VENDOR QUESTIONNAIRE'!$L$59:$L$182,"Yes",'VENDOR QUESTIONNAIRE'!$T$59:$T$182,"Required")</f>
        <v>0</v>
      </c>
      <c r="Q34" s="234">
        <f>COUNTIFS('VENDOR QUESTIONNAIRE'!$R$59:$R$182,$B34,'VENDOR QUESTIONNAIRE'!$S$59:$S$182,Q$16,'VENDOR QUESTIONNAIRE'!$L$59:$L$182,"Yes",'VENDOR QUESTIONNAIRE'!$T$59:$T$182,"Required")</f>
        <v>0</v>
      </c>
      <c r="R34" s="234">
        <f>COUNTIFS('VENDOR QUESTIONNAIRE'!$R$59:$R$182,$B34,'VENDOR QUESTIONNAIRE'!$S$59:$S$182,R$16,'VENDOR QUESTIONNAIRE'!$L$59:$L$182,"Yes",'VENDOR QUESTIONNAIRE'!$T$59:$T$182,"Required")</f>
        <v>0</v>
      </c>
      <c r="S34" s="235">
        <f>COUNTIFS('VENDOR QUESTIONNAIRE'!$R$59:$R$182,$B34,'VENDOR QUESTIONNAIRE'!$S$59:$S$182,S$16,'VENDOR QUESTIONNAIRE'!$L$59:$L$182,"Yes",'VENDOR QUESTIONNAIRE'!$T$59:$T$182,"Required")</f>
        <v>0</v>
      </c>
      <c r="T34" s="275"/>
    </row>
    <row r="35" spans="1:20" ht="15.75" customHeight="1">
      <c r="A35" s="274"/>
      <c r="B35" s="588" t="s">
        <v>127</v>
      </c>
      <c r="C35" s="589"/>
      <c r="D35" s="589"/>
      <c r="E35" s="589"/>
      <c r="F35" s="589"/>
      <c r="G35" s="589"/>
      <c r="H35" s="589"/>
      <c r="I35" s="590"/>
      <c r="J35" s="164">
        <f>COUNTIFS('VENDOR QUESTIONNAIRE'!$R$59:$R$182,B35,'VENDOR QUESTIONNAIRE'!$T$59:$T$182,$J$15)</f>
        <v>0</v>
      </c>
      <c r="K35" s="77">
        <f>COUNTIFS('VENDOR QUESTIONNAIRE'!$R$59:$R$182,B35,'VENDOR QUESTIONNAIRE'!$T$59:$T$182,$J$15,'VENDOR QUESTIONNAIRE'!$L$59:$L$182,$K$16)</f>
        <v>0</v>
      </c>
      <c r="L35" s="77">
        <f>COUNTIFS('VENDOR QUESTIONNAIRE'!$R$59:$R$182,$B35,'VENDOR QUESTIONNAIRE'!$T$59:$T$182,$J$15,'VENDOR QUESTIONNAIRE'!$L$59:$L$182,$L$16)</f>
        <v>0</v>
      </c>
      <c r="M35" s="77">
        <f>COUNTIFS('VENDOR QUESTIONNAIRE'!$R$59:$R$182,$B35,'VENDOR QUESTIONNAIRE'!$T$59:$T$182,$J$15,'VENDOR QUESTIONNAIRE'!$L$59:$L$182,$M$16)</f>
        <v>0</v>
      </c>
      <c r="N35" s="334" t="e">
        <f t="shared" si="0"/>
        <v>#DIV/0!</v>
      </c>
      <c r="O35" s="336">
        <f>COUNTIFS('VENDOR QUESTIONNAIRE'!$R$59:$R$182,B35,'VENDOR QUESTIONNAIRE'!$S$59:$S$182,$O$16,'VENDOR QUESTIONNAIRE'!$L$59:$L$182,"Yes",'VENDOR QUESTIONNAIRE'!$T$59:$T$182,"Required")</f>
        <v>0</v>
      </c>
      <c r="P35" s="234">
        <f>COUNTIFS('VENDOR QUESTIONNAIRE'!$R$59:$R$182,$B35,'VENDOR QUESTIONNAIRE'!$S$59:$S$182,P$16,'VENDOR QUESTIONNAIRE'!$L$59:$L$182,"Yes",'VENDOR QUESTIONNAIRE'!$T$59:$T$182,"Required")</f>
        <v>0</v>
      </c>
      <c r="Q35" s="234">
        <f>COUNTIFS('VENDOR QUESTIONNAIRE'!$R$59:$R$182,$B35,'VENDOR QUESTIONNAIRE'!$S$59:$S$182,Q$16,'VENDOR QUESTIONNAIRE'!$L$59:$L$182,"Yes",'VENDOR QUESTIONNAIRE'!$T$59:$T$182,"Required")</f>
        <v>0</v>
      </c>
      <c r="R35" s="234">
        <f>COUNTIFS('VENDOR QUESTIONNAIRE'!$R$59:$R$182,$B35,'VENDOR QUESTIONNAIRE'!$S$59:$S$182,R$16,'VENDOR QUESTIONNAIRE'!$L$59:$L$182,"Yes",'VENDOR QUESTIONNAIRE'!$T$59:$T$182,"Required")</f>
        <v>0</v>
      </c>
      <c r="S35" s="235">
        <f>COUNTIFS('VENDOR QUESTIONNAIRE'!$R$59:$R$182,$B35,'VENDOR QUESTIONNAIRE'!$S$59:$S$182,S$16,'VENDOR QUESTIONNAIRE'!$L$59:$L$182,"Yes",'VENDOR QUESTIONNAIRE'!$T$59:$T$182,"Required")</f>
        <v>0</v>
      </c>
      <c r="T35" s="275"/>
    </row>
    <row r="36" spans="1:20" ht="15.75" customHeight="1">
      <c r="A36" s="274"/>
      <c r="B36" s="588" t="s">
        <v>128</v>
      </c>
      <c r="C36" s="589"/>
      <c r="D36" s="589"/>
      <c r="E36" s="589"/>
      <c r="F36" s="589"/>
      <c r="G36" s="589"/>
      <c r="H36" s="589"/>
      <c r="I36" s="590"/>
      <c r="J36" s="164">
        <f>COUNTIFS('VENDOR QUESTIONNAIRE'!$R$59:$R$182,B36,'VENDOR QUESTIONNAIRE'!$T$59:$T$182,$J$15)</f>
        <v>0</v>
      </c>
      <c r="K36" s="77">
        <f>COUNTIFS('VENDOR QUESTIONNAIRE'!$R$59:$R$182,B36,'VENDOR QUESTIONNAIRE'!$T$59:$T$182,$J$15,'VENDOR QUESTIONNAIRE'!$L$59:$L$182,$K$16)</f>
        <v>0</v>
      </c>
      <c r="L36" s="77">
        <f>COUNTIFS('VENDOR QUESTIONNAIRE'!$R$59:$R$182,$B36,'VENDOR QUESTIONNAIRE'!$T$59:$T$182,$J$15,'VENDOR QUESTIONNAIRE'!$L$59:$L$182,$L$16)</f>
        <v>0</v>
      </c>
      <c r="M36" s="77">
        <f>COUNTIFS('VENDOR QUESTIONNAIRE'!$R$59:$R$182,$B36,'VENDOR QUESTIONNAIRE'!$T$59:$T$182,$J$15,'VENDOR QUESTIONNAIRE'!$L$59:$L$182,$M$16)</f>
        <v>0</v>
      </c>
      <c r="N36" s="334" t="e">
        <f t="shared" si="0"/>
        <v>#DIV/0!</v>
      </c>
      <c r="O36" s="336">
        <f>COUNTIFS('VENDOR QUESTIONNAIRE'!$R$59:$R$182,B36,'VENDOR QUESTIONNAIRE'!$S$59:$S$182,$O$16,'VENDOR QUESTIONNAIRE'!$L$59:$L$182,"Yes",'VENDOR QUESTIONNAIRE'!$T$59:$T$182,"Required")</f>
        <v>0</v>
      </c>
      <c r="P36" s="234">
        <f>COUNTIFS('VENDOR QUESTIONNAIRE'!$R$59:$R$182,$B36,'VENDOR QUESTIONNAIRE'!$S$59:$S$182,P$16,'VENDOR QUESTIONNAIRE'!$L$59:$L$182,"Yes",'VENDOR QUESTIONNAIRE'!$T$59:$T$182,"Required")</f>
        <v>0</v>
      </c>
      <c r="Q36" s="234">
        <f>COUNTIFS('VENDOR QUESTIONNAIRE'!$R$59:$R$182,$B36,'VENDOR QUESTIONNAIRE'!$S$59:$S$182,Q$16,'VENDOR QUESTIONNAIRE'!$L$59:$L$182,"Yes",'VENDOR QUESTIONNAIRE'!$T$59:$T$182,"Required")</f>
        <v>0</v>
      </c>
      <c r="R36" s="234">
        <f>COUNTIFS('VENDOR QUESTIONNAIRE'!$R$59:$R$182,$B36,'VENDOR QUESTIONNAIRE'!$S$59:$S$182,R$16,'VENDOR QUESTIONNAIRE'!$L$59:$L$182,"Yes",'VENDOR QUESTIONNAIRE'!$T$59:$T$182,"Required")</f>
        <v>0</v>
      </c>
      <c r="S36" s="235">
        <f>COUNTIFS('VENDOR QUESTIONNAIRE'!$R$59:$R$182,$B36,'VENDOR QUESTIONNAIRE'!$S$59:$S$182,S$16,'VENDOR QUESTIONNAIRE'!$L$59:$L$182,"Yes",'VENDOR QUESTIONNAIRE'!$T$59:$T$182,"Required")</f>
        <v>0</v>
      </c>
      <c r="T36" s="275"/>
    </row>
    <row r="37" spans="1:20" ht="16.5" customHeight="1" thickBot="1">
      <c r="A37" s="274"/>
      <c r="B37" s="582" t="s">
        <v>129</v>
      </c>
      <c r="C37" s="583"/>
      <c r="D37" s="583"/>
      <c r="E37" s="583"/>
      <c r="F37" s="583"/>
      <c r="G37" s="583"/>
      <c r="H37" s="583"/>
      <c r="I37" s="584"/>
      <c r="J37" s="164">
        <f>COUNTIFS('VENDOR QUESTIONNAIRE'!$R$59:$R$182,B37,'VENDOR QUESTIONNAIRE'!$T$59:$T$182,$J$15)</f>
        <v>0</v>
      </c>
      <c r="K37" s="77">
        <f>COUNTIFS('VENDOR QUESTIONNAIRE'!$R$59:$R$182,B37,'VENDOR QUESTIONNAIRE'!$T$59:$T$182,$J$15,'VENDOR QUESTIONNAIRE'!$L$59:$L$182,$K$16)</f>
        <v>0</v>
      </c>
      <c r="L37" s="77">
        <f>COUNTIFS('VENDOR QUESTIONNAIRE'!$R$59:$R$182,$B37,'VENDOR QUESTIONNAIRE'!$T$59:$T$182,$J$15,'VENDOR QUESTIONNAIRE'!$L$59:$L$182,$L$16)</f>
        <v>0</v>
      </c>
      <c r="M37" s="77">
        <f>COUNTIFS('VENDOR QUESTIONNAIRE'!$R$59:$R$182,$B37,'VENDOR QUESTIONNAIRE'!$T$59:$T$182,$J$15,'VENDOR QUESTIONNAIRE'!$L$59:$L$182,$M$16)</f>
        <v>0</v>
      </c>
      <c r="N37" s="335" t="e">
        <f t="shared" si="0"/>
        <v>#DIV/0!</v>
      </c>
      <c r="O37" s="337">
        <f>COUNTIFS('VENDOR QUESTIONNAIRE'!$R$59:$R$182,B37,'VENDOR QUESTIONNAIRE'!$S$59:$S$182,$O$16,'VENDOR QUESTIONNAIRE'!$L$59:$L$182,"Yes",'VENDOR QUESTIONNAIRE'!$T$59:$T$182,"Required")</f>
        <v>0</v>
      </c>
      <c r="P37" s="338">
        <f>COUNTIFS('VENDOR QUESTIONNAIRE'!$R$59:$R$182,$B37,'VENDOR QUESTIONNAIRE'!$S$59:$S$182,P$16,'VENDOR QUESTIONNAIRE'!$L$59:$L$182,"Yes",'VENDOR QUESTIONNAIRE'!$T$59:$T$182,"Required")</f>
        <v>0</v>
      </c>
      <c r="Q37" s="338">
        <f>COUNTIFS('VENDOR QUESTIONNAIRE'!$R$59:$R$182,$B37,'VENDOR QUESTIONNAIRE'!$S$59:$S$182,Q$16,'VENDOR QUESTIONNAIRE'!$L$59:$L$182,"Yes",'VENDOR QUESTIONNAIRE'!$T$59:$T$182,"Required")</f>
        <v>0</v>
      </c>
      <c r="R37" s="338">
        <f>COUNTIFS('VENDOR QUESTIONNAIRE'!$R$59:$R$182,$B37,'VENDOR QUESTIONNAIRE'!$S$59:$S$182,R$16,'VENDOR QUESTIONNAIRE'!$L$59:$L$182,"Yes",'VENDOR QUESTIONNAIRE'!$T$59:$T$182,"Required")</f>
        <v>0</v>
      </c>
      <c r="S37" s="339">
        <f>COUNTIFS('VENDOR QUESTIONNAIRE'!$R$59:$R$182,$B37,'VENDOR QUESTIONNAIRE'!$S$59:$S$182,S$16,'VENDOR QUESTIONNAIRE'!$L$59:$L$182,"Yes",'VENDOR QUESTIONNAIRE'!$T$59:$T$182,"Required")</f>
        <v>0</v>
      </c>
      <c r="T37" s="275"/>
    </row>
    <row r="38" spans="1:20" ht="20" thickBot="1">
      <c r="A38" s="274"/>
      <c r="B38" s="168"/>
      <c r="C38" s="169"/>
      <c r="D38" s="169"/>
      <c r="E38" s="169"/>
      <c r="F38" s="169"/>
      <c r="G38" s="169"/>
      <c r="H38" s="585" t="s">
        <v>1912</v>
      </c>
      <c r="I38" s="586"/>
      <c r="J38" s="148">
        <f>SUM(J18:J37)</f>
        <v>0</v>
      </c>
      <c r="K38" s="148">
        <f>SUM(K18:K37)</f>
        <v>0</v>
      </c>
      <c r="L38" s="148">
        <f>SUM(L18:L37)</f>
        <v>0</v>
      </c>
      <c r="M38" s="148">
        <f>SUM(M18:M37)</f>
        <v>0</v>
      </c>
      <c r="N38" s="149" t="e">
        <f>AVERAGEIF(N18:N37,"&lt;&gt;#DIV/0!")</f>
        <v>#DIV/0!</v>
      </c>
      <c r="O38" s="172">
        <f>SUM(O18:O37)</f>
        <v>0</v>
      </c>
      <c r="P38" s="172">
        <f>SUM(P18:P37)</f>
        <v>0</v>
      </c>
      <c r="Q38" s="172">
        <f>SUM(Q18:Q37)</f>
        <v>0</v>
      </c>
      <c r="R38" s="172">
        <f>SUM(R18:R37)</f>
        <v>0</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05" t="s">
        <v>2003</v>
      </c>
      <c r="C40" s="505"/>
      <c r="D40" s="505"/>
      <c r="E40" s="505"/>
      <c r="F40" s="505"/>
      <c r="G40" s="505"/>
      <c r="H40" s="505"/>
      <c r="I40" s="505"/>
      <c r="J40" s="505"/>
      <c r="K40" s="505"/>
      <c r="L40" s="505"/>
      <c r="M40" s="505"/>
      <c r="N40" s="505"/>
      <c r="O40" s="505"/>
      <c r="P40" s="505"/>
      <c r="Q40" s="505"/>
      <c r="R40" s="505"/>
      <c r="S40" s="505"/>
      <c r="T40" s="275"/>
    </row>
    <row r="41" spans="1:20" ht="19" customHeight="1" thickBot="1">
      <c r="A41" s="274"/>
      <c r="B41" s="505"/>
      <c r="C41" s="505"/>
      <c r="D41" s="505"/>
      <c r="E41" s="505"/>
      <c r="F41" s="505"/>
      <c r="G41" s="505"/>
      <c r="H41" s="505"/>
      <c r="I41" s="505"/>
      <c r="J41" s="505"/>
      <c r="K41" s="505"/>
      <c r="L41" s="505"/>
      <c r="M41" s="505"/>
      <c r="N41" s="505"/>
      <c r="O41" s="505"/>
      <c r="P41" s="505"/>
      <c r="Q41" s="505"/>
      <c r="R41" s="505"/>
      <c r="S41" s="505"/>
      <c r="T41" s="275"/>
    </row>
    <row r="42" spans="1:20" ht="19" customHeight="1">
      <c r="A42" s="274"/>
      <c r="B42" s="364" t="s">
        <v>1955</v>
      </c>
      <c r="C42" s="578" t="s">
        <v>1956</v>
      </c>
      <c r="D42" s="578"/>
      <c r="E42" s="579" t="s">
        <v>1958</v>
      </c>
      <c r="F42" s="579"/>
      <c r="G42" s="579"/>
      <c r="H42" s="579"/>
      <c r="I42" s="579"/>
      <c r="J42" s="579"/>
      <c r="K42" s="578" t="s">
        <v>2067</v>
      </c>
      <c r="L42" s="578"/>
      <c r="M42" s="578"/>
      <c r="N42" s="538" t="s">
        <v>1957</v>
      </c>
      <c r="O42" s="538"/>
      <c r="P42" s="538" t="s">
        <v>1566</v>
      </c>
      <c r="Q42" s="538"/>
      <c r="R42" s="538"/>
      <c r="S42" s="539"/>
      <c r="T42" s="275"/>
    </row>
    <row r="43" spans="1:20">
      <c r="A43" s="274"/>
      <c r="B43" s="365" t="e">
        <f>'Vendor Gap Calc'!E2</f>
        <v>#NUM!</v>
      </c>
      <c r="C43" s="515" t="e">
        <f>VLOOKUP(B43,'Technology MASTER'!$B$3:$N$107,4,FALSE)</f>
        <v>#NUM!</v>
      </c>
      <c r="D43" s="515"/>
      <c r="E43" s="516" t="e">
        <f>VLOOKUP(B43,'Technology MASTER'!$B$3:$N$107,5,FALSE)</f>
        <v>#NUM!</v>
      </c>
      <c r="F43" s="516"/>
      <c r="G43" s="516"/>
      <c r="H43" s="516"/>
      <c r="I43" s="516"/>
      <c r="J43" s="516"/>
      <c r="K43" s="517" t="e">
        <f>VLOOKUP(B43,'Technology MASTER'!$B$3:$N$107,10,FALSE)</f>
        <v>#NUM!</v>
      </c>
      <c r="L43" s="517"/>
      <c r="M43" s="517"/>
      <c r="N43" s="518" t="e">
        <f>VLOOKUP(B43,'Technology MASTER'!$B$3:$N$107,11,FALSE)</f>
        <v>#NUM!</v>
      </c>
      <c r="O43" s="518"/>
      <c r="P43" s="518" t="e">
        <f>VLOOKUP(B43,'Technology MASTER'!$B$3:$N$107,13,FALSE)</f>
        <v>#NUM!</v>
      </c>
      <c r="Q43" s="518"/>
      <c r="R43" s="518"/>
      <c r="S43" s="519"/>
      <c r="T43" s="275"/>
    </row>
    <row r="44" spans="1:20">
      <c r="A44" s="274"/>
      <c r="B44" s="365" t="e">
        <f>'Vendor Gap Calc'!E3</f>
        <v>#NUM!</v>
      </c>
      <c r="C44" s="515" t="e">
        <f>VLOOKUP(B44,'Technology MASTER'!$B$3:$N$107,4,FALSE)</f>
        <v>#NUM!</v>
      </c>
      <c r="D44" s="515"/>
      <c r="E44" s="516" t="e">
        <f>VLOOKUP(B44,'Technology MASTER'!$B$3:$N$107,5,FALSE)</f>
        <v>#NUM!</v>
      </c>
      <c r="F44" s="516"/>
      <c r="G44" s="516"/>
      <c r="H44" s="516"/>
      <c r="I44" s="516"/>
      <c r="J44" s="516"/>
      <c r="K44" s="517" t="e">
        <f>VLOOKUP(B44,'Technology MASTER'!$B$3:$N$107,10,FALSE)</f>
        <v>#NUM!</v>
      </c>
      <c r="L44" s="517"/>
      <c r="M44" s="517"/>
      <c r="N44" s="518" t="e">
        <f>VLOOKUP(B44,'Technology MASTER'!$B$3:$N$107,11,FALSE)</f>
        <v>#NUM!</v>
      </c>
      <c r="O44" s="518"/>
      <c r="P44" s="518" t="e">
        <f>VLOOKUP(B44,'Technology MASTER'!$B$3:$N$107,13,FALSE)</f>
        <v>#NUM!</v>
      </c>
      <c r="Q44" s="518"/>
      <c r="R44" s="518"/>
      <c r="S44" s="519"/>
      <c r="T44" s="275"/>
    </row>
    <row r="45" spans="1:20">
      <c r="A45" s="274"/>
      <c r="B45" s="365" t="e">
        <f>'Vendor Gap Calc'!E4</f>
        <v>#NUM!</v>
      </c>
      <c r="C45" s="515" t="e">
        <f>VLOOKUP(B45,'Technology MASTER'!$B$3:$N$107,4,FALSE)</f>
        <v>#NUM!</v>
      </c>
      <c r="D45" s="515"/>
      <c r="E45" s="516" t="e">
        <f>VLOOKUP(B45,'Technology MASTER'!$B$3:$N$107,5,FALSE)</f>
        <v>#NUM!</v>
      </c>
      <c r="F45" s="516"/>
      <c r="G45" s="516"/>
      <c r="H45" s="516"/>
      <c r="I45" s="516"/>
      <c r="J45" s="516"/>
      <c r="K45" s="517" t="e">
        <f>VLOOKUP(B45,'Technology MASTER'!$B$3:$N$107,10,FALSE)</f>
        <v>#NUM!</v>
      </c>
      <c r="L45" s="517"/>
      <c r="M45" s="517"/>
      <c r="N45" s="518" t="e">
        <f>VLOOKUP(B45,'Technology MASTER'!$B$3:$N$107,11,FALSE)</f>
        <v>#NUM!</v>
      </c>
      <c r="O45" s="518"/>
      <c r="P45" s="518" t="e">
        <f>VLOOKUP(B45,'Technology MASTER'!$B$3:$N$107,13,FALSE)</f>
        <v>#NUM!</v>
      </c>
      <c r="Q45" s="518"/>
      <c r="R45" s="518"/>
      <c r="S45" s="519"/>
      <c r="T45" s="275"/>
    </row>
    <row r="46" spans="1:20">
      <c r="A46" s="274"/>
      <c r="B46" s="365" t="e">
        <f>'Vendor Gap Calc'!E5</f>
        <v>#NUM!</v>
      </c>
      <c r="C46" s="515" t="e">
        <f>VLOOKUP(B46,'Technology MASTER'!$B$3:$N$107,4,FALSE)</f>
        <v>#NUM!</v>
      </c>
      <c r="D46" s="515"/>
      <c r="E46" s="516" t="e">
        <f>VLOOKUP(B46,'Technology MASTER'!$B$3:$N$107,5,FALSE)</f>
        <v>#NUM!</v>
      </c>
      <c r="F46" s="516"/>
      <c r="G46" s="516"/>
      <c r="H46" s="516"/>
      <c r="I46" s="516"/>
      <c r="J46" s="516"/>
      <c r="K46" s="517" t="e">
        <f>VLOOKUP(B46,'Technology MASTER'!$B$3:$N$107,10,FALSE)</f>
        <v>#NUM!</v>
      </c>
      <c r="L46" s="517"/>
      <c r="M46" s="517"/>
      <c r="N46" s="518" t="e">
        <f>VLOOKUP(B46,'Technology MASTER'!$B$3:$N$107,11,FALSE)</f>
        <v>#NUM!</v>
      </c>
      <c r="O46" s="518"/>
      <c r="P46" s="518" t="e">
        <f>VLOOKUP(B46,'Technology MASTER'!$B$3:$N$107,13,FALSE)</f>
        <v>#NUM!</v>
      </c>
      <c r="Q46" s="518"/>
      <c r="R46" s="518"/>
      <c r="S46" s="519"/>
      <c r="T46" s="275"/>
    </row>
    <row r="47" spans="1:20">
      <c r="A47" s="274"/>
      <c r="B47" s="365" t="e">
        <f>'Vendor Gap Calc'!E6</f>
        <v>#NUM!</v>
      </c>
      <c r="C47" s="515" t="e">
        <f>VLOOKUP(B47,'Technology MASTER'!$B$3:$N$107,4,FALSE)</f>
        <v>#NUM!</v>
      </c>
      <c r="D47" s="515"/>
      <c r="E47" s="516" t="e">
        <f>VLOOKUP(B47,'Technology MASTER'!$B$3:$N$107,5,FALSE)</f>
        <v>#NUM!</v>
      </c>
      <c r="F47" s="516"/>
      <c r="G47" s="516"/>
      <c r="H47" s="516"/>
      <c r="I47" s="516"/>
      <c r="J47" s="516"/>
      <c r="K47" s="517" t="e">
        <f>VLOOKUP(B47,'Technology MASTER'!$B$3:$N$107,10,FALSE)</f>
        <v>#NUM!</v>
      </c>
      <c r="L47" s="517"/>
      <c r="M47" s="517"/>
      <c r="N47" s="518" t="e">
        <f>VLOOKUP(B47,'Technology MASTER'!$B$3:$N$107,11,FALSE)</f>
        <v>#NUM!</v>
      </c>
      <c r="O47" s="518"/>
      <c r="P47" s="518" t="e">
        <f>VLOOKUP(B47,'Technology MASTER'!$B$3:$N$107,13,FALSE)</f>
        <v>#NUM!</v>
      </c>
      <c r="Q47" s="518"/>
      <c r="R47" s="518"/>
      <c r="S47" s="519"/>
      <c r="T47" s="275"/>
    </row>
    <row r="48" spans="1:20">
      <c r="A48" s="274"/>
      <c r="B48" s="365" t="e">
        <f>'Vendor Gap Calc'!E7</f>
        <v>#NUM!</v>
      </c>
      <c r="C48" s="515" t="e">
        <f>VLOOKUP(B48,'Technology MASTER'!$B$3:$N$107,4,FALSE)</f>
        <v>#NUM!</v>
      </c>
      <c r="D48" s="515"/>
      <c r="E48" s="516" t="e">
        <f>VLOOKUP(B48,'Technology MASTER'!$B$3:$N$107,5,FALSE)</f>
        <v>#NUM!</v>
      </c>
      <c r="F48" s="516"/>
      <c r="G48" s="516"/>
      <c r="H48" s="516"/>
      <c r="I48" s="516"/>
      <c r="J48" s="516"/>
      <c r="K48" s="517" t="e">
        <f>VLOOKUP(B48,'Technology MASTER'!$B$3:$N$107,10,FALSE)</f>
        <v>#NUM!</v>
      </c>
      <c r="L48" s="517"/>
      <c r="M48" s="517"/>
      <c r="N48" s="518" t="e">
        <f>VLOOKUP(B48,'Technology MASTER'!$B$3:$N$107,11,FALSE)</f>
        <v>#NUM!</v>
      </c>
      <c r="O48" s="518"/>
      <c r="P48" s="518" t="e">
        <f>VLOOKUP(B48,'Technology MASTER'!$B$3:$N$107,13,FALSE)</f>
        <v>#NUM!</v>
      </c>
      <c r="Q48" s="518"/>
      <c r="R48" s="518"/>
      <c r="S48" s="519"/>
      <c r="T48" s="275"/>
    </row>
    <row r="49" spans="1:20">
      <c r="A49" s="274"/>
      <c r="B49" s="365" t="e">
        <f>'Vendor Gap Calc'!E8</f>
        <v>#NUM!</v>
      </c>
      <c r="C49" s="515" t="e">
        <f>VLOOKUP(B49,'Technology MASTER'!$B$3:$N$107,4,FALSE)</f>
        <v>#NUM!</v>
      </c>
      <c r="D49" s="515"/>
      <c r="E49" s="516" t="e">
        <f>VLOOKUP(B49,'Technology MASTER'!$B$3:$N$107,5,FALSE)</f>
        <v>#NUM!</v>
      </c>
      <c r="F49" s="516"/>
      <c r="G49" s="516"/>
      <c r="H49" s="516"/>
      <c r="I49" s="516"/>
      <c r="J49" s="516"/>
      <c r="K49" s="517" t="e">
        <f>VLOOKUP(B49,'Technology MASTER'!$B$3:$N$107,10,FALSE)</f>
        <v>#NUM!</v>
      </c>
      <c r="L49" s="517"/>
      <c r="M49" s="517"/>
      <c r="N49" s="518" t="e">
        <f>VLOOKUP(B49,'Technology MASTER'!$B$3:$N$107,11,FALSE)</f>
        <v>#NUM!</v>
      </c>
      <c r="O49" s="518"/>
      <c r="P49" s="518" t="e">
        <f>VLOOKUP(B49,'Technology MASTER'!$B$3:$N$107,13,FALSE)</f>
        <v>#NUM!</v>
      </c>
      <c r="Q49" s="518"/>
      <c r="R49" s="518"/>
      <c r="S49" s="519"/>
      <c r="T49" s="275"/>
    </row>
    <row r="50" spans="1:20">
      <c r="A50" s="274"/>
      <c r="B50" s="365" t="e">
        <f>'Vendor Gap Calc'!E9</f>
        <v>#NUM!</v>
      </c>
      <c r="C50" s="515" t="e">
        <f>VLOOKUP(B50,'Technology MASTER'!$B$3:$N$107,4,FALSE)</f>
        <v>#NUM!</v>
      </c>
      <c r="D50" s="515"/>
      <c r="E50" s="516" t="e">
        <f>VLOOKUP(B50,'Technology MASTER'!$B$3:$N$107,5,FALSE)</f>
        <v>#NUM!</v>
      </c>
      <c r="F50" s="516"/>
      <c r="G50" s="516"/>
      <c r="H50" s="516"/>
      <c r="I50" s="516"/>
      <c r="J50" s="516"/>
      <c r="K50" s="517" t="e">
        <f>VLOOKUP(B50,'Technology MASTER'!$B$3:$N$107,10,FALSE)</f>
        <v>#NUM!</v>
      </c>
      <c r="L50" s="517"/>
      <c r="M50" s="517"/>
      <c r="N50" s="518" t="e">
        <f>VLOOKUP(B50,'Technology MASTER'!$B$3:$N$107,11,FALSE)</f>
        <v>#NUM!</v>
      </c>
      <c r="O50" s="518"/>
      <c r="P50" s="518" t="e">
        <f>VLOOKUP(B50,'Technology MASTER'!$B$3:$N$107,13,FALSE)</f>
        <v>#NUM!</v>
      </c>
      <c r="Q50" s="518"/>
      <c r="R50" s="518"/>
      <c r="S50" s="519"/>
      <c r="T50" s="275"/>
    </row>
    <row r="51" spans="1:20">
      <c r="A51" s="274"/>
      <c r="B51" s="365" t="e">
        <f>'Vendor Gap Calc'!E10</f>
        <v>#NUM!</v>
      </c>
      <c r="C51" s="515" t="e">
        <f>VLOOKUP(B51,'Technology MASTER'!$B$3:$N$107,4,FALSE)</f>
        <v>#NUM!</v>
      </c>
      <c r="D51" s="515"/>
      <c r="E51" s="516" t="e">
        <f>VLOOKUP(B51,'Technology MASTER'!$B$3:$N$107,5,FALSE)</f>
        <v>#NUM!</v>
      </c>
      <c r="F51" s="516"/>
      <c r="G51" s="516"/>
      <c r="H51" s="516"/>
      <c r="I51" s="516"/>
      <c r="J51" s="516"/>
      <c r="K51" s="517" t="e">
        <f>VLOOKUP(B51,'Technology MASTER'!$B$3:$N$107,10,FALSE)</f>
        <v>#NUM!</v>
      </c>
      <c r="L51" s="517"/>
      <c r="M51" s="517"/>
      <c r="N51" s="518" t="e">
        <f>VLOOKUP(B51,'Technology MASTER'!$B$3:$N$107,11,FALSE)</f>
        <v>#NUM!</v>
      </c>
      <c r="O51" s="518"/>
      <c r="P51" s="518" t="e">
        <f>VLOOKUP(B51,'Technology MASTER'!$B$3:$N$107,13,FALSE)</f>
        <v>#NUM!</v>
      </c>
      <c r="Q51" s="518"/>
      <c r="R51" s="518"/>
      <c r="S51" s="519"/>
      <c r="T51" s="275"/>
    </row>
    <row r="52" spans="1:20">
      <c r="A52" s="274"/>
      <c r="B52" s="365" t="e">
        <f>'Vendor Gap Calc'!E11</f>
        <v>#NUM!</v>
      </c>
      <c r="C52" s="515" t="e">
        <f>VLOOKUP(B52,'Technology MASTER'!$B$3:$N$107,4,FALSE)</f>
        <v>#NUM!</v>
      </c>
      <c r="D52" s="515"/>
      <c r="E52" s="516" t="e">
        <f>VLOOKUP(B52,'Technology MASTER'!$B$3:$N$107,5,FALSE)</f>
        <v>#NUM!</v>
      </c>
      <c r="F52" s="516"/>
      <c r="G52" s="516"/>
      <c r="H52" s="516"/>
      <c r="I52" s="516"/>
      <c r="J52" s="516"/>
      <c r="K52" s="517" t="e">
        <f>VLOOKUP(B52,'Technology MASTER'!$B$3:$N$107,10,FALSE)</f>
        <v>#NUM!</v>
      </c>
      <c r="L52" s="517"/>
      <c r="M52" s="517"/>
      <c r="N52" s="518" t="e">
        <f>VLOOKUP(B52,'Technology MASTER'!$B$3:$N$107,11,FALSE)</f>
        <v>#NUM!</v>
      </c>
      <c r="O52" s="518"/>
      <c r="P52" s="518" t="e">
        <f>VLOOKUP(B52,'Technology MASTER'!$B$3:$N$107,13,FALSE)</f>
        <v>#NUM!</v>
      </c>
      <c r="Q52" s="518"/>
      <c r="R52" s="518"/>
      <c r="S52" s="519"/>
      <c r="T52" s="275"/>
    </row>
    <row r="53" spans="1:20">
      <c r="A53" s="274"/>
      <c r="B53" s="365" t="e">
        <f>'Vendor Gap Calc'!E12</f>
        <v>#NUM!</v>
      </c>
      <c r="C53" s="515" t="e">
        <f>VLOOKUP(B53,'Technology MASTER'!$B$3:$N$107,4,FALSE)</f>
        <v>#NUM!</v>
      </c>
      <c r="D53" s="515"/>
      <c r="E53" s="516" t="e">
        <f>VLOOKUP(B53,'Technology MASTER'!$B$3:$N$107,5,FALSE)</f>
        <v>#NUM!</v>
      </c>
      <c r="F53" s="516"/>
      <c r="G53" s="516"/>
      <c r="H53" s="516"/>
      <c r="I53" s="516"/>
      <c r="J53" s="516"/>
      <c r="K53" s="517" t="e">
        <f>VLOOKUP(B53,'Technology MASTER'!$B$3:$N$107,10,FALSE)</f>
        <v>#NUM!</v>
      </c>
      <c r="L53" s="517"/>
      <c r="M53" s="517"/>
      <c r="N53" s="518" t="e">
        <f>VLOOKUP(B53,'Technology MASTER'!$B$3:$N$107,11,FALSE)</f>
        <v>#NUM!</v>
      </c>
      <c r="O53" s="518"/>
      <c r="P53" s="518" t="e">
        <f>VLOOKUP(B53,'Technology MASTER'!$B$3:$N$107,13,FALSE)</f>
        <v>#NUM!</v>
      </c>
      <c r="Q53" s="518"/>
      <c r="R53" s="518"/>
      <c r="S53" s="519"/>
      <c r="T53" s="275"/>
    </row>
    <row r="54" spans="1:20">
      <c r="A54" s="274"/>
      <c r="B54" s="365" t="e">
        <f>'Vendor Gap Calc'!E13</f>
        <v>#NUM!</v>
      </c>
      <c r="C54" s="515" t="e">
        <f>VLOOKUP(B54,'Technology MASTER'!$B$3:$N$107,4,FALSE)</f>
        <v>#NUM!</v>
      </c>
      <c r="D54" s="515"/>
      <c r="E54" s="516" t="e">
        <f>VLOOKUP(B54,'Technology MASTER'!$B$3:$N$107,5,FALSE)</f>
        <v>#NUM!</v>
      </c>
      <c r="F54" s="516"/>
      <c r="G54" s="516"/>
      <c r="H54" s="516"/>
      <c r="I54" s="516"/>
      <c r="J54" s="516"/>
      <c r="K54" s="517" t="e">
        <f>VLOOKUP(B54,'Technology MASTER'!$B$3:$N$107,10,FALSE)</f>
        <v>#NUM!</v>
      </c>
      <c r="L54" s="517"/>
      <c r="M54" s="517"/>
      <c r="N54" s="518" t="e">
        <f>VLOOKUP(B54,'Technology MASTER'!$B$3:$N$107,11,FALSE)</f>
        <v>#NUM!</v>
      </c>
      <c r="O54" s="518"/>
      <c r="P54" s="518" t="e">
        <f>VLOOKUP(B54,'Technology MASTER'!$B$3:$N$107,13,FALSE)</f>
        <v>#NUM!</v>
      </c>
      <c r="Q54" s="518"/>
      <c r="R54" s="518"/>
      <c r="S54" s="519"/>
      <c r="T54" s="275"/>
    </row>
    <row r="55" spans="1:20">
      <c r="A55" s="274"/>
      <c r="B55" s="365" t="e">
        <f>'Vendor Gap Calc'!E14</f>
        <v>#NUM!</v>
      </c>
      <c r="C55" s="515" t="e">
        <f>VLOOKUP(B55,'Technology MASTER'!$B$3:$N$107,4,FALSE)</f>
        <v>#NUM!</v>
      </c>
      <c r="D55" s="515"/>
      <c r="E55" s="516" t="e">
        <f>VLOOKUP(B55,'Technology MASTER'!$B$3:$N$107,5,FALSE)</f>
        <v>#NUM!</v>
      </c>
      <c r="F55" s="516"/>
      <c r="G55" s="516"/>
      <c r="H55" s="516"/>
      <c r="I55" s="516"/>
      <c r="J55" s="516"/>
      <c r="K55" s="517" t="e">
        <f>VLOOKUP(B55,'Technology MASTER'!$B$3:$N$107,10,FALSE)</f>
        <v>#NUM!</v>
      </c>
      <c r="L55" s="517"/>
      <c r="M55" s="517"/>
      <c r="N55" s="518" t="e">
        <f>VLOOKUP(B55,'Technology MASTER'!$B$3:$N$107,11,FALSE)</f>
        <v>#NUM!</v>
      </c>
      <c r="O55" s="518"/>
      <c r="P55" s="518" t="e">
        <f>VLOOKUP(B55,'Technology MASTER'!$B$3:$N$107,13,FALSE)</f>
        <v>#NUM!</v>
      </c>
      <c r="Q55" s="518"/>
      <c r="R55" s="518"/>
      <c r="S55" s="519"/>
      <c r="T55" s="275"/>
    </row>
    <row r="56" spans="1:20">
      <c r="A56" s="274"/>
      <c r="B56" s="365" t="e">
        <f>'Vendor Gap Calc'!E15</f>
        <v>#NUM!</v>
      </c>
      <c r="C56" s="515" t="e">
        <f>VLOOKUP(B56,'Technology MASTER'!$B$3:$N$107,4,FALSE)</f>
        <v>#NUM!</v>
      </c>
      <c r="D56" s="515"/>
      <c r="E56" s="516" t="e">
        <f>VLOOKUP(B56,'Technology MASTER'!$B$3:$N$107,5,FALSE)</f>
        <v>#NUM!</v>
      </c>
      <c r="F56" s="516"/>
      <c r="G56" s="516"/>
      <c r="H56" s="516"/>
      <c r="I56" s="516"/>
      <c r="J56" s="516"/>
      <c r="K56" s="517" t="e">
        <f>VLOOKUP(B56,'Technology MASTER'!$B$3:$N$107,10,FALSE)</f>
        <v>#NUM!</v>
      </c>
      <c r="L56" s="517"/>
      <c r="M56" s="517"/>
      <c r="N56" s="518" t="e">
        <f>VLOOKUP(B56,'Technology MASTER'!$B$3:$N$107,11,FALSE)</f>
        <v>#NUM!</v>
      </c>
      <c r="O56" s="518"/>
      <c r="P56" s="518" t="e">
        <f>VLOOKUP(B56,'Technology MASTER'!$B$3:$N$107,13,FALSE)</f>
        <v>#NUM!</v>
      </c>
      <c r="Q56" s="518"/>
      <c r="R56" s="518"/>
      <c r="S56" s="519"/>
      <c r="T56" s="275"/>
    </row>
    <row r="57" spans="1:20">
      <c r="A57" s="274"/>
      <c r="B57" s="365" t="e">
        <f>'Vendor Gap Calc'!E16</f>
        <v>#NUM!</v>
      </c>
      <c r="C57" s="515" t="e">
        <f>VLOOKUP(B57,'Technology MASTER'!$B$3:$N$107,4,FALSE)</f>
        <v>#NUM!</v>
      </c>
      <c r="D57" s="515"/>
      <c r="E57" s="516" t="e">
        <f>VLOOKUP(B57,'Technology MASTER'!$B$3:$N$107,5,FALSE)</f>
        <v>#NUM!</v>
      </c>
      <c r="F57" s="516"/>
      <c r="G57" s="516"/>
      <c r="H57" s="516"/>
      <c r="I57" s="516"/>
      <c r="J57" s="516"/>
      <c r="K57" s="517" t="e">
        <f>VLOOKUP(B57,'Technology MASTER'!$B$3:$N$107,10,FALSE)</f>
        <v>#NUM!</v>
      </c>
      <c r="L57" s="517"/>
      <c r="M57" s="517"/>
      <c r="N57" s="518" t="e">
        <f>VLOOKUP(B57,'Technology MASTER'!$B$3:$N$107,11,FALSE)</f>
        <v>#NUM!</v>
      </c>
      <c r="O57" s="518"/>
      <c r="P57" s="518" t="e">
        <f>VLOOKUP(B57,'Technology MASTER'!$B$3:$N$107,13,FALSE)</f>
        <v>#NUM!</v>
      </c>
      <c r="Q57" s="518"/>
      <c r="R57" s="518"/>
      <c r="S57" s="519"/>
      <c r="T57" s="275"/>
    </row>
    <row r="58" spans="1:20">
      <c r="A58" s="274"/>
      <c r="B58" s="365" t="e">
        <f>'Vendor Gap Calc'!E17</f>
        <v>#NUM!</v>
      </c>
      <c r="C58" s="515" t="e">
        <f>VLOOKUP(B58,'Technology MASTER'!$B$3:$N$107,4,FALSE)</f>
        <v>#NUM!</v>
      </c>
      <c r="D58" s="515"/>
      <c r="E58" s="516" t="e">
        <f>VLOOKUP(B58,'Technology MASTER'!$B$3:$N$107,5,FALSE)</f>
        <v>#NUM!</v>
      </c>
      <c r="F58" s="516"/>
      <c r="G58" s="516"/>
      <c r="H58" s="516"/>
      <c r="I58" s="516"/>
      <c r="J58" s="516"/>
      <c r="K58" s="517" t="e">
        <f>VLOOKUP(B58,'Technology MASTER'!$B$3:$N$107,10,FALSE)</f>
        <v>#NUM!</v>
      </c>
      <c r="L58" s="517"/>
      <c r="M58" s="517"/>
      <c r="N58" s="518" t="e">
        <f>VLOOKUP(B58,'Technology MASTER'!$B$3:$N$107,11,FALSE)</f>
        <v>#NUM!</v>
      </c>
      <c r="O58" s="518"/>
      <c r="P58" s="518" t="e">
        <f>VLOOKUP(B58,'Technology MASTER'!$B$3:$N$107,13,FALSE)</f>
        <v>#NUM!</v>
      </c>
      <c r="Q58" s="518"/>
      <c r="R58" s="518"/>
      <c r="S58" s="519"/>
      <c r="T58" s="275"/>
    </row>
    <row r="59" spans="1:20">
      <c r="A59" s="274"/>
      <c r="B59" s="365" t="e">
        <f>'Vendor Gap Calc'!E18</f>
        <v>#NUM!</v>
      </c>
      <c r="C59" s="515" t="e">
        <f>VLOOKUP(B59,'Technology MASTER'!$B$3:$N$107,4,FALSE)</f>
        <v>#NUM!</v>
      </c>
      <c r="D59" s="515"/>
      <c r="E59" s="516" t="e">
        <f>VLOOKUP(B59,'Technology MASTER'!$B$3:$N$107,5,FALSE)</f>
        <v>#NUM!</v>
      </c>
      <c r="F59" s="516"/>
      <c r="G59" s="516"/>
      <c r="H59" s="516"/>
      <c r="I59" s="516"/>
      <c r="J59" s="516"/>
      <c r="K59" s="517" t="e">
        <f>VLOOKUP(B59,'Technology MASTER'!$B$3:$N$107,10,FALSE)</f>
        <v>#NUM!</v>
      </c>
      <c r="L59" s="517"/>
      <c r="M59" s="517"/>
      <c r="N59" s="518" t="e">
        <f>VLOOKUP(B59,'Technology MASTER'!$B$3:$N$107,11,FALSE)</f>
        <v>#NUM!</v>
      </c>
      <c r="O59" s="518"/>
      <c r="P59" s="518" t="e">
        <f>VLOOKUP(B59,'Technology MASTER'!$B$3:$N$107,13,FALSE)</f>
        <v>#NUM!</v>
      </c>
      <c r="Q59" s="518"/>
      <c r="R59" s="518"/>
      <c r="S59" s="519"/>
      <c r="T59" s="275"/>
    </row>
    <row r="60" spans="1:20">
      <c r="A60" s="274"/>
      <c r="B60" s="365" t="e">
        <f>'Vendor Gap Calc'!E19</f>
        <v>#NUM!</v>
      </c>
      <c r="C60" s="515" t="e">
        <f>VLOOKUP(B60,'Technology MASTER'!$B$3:$N$107,4,FALSE)</f>
        <v>#NUM!</v>
      </c>
      <c r="D60" s="515"/>
      <c r="E60" s="516" t="e">
        <f>VLOOKUP(B60,'Technology MASTER'!$B$3:$N$107,5,FALSE)</f>
        <v>#NUM!</v>
      </c>
      <c r="F60" s="516"/>
      <c r="G60" s="516"/>
      <c r="H60" s="516"/>
      <c r="I60" s="516"/>
      <c r="J60" s="516"/>
      <c r="K60" s="517" t="e">
        <f>VLOOKUP(B60,'Technology MASTER'!$B$3:$N$107,10,FALSE)</f>
        <v>#NUM!</v>
      </c>
      <c r="L60" s="517"/>
      <c r="M60" s="517"/>
      <c r="N60" s="518" t="e">
        <f>VLOOKUP(B60,'Technology MASTER'!$B$3:$N$107,11,FALSE)</f>
        <v>#NUM!</v>
      </c>
      <c r="O60" s="518"/>
      <c r="P60" s="518" t="e">
        <f>VLOOKUP(B60,'Technology MASTER'!$B$3:$N$107,13,FALSE)</f>
        <v>#NUM!</v>
      </c>
      <c r="Q60" s="518"/>
      <c r="R60" s="518"/>
      <c r="S60" s="519"/>
      <c r="T60" s="275"/>
    </row>
    <row r="61" spans="1:20">
      <c r="A61" s="274"/>
      <c r="B61" s="365" t="e">
        <f>'Vendor Gap Calc'!E20</f>
        <v>#NUM!</v>
      </c>
      <c r="C61" s="515" t="e">
        <f>VLOOKUP(B61,'Technology MASTER'!$B$3:$N$107,4,FALSE)</f>
        <v>#NUM!</v>
      </c>
      <c r="D61" s="515"/>
      <c r="E61" s="516" t="e">
        <f>VLOOKUP(B61,'Technology MASTER'!$B$3:$N$107,5,FALSE)</f>
        <v>#NUM!</v>
      </c>
      <c r="F61" s="516"/>
      <c r="G61" s="516"/>
      <c r="H61" s="516"/>
      <c r="I61" s="516"/>
      <c r="J61" s="516"/>
      <c r="K61" s="517" t="e">
        <f>VLOOKUP(B61,'Technology MASTER'!$B$3:$N$107,10,FALSE)</f>
        <v>#NUM!</v>
      </c>
      <c r="L61" s="517"/>
      <c r="M61" s="517"/>
      <c r="N61" s="518" t="e">
        <f>VLOOKUP(B61,'Technology MASTER'!$B$3:$N$107,11,FALSE)</f>
        <v>#NUM!</v>
      </c>
      <c r="O61" s="518"/>
      <c r="P61" s="518" t="e">
        <f>VLOOKUP(B61,'Technology MASTER'!$B$3:$N$107,13,FALSE)</f>
        <v>#NUM!</v>
      </c>
      <c r="Q61" s="518"/>
      <c r="R61" s="518"/>
      <c r="S61" s="519"/>
      <c r="T61" s="275"/>
    </row>
    <row r="62" spans="1:20" ht="17" thickBot="1">
      <c r="A62" s="274"/>
      <c r="B62" s="366" t="e">
        <f>'Vendor Gap Calc'!E21</f>
        <v>#NUM!</v>
      </c>
      <c r="C62" s="520" t="e">
        <f>VLOOKUP(B62,'Technology MASTER'!$B$3:$N$107,4,FALSE)</f>
        <v>#NUM!</v>
      </c>
      <c r="D62" s="520"/>
      <c r="E62" s="521" t="e">
        <f>VLOOKUP(B62,'Technology MASTER'!$B$3:$N$107,5,FALSE)</f>
        <v>#NUM!</v>
      </c>
      <c r="F62" s="521"/>
      <c r="G62" s="521"/>
      <c r="H62" s="521"/>
      <c r="I62" s="521"/>
      <c r="J62" s="521"/>
      <c r="K62" s="522" t="e">
        <f>VLOOKUP(B62,'Technology MASTER'!$B$3:$N$107,10,FALSE)</f>
        <v>#NUM!</v>
      </c>
      <c r="L62" s="522"/>
      <c r="M62" s="522"/>
      <c r="N62" s="523" t="e">
        <f>VLOOKUP(B62,'Technology MASTER'!$B$3:$N$107,11,FALSE)</f>
        <v>#NUM!</v>
      </c>
      <c r="O62" s="523"/>
      <c r="P62" s="523" t="e">
        <f>VLOOKUP(B62,'Technology MASTER'!$B$3:$N$107,13,FALSE)</f>
        <v>#NUM!</v>
      </c>
      <c r="Q62" s="523"/>
      <c r="R62" s="523"/>
      <c r="S62" s="524"/>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05" t="s">
        <v>2068</v>
      </c>
      <c r="C64" s="505"/>
      <c r="D64" s="505"/>
      <c r="E64" s="505"/>
      <c r="F64" s="505"/>
      <c r="G64" s="505"/>
      <c r="H64" s="505"/>
      <c r="I64" s="505"/>
      <c r="J64" s="505"/>
      <c r="K64" s="505"/>
      <c r="L64" s="505"/>
      <c r="M64" s="505"/>
      <c r="N64" s="505"/>
      <c r="O64" s="505"/>
      <c r="P64" s="505"/>
      <c r="Q64" s="505"/>
      <c r="R64" s="505"/>
      <c r="S64" s="505"/>
      <c r="T64" s="275"/>
    </row>
    <row r="65" spans="1:20" ht="19" customHeight="1" thickBot="1">
      <c r="A65" s="274"/>
      <c r="B65" s="505"/>
      <c r="C65" s="505"/>
      <c r="D65" s="505"/>
      <c r="E65" s="505"/>
      <c r="F65" s="505"/>
      <c r="G65" s="505"/>
      <c r="H65" s="505"/>
      <c r="I65" s="505"/>
      <c r="J65" s="505"/>
      <c r="K65" s="505"/>
      <c r="L65" s="505"/>
      <c r="M65" s="505"/>
      <c r="N65" s="505"/>
      <c r="O65" s="505"/>
      <c r="P65" s="505"/>
      <c r="Q65" s="505"/>
      <c r="R65" s="505"/>
      <c r="S65" s="505"/>
      <c r="T65" s="275"/>
    </row>
    <row r="66" spans="1:20">
      <c r="A66" s="274"/>
      <c r="B66" s="328" t="s">
        <v>1955</v>
      </c>
      <c r="C66" s="537" t="s">
        <v>1956</v>
      </c>
      <c r="D66" s="537"/>
      <c r="E66" s="537" t="s">
        <v>1958</v>
      </c>
      <c r="F66" s="537"/>
      <c r="G66" s="537"/>
      <c r="H66" s="537"/>
      <c r="I66" s="537"/>
      <c r="J66" s="537"/>
      <c r="K66" s="537" t="s">
        <v>2069</v>
      </c>
      <c r="L66" s="537"/>
      <c r="M66" s="537"/>
      <c r="N66" s="535" t="s">
        <v>1957</v>
      </c>
      <c r="O66" s="535"/>
      <c r="P66" s="535" t="s">
        <v>1566</v>
      </c>
      <c r="Q66" s="535"/>
      <c r="R66" s="535"/>
      <c r="S66" s="536"/>
      <c r="T66" s="275"/>
    </row>
    <row r="67" spans="1:20">
      <c r="A67" s="274"/>
      <c r="B67" s="332" t="e">
        <f>'Customer Gap Calc'!E2</f>
        <v>#NUM!</v>
      </c>
      <c r="C67" s="533" t="e">
        <f>VLOOKUP(B67,'Technology MASTER'!$B$3:$N$107,4,FALSE)</f>
        <v>#NUM!</v>
      </c>
      <c r="D67" s="533"/>
      <c r="E67" s="525" t="e">
        <f>VLOOKUP(B67,'Technology MASTER'!$B$3:$N$107,5,FALSE)</f>
        <v>#NUM!</v>
      </c>
      <c r="F67" s="525"/>
      <c r="G67" s="525"/>
      <c r="H67" s="525"/>
      <c r="I67" s="525"/>
      <c r="J67" s="525"/>
      <c r="K67" s="526" t="e">
        <f>VLOOKUP(B67,'Technology MASTER'!$B$3:$N$107,10,FALSE)</f>
        <v>#NUM!</v>
      </c>
      <c r="L67" s="526"/>
      <c r="M67" s="526"/>
      <c r="N67" s="527" t="e">
        <f>VLOOKUP(B67,'Technology MASTER'!$B$3:$N$107,11,FALSE)</f>
        <v>#NUM!</v>
      </c>
      <c r="O67" s="527"/>
      <c r="P67" s="527" t="e">
        <f>VLOOKUP(B67,'Technology MASTER'!$B$3:$N$107,13,FALSE)</f>
        <v>#NUM!</v>
      </c>
      <c r="Q67" s="527"/>
      <c r="R67" s="527"/>
      <c r="S67" s="528"/>
      <c r="T67" s="275"/>
    </row>
    <row r="68" spans="1:20">
      <c r="A68" s="274"/>
      <c r="B68" s="332" t="e">
        <f>'Customer Gap Calc'!E3</f>
        <v>#NUM!</v>
      </c>
      <c r="C68" s="533" t="e">
        <f>VLOOKUP(B68,'Technology MASTER'!$B$3:$N$107,4,FALSE)</f>
        <v>#NUM!</v>
      </c>
      <c r="D68" s="533"/>
      <c r="E68" s="525" t="e">
        <f>VLOOKUP(B68,'Technology MASTER'!$B$3:$N$107,5,FALSE)</f>
        <v>#NUM!</v>
      </c>
      <c r="F68" s="525"/>
      <c r="G68" s="525"/>
      <c r="H68" s="525"/>
      <c r="I68" s="525"/>
      <c r="J68" s="525"/>
      <c r="K68" s="526" t="e">
        <f>VLOOKUP(B68,'Technology MASTER'!$B$3:$N$107,10,FALSE)</f>
        <v>#NUM!</v>
      </c>
      <c r="L68" s="526"/>
      <c r="M68" s="526"/>
      <c r="N68" s="527" t="e">
        <f>VLOOKUP(B68,'Technology MASTER'!$B$3:$N$107,11,FALSE)</f>
        <v>#NUM!</v>
      </c>
      <c r="O68" s="527"/>
      <c r="P68" s="527" t="e">
        <f>VLOOKUP(B68,'Technology MASTER'!$B$3:$N$107,13,FALSE)</f>
        <v>#NUM!</v>
      </c>
      <c r="Q68" s="527"/>
      <c r="R68" s="527"/>
      <c r="S68" s="528"/>
      <c r="T68" s="275"/>
    </row>
    <row r="69" spans="1:20">
      <c r="A69" s="274"/>
      <c r="B69" s="332" t="e">
        <f>'Customer Gap Calc'!E4</f>
        <v>#NUM!</v>
      </c>
      <c r="C69" s="533" t="e">
        <f>VLOOKUP(B69,'Technology MASTER'!$B$3:$N$107,4,FALSE)</f>
        <v>#NUM!</v>
      </c>
      <c r="D69" s="533"/>
      <c r="E69" s="525" t="e">
        <f>VLOOKUP(B69,'Technology MASTER'!$B$3:$N$107,5,FALSE)</f>
        <v>#NUM!</v>
      </c>
      <c r="F69" s="525"/>
      <c r="G69" s="525"/>
      <c r="H69" s="525"/>
      <c r="I69" s="525"/>
      <c r="J69" s="525"/>
      <c r="K69" s="526" t="e">
        <f>VLOOKUP(B69,'Technology MASTER'!$B$3:$N$107,10,FALSE)</f>
        <v>#NUM!</v>
      </c>
      <c r="L69" s="526"/>
      <c r="M69" s="526"/>
      <c r="N69" s="527" t="e">
        <f>VLOOKUP(B69,'Technology MASTER'!$B$3:$N$107,11,FALSE)</f>
        <v>#NUM!</v>
      </c>
      <c r="O69" s="527"/>
      <c r="P69" s="527" t="e">
        <f>VLOOKUP(B69,'Technology MASTER'!$B$3:$N$107,13,FALSE)</f>
        <v>#NUM!</v>
      </c>
      <c r="Q69" s="527"/>
      <c r="R69" s="527"/>
      <c r="S69" s="528"/>
      <c r="T69" s="275"/>
    </row>
    <row r="70" spans="1:20">
      <c r="A70" s="274"/>
      <c r="B70" s="332" t="e">
        <f>'Customer Gap Calc'!E5</f>
        <v>#NUM!</v>
      </c>
      <c r="C70" s="533" t="e">
        <f>VLOOKUP(B70,'Technology MASTER'!$B$3:$N$107,4,FALSE)</f>
        <v>#NUM!</v>
      </c>
      <c r="D70" s="533"/>
      <c r="E70" s="525" t="e">
        <f>VLOOKUP(B70,'Technology MASTER'!$B$3:$N$107,5,FALSE)</f>
        <v>#NUM!</v>
      </c>
      <c r="F70" s="525"/>
      <c r="G70" s="525"/>
      <c r="H70" s="525"/>
      <c r="I70" s="525"/>
      <c r="J70" s="525"/>
      <c r="K70" s="526" t="e">
        <f>VLOOKUP(B70,'Technology MASTER'!$B$3:$N$107,10,FALSE)</f>
        <v>#NUM!</v>
      </c>
      <c r="L70" s="526"/>
      <c r="M70" s="526"/>
      <c r="N70" s="527" t="e">
        <f>VLOOKUP(B70,'Technology MASTER'!$B$3:$N$107,11,FALSE)</f>
        <v>#NUM!</v>
      </c>
      <c r="O70" s="527"/>
      <c r="P70" s="527" t="e">
        <f>VLOOKUP(B70,'Technology MASTER'!$B$3:$N$107,13,FALSE)</f>
        <v>#NUM!</v>
      </c>
      <c r="Q70" s="527"/>
      <c r="R70" s="527"/>
      <c r="S70" s="528"/>
      <c r="T70" s="275"/>
    </row>
    <row r="71" spans="1:20">
      <c r="A71" s="274"/>
      <c r="B71" s="332" t="e">
        <f>'Customer Gap Calc'!E6</f>
        <v>#NUM!</v>
      </c>
      <c r="C71" s="533" t="e">
        <f>VLOOKUP(B71,'Technology MASTER'!$B$3:$N$107,4,FALSE)</f>
        <v>#NUM!</v>
      </c>
      <c r="D71" s="533"/>
      <c r="E71" s="525" t="e">
        <f>VLOOKUP(B71,'Technology MASTER'!$B$3:$N$107,5,FALSE)</f>
        <v>#NUM!</v>
      </c>
      <c r="F71" s="525"/>
      <c r="G71" s="525"/>
      <c r="H71" s="525"/>
      <c r="I71" s="525"/>
      <c r="J71" s="525"/>
      <c r="K71" s="526" t="e">
        <f>VLOOKUP(B71,'Technology MASTER'!$B$3:$N$107,10,FALSE)</f>
        <v>#NUM!</v>
      </c>
      <c r="L71" s="526"/>
      <c r="M71" s="526"/>
      <c r="N71" s="527" t="e">
        <f>VLOOKUP(B71,'Technology MASTER'!$B$3:$N$107,11,FALSE)</f>
        <v>#NUM!</v>
      </c>
      <c r="O71" s="527"/>
      <c r="P71" s="527" t="e">
        <f>VLOOKUP(B71,'Technology MASTER'!$B$3:$N$107,13,FALSE)</f>
        <v>#NUM!</v>
      </c>
      <c r="Q71" s="527"/>
      <c r="R71" s="527"/>
      <c r="S71" s="528"/>
      <c r="T71" s="275"/>
    </row>
    <row r="72" spans="1:20">
      <c r="A72" s="274"/>
      <c r="B72" s="332" t="e">
        <f>'Customer Gap Calc'!E7</f>
        <v>#NUM!</v>
      </c>
      <c r="C72" s="533" t="e">
        <f>VLOOKUP(B72,'Technology MASTER'!$B$3:$N$107,4,FALSE)</f>
        <v>#NUM!</v>
      </c>
      <c r="D72" s="533"/>
      <c r="E72" s="525" t="e">
        <f>VLOOKUP(B72,'Technology MASTER'!$B$3:$N$107,5,FALSE)</f>
        <v>#NUM!</v>
      </c>
      <c r="F72" s="525"/>
      <c r="G72" s="525"/>
      <c r="H72" s="525"/>
      <c r="I72" s="525"/>
      <c r="J72" s="525"/>
      <c r="K72" s="526" t="e">
        <f>VLOOKUP(B72,'Technology MASTER'!$B$3:$N$107,10,FALSE)</f>
        <v>#NUM!</v>
      </c>
      <c r="L72" s="526"/>
      <c r="M72" s="526"/>
      <c r="N72" s="527" t="e">
        <f>VLOOKUP(B72,'Technology MASTER'!$B$3:$N$107,11,FALSE)</f>
        <v>#NUM!</v>
      </c>
      <c r="O72" s="527"/>
      <c r="P72" s="527" t="e">
        <f>VLOOKUP(B72,'Technology MASTER'!$B$3:$N$107,13,FALSE)</f>
        <v>#NUM!</v>
      </c>
      <c r="Q72" s="527"/>
      <c r="R72" s="527"/>
      <c r="S72" s="528"/>
      <c r="T72" s="275"/>
    </row>
    <row r="73" spans="1:20">
      <c r="A73" s="274"/>
      <c r="B73" s="332" t="e">
        <f>'Customer Gap Calc'!E8</f>
        <v>#NUM!</v>
      </c>
      <c r="C73" s="533" t="e">
        <f>VLOOKUP(B73,'Technology MASTER'!$B$3:$N$107,4,FALSE)</f>
        <v>#NUM!</v>
      </c>
      <c r="D73" s="533"/>
      <c r="E73" s="525" t="e">
        <f>VLOOKUP(B73,'Technology MASTER'!$B$3:$N$107,5,FALSE)</f>
        <v>#NUM!</v>
      </c>
      <c r="F73" s="525"/>
      <c r="G73" s="525"/>
      <c r="H73" s="525"/>
      <c r="I73" s="525"/>
      <c r="J73" s="525"/>
      <c r="K73" s="526" t="e">
        <f>VLOOKUP(B73,'Technology MASTER'!$B$3:$N$107,10,FALSE)</f>
        <v>#NUM!</v>
      </c>
      <c r="L73" s="526"/>
      <c r="M73" s="526"/>
      <c r="N73" s="527" t="e">
        <f>VLOOKUP(B73,'Technology MASTER'!$B$3:$N$107,11,FALSE)</f>
        <v>#NUM!</v>
      </c>
      <c r="O73" s="527"/>
      <c r="P73" s="527" t="e">
        <f>VLOOKUP(B73,'Technology MASTER'!$B$3:$N$107,13,FALSE)</f>
        <v>#NUM!</v>
      </c>
      <c r="Q73" s="527"/>
      <c r="R73" s="527"/>
      <c r="S73" s="528"/>
      <c r="T73" s="275"/>
    </row>
    <row r="74" spans="1:20">
      <c r="A74" s="274"/>
      <c r="B74" s="332" t="e">
        <f>'Customer Gap Calc'!E9</f>
        <v>#NUM!</v>
      </c>
      <c r="C74" s="533" t="e">
        <f>VLOOKUP(B74,'Technology MASTER'!$B$3:$N$107,4,FALSE)</f>
        <v>#NUM!</v>
      </c>
      <c r="D74" s="533"/>
      <c r="E74" s="525" t="e">
        <f>VLOOKUP(B74,'Technology MASTER'!$B$3:$N$107,5,FALSE)</f>
        <v>#NUM!</v>
      </c>
      <c r="F74" s="525"/>
      <c r="G74" s="525"/>
      <c r="H74" s="525"/>
      <c r="I74" s="525"/>
      <c r="J74" s="525"/>
      <c r="K74" s="526" t="e">
        <f>VLOOKUP(B74,'Technology MASTER'!$B$3:$N$107,10,FALSE)</f>
        <v>#NUM!</v>
      </c>
      <c r="L74" s="526"/>
      <c r="M74" s="526"/>
      <c r="N74" s="527" t="e">
        <f>VLOOKUP(B74,'Technology MASTER'!$B$3:$N$107,11,FALSE)</f>
        <v>#NUM!</v>
      </c>
      <c r="O74" s="527"/>
      <c r="P74" s="527" t="e">
        <f>VLOOKUP(B74,'Technology MASTER'!$B$3:$N$107,13,FALSE)</f>
        <v>#NUM!</v>
      </c>
      <c r="Q74" s="527"/>
      <c r="R74" s="527"/>
      <c r="S74" s="528"/>
      <c r="T74" s="275"/>
    </row>
    <row r="75" spans="1:20">
      <c r="A75" s="274"/>
      <c r="B75" s="332" t="e">
        <f>'Customer Gap Calc'!E10</f>
        <v>#NUM!</v>
      </c>
      <c r="C75" s="533" t="e">
        <f>VLOOKUP(B75,'Technology MASTER'!$B$3:$N$107,4,FALSE)</f>
        <v>#NUM!</v>
      </c>
      <c r="D75" s="533"/>
      <c r="E75" s="525" t="e">
        <f>VLOOKUP(B75,'Technology MASTER'!$B$3:$N$107,5,FALSE)</f>
        <v>#NUM!</v>
      </c>
      <c r="F75" s="525"/>
      <c r="G75" s="525"/>
      <c r="H75" s="525"/>
      <c r="I75" s="525"/>
      <c r="J75" s="525"/>
      <c r="K75" s="526" t="e">
        <f>VLOOKUP(B75,'Technology MASTER'!$B$3:$N$107,10,FALSE)</f>
        <v>#NUM!</v>
      </c>
      <c r="L75" s="526"/>
      <c r="M75" s="526"/>
      <c r="N75" s="527" t="e">
        <f>VLOOKUP(B75,'Technology MASTER'!$B$3:$N$107,11,FALSE)</f>
        <v>#NUM!</v>
      </c>
      <c r="O75" s="527"/>
      <c r="P75" s="527" t="e">
        <f>VLOOKUP(B75,'Technology MASTER'!$B$3:$N$107,13,FALSE)</f>
        <v>#NUM!</v>
      </c>
      <c r="Q75" s="527"/>
      <c r="R75" s="527"/>
      <c r="S75" s="528"/>
      <c r="T75" s="275"/>
    </row>
    <row r="76" spans="1:20">
      <c r="A76" s="274"/>
      <c r="B76" s="332" t="e">
        <f>'Customer Gap Calc'!E11</f>
        <v>#NUM!</v>
      </c>
      <c r="C76" s="533" t="e">
        <f>VLOOKUP(B76,'Technology MASTER'!$B$3:$N$107,4,FALSE)</f>
        <v>#NUM!</v>
      </c>
      <c r="D76" s="533"/>
      <c r="E76" s="525" t="e">
        <f>VLOOKUP(B76,'Technology MASTER'!$B$3:$N$107,5,FALSE)</f>
        <v>#NUM!</v>
      </c>
      <c r="F76" s="525"/>
      <c r="G76" s="525"/>
      <c r="H76" s="525"/>
      <c r="I76" s="525"/>
      <c r="J76" s="525"/>
      <c r="K76" s="526" t="e">
        <f>VLOOKUP(B76,'Technology MASTER'!$B$3:$N$107,10,FALSE)</f>
        <v>#NUM!</v>
      </c>
      <c r="L76" s="526"/>
      <c r="M76" s="526"/>
      <c r="N76" s="527" t="e">
        <f>VLOOKUP(B76,'Technology MASTER'!$B$3:$N$107,11,FALSE)</f>
        <v>#NUM!</v>
      </c>
      <c r="O76" s="527"/>
      <c r="P76" s="527" t="e">
        <f>VLOOKUP(B76,'Technology MASTER'!$B$3:$N$107,13,FALSE)</f>
        <v>#NUM!</v>
      </c>
      <c r="Q76" s="527"/>
      <c r="R76" s="527"/>
      <c r="S76" s="528"/>
      <c r="T76" s="275"/>
    </row>
    <row r="77" spans="1:20">
      <c r="A77" s="274"/>
      <c r="B77" s="332" t="e">
        <f>'Customer Gap Calc'!E12</f>
        <v>#NUM!</v>
      </c>
      <c r="C77" s="533" t="e">
        <f>VLOOKUP(B77,'Technology MASTER'!$B$3:$N$107,4,FALSE)</f>
        <v>#NUM!</v>
      </c>
      <c r="D77" s="533"/>
      <c r="E77" s="525" t="e">
        <f>VLOOKUP(B77,'Technology MASTER'!$B$3:$N$107,5,FALSE)</f>
        <v>#NUM!</v>
      </c>
      <c r="F77" s="525"/>
      <c r="G77" s="525"/>
      <c r="H77" s="525"/>
      <c r="I77" s="525"/>
      <c r="J77" s="525"/>
      <c r="K77" s="526" t="e">
        <f>VLOOKUP(B77,'Technology MASTER'!$B$3:$N$107,10,FALSE)</f>
        <v>#NUM!</v>
      </c>
      <c r="L77" s="526"/>
      <c r="M77" s="526"/>
      <c r="N77" s="527" t="e">
        <f>VLOOKUP(B77,'Technology MASTER'!$B$3:$N$107,11,FALSE)</f>
        <v>#NUM!</v>
      </c>
      <c r="O77" s="527"/>
      <c r="P77" s="527" t="e">
        <f>VLOOKUP(B77,'Technology MASTER'!$B$3:$N$107,13,FALSE)</f>
        <v>#NUM!</v>
      </c>
      <c r="Q77" s="527"/>
      <c r="R77" s="527"/>
      <c r="S77" s="528"/>
      <c r="T77" s="275"/>
    </row>
    <row r="78" spans="1:20">
      <c r="A78" s="274"/>
      <c r="B78" s="332" t="e">
        <f>'Customer Gap Calc'!E13</f>
        <v>#NUM!</v>
      </c>
      <c r="C78" s="533" t="e">
        <f>VLOOKUP(B78,'Technology MASTER'!$B$3:$N$107,4,FALSE)</f>
        <v>#NUM!</v>
      </c>
      <c r="D78" s="533"/>
      <c r="E78" s="525" t="e">
        <f>VLOOKUP(B78,'Technology MASTER'!$B$3:$N$107,5,FALSE)</f>
        <v>#NUM!</v>
      </c>
      <c r="F78" s="525"/>
      <c r="G78" s="525"/>
      <c r="H78" s="525"/>
      <c r="I78" s="525"/>
      <c r="J78" s="525"/>
      <c r="K78" s="526" t="e">
        <f>VLOOKUP(B78,'Technology MASTER'!$B$3:$N$107,10,FALSE)</f>
        <v>#NUM!</v>
      </c>
      <c r="L78" s="526"/>
      <c r="M78" s="526"/>
      <c r="N78" s="527" t="e">
        <f>VLOOKUP(B78,'Technology MASTER'!$B$3:$N$107,11,FALSE)</f>
        <v>#NUM!</v>
      </c>
      <c r="O78" s="527"/>
      <c r="P78" s="527" t="e">
        <f>VLOOKUP(B78,'Technology MASTER'!$B$3:$N$107,13,FALSE)</f>
        <v>#NUM!</v>
      </c>
      <c r="Q78" s="527"/>
      <c r="R78" s="527"/>
      <c r="S78" s="528"/>
      <c r="T78" s="275"/>
    </row>
    <row r="79" spans="1:20">
      <c r="A79" s="274"/>
      <c r="B79" s="332" t="e">
        <f>'Customer Gap Calc'!E14</f>
        <v>#NUM!</v>
      </c>
      <c r="C79" s="533" t="e">
        <f>VLOOKUP(B79,'Technology MASTER'!$B$3:$N$107,4,FALSE)</f>
        <v>#NUM!</v>
      </c>
      <c r="D79" s="533"/>
      <c r="E79" s="525" t="e">
        <f>VLOOKUP(B79,'Technology MASTER'!$B$3:$N$107,5,FALSE)</f>
        <v>#NUM!</v>
      </c>
      <c r="F79" s="525"/>
      <c r="G79" s="525"/>
      <c r="H79" s="525"/>
      <c r="I79" s="525"/>
      <c r="J79" s="525"/>
      <c r="K79" s="526" t="e">
        <f>VLOOKUP(B79,'Technology MASTER'!$B$3:$N$107,10,FALSE)</f>
        <v>#NUM!</v>
      </c>
      <c r="L79" s="526"/>
      <c r="M79" s="526"/>
      <c r="N79" s="527" t="e">
        <f>VLOOKUP(B79,'Technology MASTER'!$B$3:$N$107,11,FALSE)</f>
        <v>#NUM!</v>
      </c>
      <c r="O79" s="527"/>
      <c r="P79" s="527" t="e">
        <f>VLOOKUP(B79,'Technology MASTER'!$B$3:$N$107,13,FALSE)</f>
        <v>#NUM!</v>
      </c>
      <c r="Q79" s="527"/>
      <c r="R79" s="527"/>
      <c r="S79" s="528"/>
      <c r="T79" s="275"/>
    </row>
    <row r="80" spans="1:20">
      <c r="A80" s="274"/>
      <c r="B80" s="332" t="e">
        <f>'Customer Gap Calc'!E15</f>
        <v>#NUM!</v>
      </c>
      <c r="C80" s="533" t="e">
        <f>VLOOKUP(B80,'Technology MASTER'!$B$3:$N$107,4,FALSE)</f>
        <v>#NUM!</v>
      </c>
      <c r="D80" s="533"/>
      <c r="E80" s="525" t="e">
        <f>VLOOKUP(B80,'Technology MASTER'!$B$3:$N$107,5,FALSE)</f>
        <v>#NUM!</v>
      </c>
      <c r="F80" s="525"/>
      <c r="G80" s="525"/>
      <c r="H80" s="525"/>
      <c r="I80" s="525"/>
      <c r="J80" s="525"/>
      <c r="K80" s="526" t="e">
        <f>VLOOKUP(B80,'Technology MASTER'!$B$3:$N$107,10,FALSE)</f>
        <v>#NUM!</v>
      </c>
      <c r="L80" s="526"/>
      <c r="M80" s="526"/>
      <c r="N80" s="527" t="e">
        <f>VLOOKUP(B80,'Technology MASTER'!$B$3:$N$107,11,FALSE)</f>
        <v>#NUM!</v>
      </c>
      <c r="O80" s="527"/>
      <c r="P80" s="527" t="e">
        <f>VLOOKUP(B80,'Technology MASTER'!$B$3:$N$107,13,FALSE)</f>
        <v>#NUM!</v>
      </c>
      <c r="Q80" s="527"/>
      <c r="R80" s="527"/>
      <c r="S80" s="528"/>
      <c r="T80" s="275"/>
    </row>
    <row r="81" spans="1:20">
      <c r="A81" s="274"/>
      <c r="B81" s="332" t="e">
        <f>'Customer Gap Calc'!E16</f>
        <v>#NUM!</v>
      </c>
      <c r="C81" s="533" t="e">
        <f>VLOOKUP(B81,'Technology MASTER'!$B$3:$N$107,4,FALSE)</f>
        <v>#NUM!</v>
      </c>
      <c r="D81" s="533"/>
      <c r="E81" s="525" t="e">
        <f>VLOOKUP(B81,'Technology MASTER'!$B$3:$N$107,5,FALSE)</f>
        <v>#NUM!</v>
      </c>
      <c r="F81" s="525"/>
      <c r="G81" s="525"/>
      <c r="H81" s="525"/>
      <c r="I81" s="525"/>
      <c r="J81" s="525"/>
      <c r="K81" s="526" t="e">
        <f>VLOOKUP(B81,'Technology MASTER'!$B$3:$N$107,10,FALSE)</f>
        <v>#NUM!</v>
      </c>
      <c r="L81" s="526"/>
      <c r="M81" s="526"/>
      <c r="N81" s="527" t="e">
        <f>VLOOKUP(B81,'Technology MASTER'!$B$3:$N$107,11,FALSE)</f>
        <v>#NUM!</v>
      </c>
      <c r="O81" s="527"/>
      <c r="P81" s="527" t="e">
        <f>VLOOKUP(B81,'Technology MASTER'!$B$3:$N$107,13,FALSE)</f>
        <v>#NUM!</v>
      </c>
      <c r="Q81" s="527"/>
      <c r="R81" s="527"/>
      <c r="S81" s="528"/>
      <c r="T81" s="275"/>
    </row>
    <row r="82" spans="1:20">
      <c r="A82" s="274"/>
      <c r="B82" s="332" t="e">
        <f>'Customer Gap Calc'!E17</f>
        <v>#NUM!</v>
      </c>
      <c r="C82" s="533" t="e">
        <f>VLOOKUP(B82,'Technology MASTER'!$B$3:$N$107,4,FALSE)</f>
        <v>#NUM!</v>
      </c>
      <c r="D82" s="533"/>
      <c r="E82" s="525" t="e">
        <f>VLOOKUP(B82,'Technology MASTER'!$B$3:$N$107,5,FALSE)</f>
        <v>#NUM!</v>
      </c>
      <c r="F82" s="525"/>
      <c r="G82" s="525"/>
      <c r="H82" s="525"/>
      <c r="I82" s="525"/>
      <c r="J82" s="525"/>
      <c r="K82" s="526" t="e">
        <f>VLOOKUP(B82,'Technology MASTER'!$B$3:$N$107,10,FALSE)</f>
        <v>#NUM!</v>
      </c>
      <c r="L82" s="526"/>
      <c r="M82" s="526"/>
      <c r="N82" s="527" t="e">
        <f>VLOOKUP(B82,'Technology MASTER'!$B$3:$N$107,11,FALSE)</f>
        <v>#NUM!</v>
      </c>
      <c r="O82" s="527"/>
      <c r="P82" s="527" t="e">
        <f>VLOOKUP(B82,'Technology MASTER'!$B$3:$N$107,13,FALSE)</f>
        <v>#NUM!</v>
      </c>
      <c r="Q82" s="527"/>
      <c r="R82" s="527"/>
      <c r="S82" s="528"/>
      <c r="T82" s="275"/>
    </row>
    <row r="83" spans="1:20">
      <c r="A83" s="274"/>
      <c r="B83" s="332" t="e">
        <f>'Customer Gap Calc'!E18</f>
        <v>#NUM!</v>
      </c>
      <c r="C83" s="533" t="e">
        <f>VLOOKUP(B83,'Technology MASTER'!$B$3:$N$107,4,FALSE)</f>
        <v>#NUM!</v>
      </c>
      <c r="D83" s="533"/>
      <c r="E83" s="525" t="e">
        <f>VLOOKUP(B83,'Technology MASTER'!$B$3:$N$107,5,FALSE)</f>
        <v>#NUM!</v>
      </c>
      <c r="F83" s="525"/>
      <c r="G83" s="525"/>
      <c r="H83" s="525"/>
      <c r="I83" s="525"/>
      <c r="J83" s="525"/>
      <c r="K83" s="526" t="e">
        <f>VLOOKUP(B83,'Technology MASTER'!$B$3:$N$107,10,FALSE)</f>
        <v>#NUM!</v>
      </c>
      <c r="L83" s="526"/>
      <c r="M83" s="526"/>
      <c r="N83" s="527" t="e">
        <f>VLOOKUP(B83,'Technology MASTER'!$B$3:$N$107,11,FALSE)</f>
        <v>#NUM!</v>
      </c>
      <c r="O83" s="527"/>
      <c r="P83" s="527" t="e">
        <f>VLOOKUP(B83,'Technology MASTER'!$B$3:$N$107,13,FALSE)</f>
        <v>#NUM!</v>
      </c>
      <c r="Q83" s="527"/>
      <c r="R83" s="527"/>
      <c r="S83" s="528"/>
      <c r="T83" s="275"/>
    </row>
    <row r="84" spans="1:20">
      <c r="A84" s="274"/>
      <c r="B84" s="332" t="e">
        <f>'Customer Gap Calc'!E19</f>
        <v>#NUM!</v>
      </c>
      <c r="C84" s="533" t="e">
        <f>VLOOKUP(B84,'Technology MASTER'!$B$3:$N$107,4,FALSE)</f>
        <v>#NUM!</v>
      </c>
      <c r="D84" s="533"/>
      <c r="E84" s="525" t="e">
        <f>VLOOKUP(B84,'Technology MASTER'!$B$3:$N$107,5,FALSE)</f>
        <v>#NUM!</v>
      </c>
      <c r="F84" s="525"/>
      <c r="G84" s="525"/>
      <c r="H84" s="525"/>
      <c r="I84" s="525"/>
      <c r="J84" s="525"/>
      <c r="K84" s="526" t="e">
        <f>VLOOKUP(B84,'Technology MASTER'!$B$3:$N$107,10,FALSE)</f>
        <v>#NUM!</v>
      </c>
      <c r="L84" s="526"/>
      <c r="M84" s="526"/>
      <c r="N84" s="527" t="e">
        <f>VLOOKUP(B84,'Technology MASTER'!$B$3:$N$107,11,FALSE)</f>
        <v>#NUM!</v>
      </c>
      <c r="O84" s="527"/>
      <c r="P84" s="527" t="e">
        <f>VLOOKUP(B84,'Technology MASTER'!$B$3:$N$107,13,FALSE)</f>
        <v>#NUM!</v>
      </c>
      <c r="Q84" s="527"/>
      <c r="R84" s="527"/>
      <c r="S84" s="528"/>
      <c r="T84" s="275"/>
    </row>
    <row r="85" spans="1:20">
      <c r="A85" s="274"/>
      <c r="B85" s="332" t="e">
        <f>'Customer Gap Calc'!E20</f>
        <v>#NUM!</v>
      </c>
      <c r="C85" s="533" t="e">
        <f>VLOOKUP(B85,'Technology MASTER'!$B$3:$N$107,4,FALSE)</f>
        <v>#NUM!</v>
      </c>
      <c r="D85" s="533"/>
      <c r="E85" s="525" t="e">
        <f>VLOOKUP(B85,'Technology MASTER'!$B$3:$N$107,5,FALSE)</f>
        <v>#NUM!</v>
      </c>
      <c r="F85" s="525"/>
      <c r="G85" s="525"/>
      <c r="H85" s="525"/>
      <c r="I85" s="525"/>
      <c r="J85" s="525"/>
      <c r="K85" s="526" t="e">
        <f>VLOOKUP(B85,'Technology MASTER'!$B$3:$N$107,10,FALSE)</f>
        <v>#NUM!</v>
      </c>
      <c r="L85" s="526"/>
      <c r="M85" s="526"/>
      <c r="N85" s="527" t="e">
        <f>VLOOKUP(B85,'Technology MASTER'!$B$3:$N$107,11,FALSE)</f>
        <v>#NUM!</v>
      </c>
      <c r="O85" s="527"/>
      <c r="P85" s="527" t="e">
        <f>VLOOKUP(B85,'Technology MASTER'!$B$3:$N$107,13,FALSE)</f>
        <v>#NUM!</v>
      </c>
      <c r="Q85" s="527"/>
      <c r="R85" s="527"/>
      <c r="S85" s="528"/>
      <c r="T85" s="275"/>
    </row>
    <row r="86" spans="1:20" ht="17" thickBot="1">
      <c r="A86" s="274"/>
      <c r="B86" s="333" t="e">
        <f>'Customer Gap Calc'!E21</f>
        <v>#NUM!</v>
      </c>
      <c r="C86" s="534" t="e">
        <f>VLOOKUP(B86,'Technology MASTER'!$B$3:$N$107,4,FALSE)</f>
        <v>#NUM!</v>
      </c>
      <c r="D86" s="534"/>
      <c r="E86" s="529" t="e">
        <f>VLOOKUP(B86,'Technology MASTER'!$B$3:$N$107,5,FALSE)</f>
        <v>#NUM!</v>
      </c>
      <c r="F86" s="529"/>
      <c r="G86" s="529"/>
      <c r="H86" s="529"/>
      <c r="I86" s="529"/>
      <c r="J86" s="529"/>
      <c r="K86" s="530" t="e">
        <f>VLOOKUP(B86,'Technology MASTER'!$B$3:$N$107,10,FALSE)</f>
        <v>#NUM!</v>
      </c>
      <c r="L86" s="530"/>
      <c r="M86" s="530"/>
      <c r="N86" s="531" t="e">
        <f>VLOOKUP(B86,'Technology MASTER'!$B$3:$N$107,11,FALSE)</f>
        <v>#NUM!</v>
      </c>
      <c r="O86" s="531"/>
      <c r="P86" s="531" t="e">
        <f>VLOOKUP(B86,'Technology MASTER'!$B$3:$N$107,13,FALSE)</f>
        <v>#NUM!</v>
      </c>
      <c r="Q86" s="531"/>
      <c r="R86" s="531"/>
      <c r="S86" s="532"/>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05" t="s">
        <v>2149</v>
      </c>
      <c r="E88" s="505"/>
      <c r="F88" s="505"/>
      <c r="G88" s="505"/>
      <c r="H88" s="505"/>
      <c r="I88" s="505"/>
      <c r="J88" s="505"/>
      <c r="K88" s="505"/>
      <c r="L88" s="505"/>
      <c r="M88" s="505"/>
      <c r="N88" s="505"/>
      <c r="O88" s="505"/>
      <c r="P88" s="505"/>
      <c r="Q88" s="505"/>
      <c r="R88" s="343"/>
      <c r="S88" s="343"/>
      <c r="T88" s="275"/>
    </row>
    <row r="89" spans="1:20" ht="21.75" customHeight="1">
      <c r="A89" s="274"/>
      <c r="B89" s="372"/>
      <c r="C89" s="372"/>
      <c r="D89" s="505"/>
      <c r="E89" s="505"/>
      <c r="F89" s="505"/>
      <c r="G89" s="505"/>
      <c r="H89" s="505"/>
      <c r="I89" s="505"/>
      <c r="J89" s="505"/>
      <c r="K89" s="505"/>
      <c r="L89" s="505"/>
      <c r="M89" s="505"/>
      <c r="N89" s="505"/>
      <c r="O89" s="505"/>
      <c r="P89" s="505"/>
      <c r="Q89" s="505"/>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511" t="s">
        <v>585</v>
      </c>
      <c r="H91" s="511"/>
      <c r="I91" s="511"/>
      <c r="J91" s="511"/>
      <c r="K91" s="378"/>
      <c r="L91" s="378"/>
      <c r="M91" s="502" t="s">
        <v>2146</v>
      </c>
      <c r="N91" s="502"/>
      <c r="O91" s="502"/>
      <c r="P91" s="378"/>
      <c r="Q91" s="378"/>
      <c r="R91" s="343"/>
      <c r="S91" s="343"/>
      <c r="T91" s="275"/>
    </row>
    <row r="92" spans="1:20" ht="31.5" customHeight="1">
      <c r="A92" s="274"/>
      <c r="B92" s="372"/>
      <c r="C92" s="372"/>
      <c r="D92" s="503" t="s">
        <v>1980</v>
      </c>
      <c r="E92" s="503"/>
      <c r="F92" s="504"/>
      <c r="G92" s="375" t="s">
        <v>2145</v>
      </c>
      <c r="H92" s="376" t="s">
        <v>1531</v>
      </c>
      <c r="I92" s="377" t="s">
        <v>1532</v>
      </c>
      <c r="J92" s="101" t="s">
        <v>1540</v>
      </c>
      <c r="K92" s="509" t="s">
        <v>2147</v>
      </c>
      <c r="L92" s="509"/>
      <c r="M92" s="512" t="s">
        <v>1916</v>
      </c>
      <c r="N92" s="512"/>
      <c r="O92" s="101" t="s">
        <v>1975</v>
      </c>
      <c r="P92" s="509" t="s">
        <v>2148</v>
      </c>
      <c r="Q92" s="509"/>
      <c r="R92" s="343"/>
      <c r="S92" s="343"/>
      <c r="T92" s="275"/>
    </row>
    <row r="93" spans="1:20">
      <c r="A93" s="274"/>
      <c r="B93" s="372"/>
      <c r="C93" s="372"/>
      <c r="D93" s="508" t="s">
        <v>1558</v>
      </c>
      <c r="E93" s="508"/>
      <c r="F93" s="508"/>
      <c r="G93" s="374">
        <f>'Risk Calc'!T40</f>
        <v>0</v>
      </c>
      <c r="H93" s="374">
        <f>'Risk Calc'!U40</f>
        <v>0</v>
      </c>
      <c r="I93" s="374">
        <f>'Risk Calc'!V40</f>
        <v>0</v>
      </c>
      <c r="J93" s="381" t="e">
        <f>'Risk Calc'!W40</f>
        <v>#DIV/0!</v>
      </c>
      <c r="K93" s="510" t="e">
        <f>'Risk Calc'!X40</f>
        <v>#DIV/0!</v>
      </c>
      <c r="L93" s="510"/>
      <c r="M93" s="513">
        <f>COUNTIFS('VENDOR QUESTIONNAIRE'!$V$59:$V$182,$D93,'VENDOR QUESTIONNAIRE'!$T$59:$T$182,"Recommend",'VENDOR QUESTIONNAIRE'!$L$59:$L$182,"Yes")</f>
        <v>0</v>
      </c>
      <c r="N93" s="514"/>
      <c r="O93" s="382">
        <f t="shared" ref="O93:P97" si="1">AD41</f>
        <v>0</v>
      </c>
      <c r="P93" s="501">
        <f t="shared" si="1"/>
        <v>0</v>
      </c>
      <c r="Q93" s="501"/>
      <c r="R93" s="343"/>
      <c r="S93" s="343"/>
      <c r="T93" s="275"/>
    </row>
    <row r="94" spans="1:20">
      <c r="A94" s="274"/>
      <c r="B94" s="372"/>
      <c r="C94" s="372"/>
      <c r="D94" s="508" t="s">
        <v>1559</v>
      </c>
      <c r="E94" s="508"/>
      <c r="F94" s="508"/>
      <c r="G94" s="374">
        <f>'Risk Calc'!T41</f>
        <v>0</v>
      </c>
      <c r="H94" s="374">
        <f>'Risk Calc'!U41</f>
        <v>0</v>
      </c>
      <c r="I94" s="374">
        <f>'Risk Calc'!V41</f>
        <v>0</v>
      </c>
      <c r="J94" s="381" t="e">
        <f>'Risk Calc'!W41</f>
        <v>#DIV/0!</v>
      </c>
      <c r="K94" s="510" t="e">
        <f>'Risk Calc'!X41</f>
        <v>#DIV/0!</v>
      </c>
      <c r="L94" s="510"/>
      <c r="M94" s="513">
        <f>COUNTIFS('VENDOR QUESTIONNAIRE'!$V$59:$V$182,$D94,'VENDOR QUESTIONNAIRE'!$T$59:$T$182,"Recommend",'VENDOR QUESTIONNAIRE'!$L$59:$L$182,"Yes")</f>
        <v>0</v>
      </c>
      <c r="N94" s="514"/>
      <c r="O94" s="382">
        <f t="shared" si="1"/>
        <v>0</v>
      </c>
      <c r="P94" s="501">
        <f t="shared" si="1"/>
        <v>0</v>
      </c>
      <c r="Q94" s="501"/>
      <c r="R94" s="343"/>
      <c r="S94" s="343"/>
      <c r="T94" s="275"/>
    </row>
    <row r="95" spans="1:20">
      <c r="A95" s="274"/>
      <c r="B95" s="372"/>
      <c r="C95" s="372"/>
      <c r="D95" s="508" t="s">
        <v>1961</v>
      </c>
      <c r="E95" s="508"/>
      <c r="F95" s="508"/>
      <c r="G95" s="374">
        <f>'Risk Calc'!T42</f>
        <v>0</v>
      </c>
      <c r="H95" s="374">
        <f>'Risk Calc'!U42</f>
        <v>0</v>
      </c>
      <c r="I95" s="374">
        <f>'Risk Calc'!V42</f>
        <v>0</v>
      </c>
      <c r="J95" s="381" t="e">
        <f>'Risk Calc'!W42</f>
        <v>#DIV/0!</v>
      </c>
      <c r="K95" s="510" t="e">
        <f>'Risk Calc'!X42</f>
        <v>#DIV/0!</v>
      </c>
      <c r="L95" s="510"/>
      <c r="M95" s="513">
        <f>COUNTIFS('VENDOR QUESTIONNAIRE'!$V$59:$V$182,$D95,'VENDOR QUESTIONNAIRE'!$T$59:$T$182,"Recommend",'VENDOR QUESTIONNAIRE'!$L$59:$L$182,"Yes")</f>
        <v>0</v>
      </c>
      <c r="N95" s="514"/>
      <c r="O95" s="382">
        <f t="shared" si="1"/>
        <v>0</v>
      </c>
      <c r="P95" s="501">
        <f t="shared" si="1"/>
        <v>0</v>
      </c>
      <c r="Q95" s="501"/>
      <c r="R95" s="343"/>
      <c r="S95" s="343"/>
      <c r="T95" s="275"/>
    </row>
    <row r="96" spans="1:20">
      <c r="A96" s="274"/>
      <c r="B96" s="372"/>
      <c r="C96" s="372"/>
      <c r="D96" s="508" t="s">
        <v>1960</v>
      </c>
      <c r="E96" s="508"/>
      <c r="F96" s="508"/>
      <c r="G96" s="374">
        <f>'Risk Calc'!T43</f>
        <v>0</v>
      </c>
      <c r="H96" s="374">
        <f>'Risk Calc'!U43</f>
        <v>0</v>
      </c>
      <c r="I96" s="374">
        <f>'Risk Calc'!V43</f>
        <v>0</v>
      </c>
      <c r="J96" s="381" t="e">
        <f>'Risk Calc'!W43</f>
        <v>#DIV/0!</v>
      </c>
      <c r="K96" s="510" t="e">
        <f>'Risk Calc'!X43</f>
        <v>#DIV/0!</v>
      </c>
      <c r="L96" s="510"/>
      <c r="M96" s="513">
        <f>COUNTIFS('VENDOR QUESTIONNAIRE'!$V$59:$V$182,$D96,'VENDOR QUESTIONNAIRE'!$T$59:$T$182,"Recommend",'VENDOR QUESTIONNAIRE'!$L$59:$L$182,"Yes")</f>
        <v>0</v>
      </c>
      <c r="N96" s="514"/>
      <c r="O96" s="382">
        <f t="shared" si="1"/>
        <v>0</v>
      </c>
      <c r="P96" s="501">
        <f t="shared" si="1"/>
        <v>0</v>
      </c>
      <c r="Q96" s="501"/>
      <c r="R96" s="343"/>
      <c r="S96" s="343"/>
      <c r="T96" s="275"/>
    </row>
    <row r="97" spans="1:20">
      <c r="A97" s="274"/>
      <c r="B97" s="372"/>
      <c r="C97" s="372"/>
      <c r="D97" s="508" t="s">
        <v>1962</v>
      </c>
      <c r="E97" s="508"/>
      <c r="F97" s="508"/>
      <c r="G97" s="374">
        <f>'Risk Calc'!T44</f>
        <v>0</v>
      </c>
      <c r="H97" s="374">
        <f>'Risk Calc'!U44</f>
        <v>0</v>
      </c>
      <c r="I97" s="374">
        <f>'Risk Calc'!V44</f>
        <v>0</v>
      </c>
      <c r="J97" s="381" t="e">
        <f>'Risk Calc'!W44</f>
        <v>#DIV/0!</v>
      </c>
      <c r="K97" s="510" t="e">
        <f>'Risk Calc'!X44</f>
        <v>#DIV/0!</v>
      </c>
      <c r="L97" s="510"/>
      <c r="M97" s="513">
        <f>COUNTIFS('VENDOR QUESTIONNAIRE'!$V$59:$V$182,$D97,'VENDOR QUESTIONNAIRE'!$T$59:$T$182,"Recommend",'VENDOR QUESTIONNAIRE'!$L$59:$L$182,"Yes")</f>
        <v>0</v>
      </c>
      <c r="N97" s="514"/>
      <c r="O97" s="382">
        <f t="shared" si="1"/>
        <v>0</v>
      </c>
      <c r="P97" s="501">
        <f t="shared" si="1"/>
        <v>0</v>
      </c>
      <c r="Q97" s="501"/>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c r="A99" s="274"/>
      <c r="B99" s="372"/>
      <c r="C99" s="372"/>
      <c r="D99" s="372"/>
      <c r="E99" s="372"/>
      <c r="F99" s="372"/>
      <c r="G99" s="372"/>
      <c r="H99" s="372"/>
      <c r="I99" s="372"/>
      <c r="J99" s="372"/>
      <c r="K99" s="372"/>
      <c r="L99" s="372"/>
      <c r="M99" s="372"/>
      <c r="N99" s="372"/>
      <c r="O99" s="372"/>
      <c r="P99" s="372"/>
      <c r="Q99" s="343"/>
      <c r="R99" s="343"/>
      <c r="S99" s="343"/>
      <c r="T99" s="275"/>
    </row>
    <row r="100" spans="1:20">
      <c r="A100" s="274"/>
      <c r="B100" s="372"/>
      <c r="C100" s="372"/>
      <c r="D100" s="372"/>
      <c r="E100" s="372"/>
      <c r="F100" s="372"/>
      <c r="G100" s="372"/>
      <c r="H100" s="372"/>
      <c r="I100" s="372"/>
      <c r="J100" s="372"/>
      <c r="K100" s="372"/>
      <c r="L100" s="372"/>
      <c r="M100" s="372"/>
      <c r="N100" s="372"/>
      <c r="O100" s="372"/>
      <c r="P100" s="372"/>
      <c r="Q100" s="343"/>
      <c r="R100" s="343"/>
      <c r="S100" s="343"/>
      <c r="T100" s="275"/>
    </row>
    <row r="101" spans="1:20" ht="17" thickBot="1">
      <c r="A101" s="292"/>
      <c r="B101" s="345"/>
      <c r="C101" s="345"/>
      <c r="D101" s="345"/>
      <c r="E101" s="345"/>
      <c r="F101" s="345"/>
      <c r="G101" s="345"/>
      <c r="H101" s="345"/>
      <c r="I101" s="345"/>
      <c r="J101" s="345"/>
      <c r="K101" s="345"/>
      <c r="L101" s="345"/>
      <c r="M101" s="345"/>
      <c r="N101" s="345"/>
      <c r="O101" s="345"/>
      <c r="P101" s="345"/>
      <c r="Q101" s="345"/>
      <c r="R101" s="345"/>
      <c r="S101" s="345"/>
      <c r="T101" s="287"/>
    </row>
    <row r="102" spans="1:20" ht="17" thickTop="1"/>
  </sheetData>
  <mergeCells count="294">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O16:O17"/>
    <mergeCell ref="N16:N17"/>
    <mergeCell ref="M16:M17"/>
    <mergeCell ref="G4:H5"/>
    <mergeCell ref="G6:H10"/>
    <mergeCell ref="Q4:R5"/>
    <mergeCell ref="Q6:R10"/>
    <mergeCell ref="B14:I15"/>
    <mergeCell ref="C6:D10"/>
    <mergeCell ref="E6:F10"/>
    <mergeCell ref="I11:N11"/>
    <mergeCell ref="K6:L10"/>
    <mergeCell ref="O6:P10"/>
    <mergeCell ref="M6:N10"/>
    <mergeCell ref="B12:S13"/>
    <mergeCell ref="L16:L17"/>
    <mergeCell ref="K16:K17"/>
    <mergeCell ref="J16:J17"/>
    <mergeCell ref="J14:N14"/>
    <mergeCell ref="N42:O42"/>
    <mergeCell ref="P42:S42"/>
    <mergeCell ref="C43:D43"/>
    <mergeCell ref="E43:J43"/>
    <mergeCell ref="K43:M43"/>
    <mergeCell ref="N43:O43"/>
    <mergeCell ref="P43:S43"/>
    <mergeCell ref="C44:D44"/>
    <mergeCell ref="E44:J44"/>
    <mergeCell ref="K44:M44"/>
    <mergeCell ref="N44:O44"/>
    <mergeCell ref="P44:S44"/>
    <mergeCell ref="C66:D66"/>
    <mergeCell ref="C67:D67"/>
    <mergeCell ref="C68:D68"/>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K86:M86"/>
    <mergeCell ref="N86:O86"/>
    <mergeCell ref="P86:S86"/>
    <mergeCell ref="E81:J81"/>
    <mergeCell ref="K81:M81"/>
    <mergeCell ref="N81:O81"/>
    <mergeCell ref="P81:S81"/>
    <mergeCell ref="E82:J82"/>
    <mergeCell ref="K82:M82"/>
    <mergeCell ref="N82:O82"/>
    <mergeCell ref="P82:S82"/>
    <mergeCell ref="E83:J83"/>
    <mergeCell ref="K83:M83"/>
    <mergeCell ref="N83:O83"/>
    <mergeCell ref="P83:S83"/>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M94:N94"/>
    <mergeCell ref="M93:N93"/>
    <mergeCell ref="P92:Q92"/>
    <mergeCell ref="P97:Q97"/>
    <mergeCell ref="P96:Q96"/>
    <mergeCell ref="C61:D61"/>
    <mergeCell ref="E61:J61"/>
    <mergeCell ref="K61:M61"/>
    <mergeCell ref="N61:O61"/>
    <mergeCell ref="P61:S61"/>
    <mergeCell ref="C62:D62"/>
    <mergeCell ref="E62:J62"/>
    <mergeCell ref="K62:M62"/>
    <mergeCell ref="N62:O62"/>
    <mergeCell ref="P62:S62"/>
    <mergeCell ref="E84:J84"/>
    <mergeCell ref="K84:M84"/>
    <mergeCell ref="N84:O84"/>
    <mergeCell ref="P84:S84"/>
    <mergeCell ref="E85:J85"/>
    <mergeCell ref="K85:M85"/>
    <mergeCell ref="N85:O85"/>
    <mergeCell ref="P85:S85"/>
    <mergeCell ref="E86:J86"/>
    <mergeCell ref="P95:Q95"/>
    <mergeCell ref="P94:Q94"/>
    <mergeCell ref="P93:Q93"/>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s>
  <conditionalFormatting sqref="B43:S62">
    <cfRule type="containsErrors" dxfId="1165" priority="13">
      <formula>ISERROR(B43)</formula>
    </cfRule>
  </conditionalFormatting>
  <conditionalFormatting sqref="B67:S86">
    <cfRule type="containsErrors" dxfId="1164" priority="14">
      <formula>ISERROR(B67)</formula>
    </cfRule>
  </conditionalFormatting>
  <conditionalFormatting sqref="O18:S37">
    <cfRule type="cellIs" dxfId="1163" priority="11" operator="equal">
      <formula>0</formula>
    </cfRule>
  </conditionalFormatting>
  <conditionalFormatting sqref="N18:N38">
    <cfRule type="containsErrors" dxfId="1162" priority="5">
      <formula>ISERROR(N18)</formula>
    </cfRule>
  </conditionalFormatting>
  <conditionalFormatting sqref="C2:E2 Q2:T2">
    <cfRule type="containsErrors" dxfId="1161" priority="4">
      <formula>ISERROR(C2)</formula>
    </cfRule>
  </conditionalFormatting>
  <conditionalFormatting sqref="E2:P2">
    <cfRule type="cellIs" dxfId="1160" priority="3" operator="equal">
      <formula>0</formula>
    </cfRule>
  </conditionalFormatting>
  <conditionalFormatting sqref="J93:L97 P93:Q97">
    <cfRule type="containsErrors" dxfId="1159" priority="2">
      <formula>ISERROR(J93)</formula>
    </cfRule>
  </conditionalFormatting>
  <conditionalFormatting sqref="P93:Q97">
    <cfRule type="cellIs" dxfId="1158" priority="1" operator="equal">
      <formula>0</formula>
    </cfRule>
  </conditionalFormatting>
  <pageMargins left="0.25" right="0.25" top="0.75" bottom="0.75" header="0.3" footer="0.3"/>
  <pageSetup scale="54" fitToHeight="0" orientation="landscape" verticalDpi="0" r:id="rId1"/>
  <drawing r:id="rId2"/>
  <extLst>
    <ext xmlns:x14="http://schemas.microsoft.com/office/spreadsheetml/2009/9/main" uri="{78C0D931-6437-407d-A8EE-F0AAD7539E65}">
      <x14:conditionalFormattings>
        <x14:conditionalFormatting xmlns:xm="http://schemas.microsoft.com/office/excel/2006/main">
          <x14:cfRule type="cellIs" priority="6" operator="greaterThan" id="{F19BF33A-5672-48B1-BD2F-39F23027A0D6}">
            <xm:f>'Risk Calc'!$U$50</xm:f>
            <x14:dxf>
              <fill>
                <patternFill>
                  <bgColor theme="9" tint="0.59996337778862885"/>
                </patternFill>
              </fill>
            </x14:dxf>
          </x14:cfRule>
          <x14:cfRule type="cellIs" priority="7" operator="between" id="{89D0EFBC-D65F-42EC-97AC-E13F74C090FD}">
            <xm:f>'Risk Calc'!$U$48</xm:f>
            <xm:f>'Risk Calc'!$U$49</xm:f>
            <x14:dxf>
              <fill>
                <patternFill>
                  <bgColor theme="7" tint="0.79998168889431442"/>
                </patternFill>
              </fill>
            </x14:dxf>
          </x14:cfRule>
          <x14:cfRule type="cellIs" priority="8"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heetViews>
  <sheetFormatPr baseColWidth="10" defaultColWidth="8.83203125" defaultRowHeight="16"/>
  <cols>
    <col min="1" max="1" width="2.83203125" customWidth="1"/>
    <col min="2" max="2" width="95.83203125" customWidth="1"/>
  </cols>
  <sheetData>
    <row r="2" spans="2:2" ht="208.5" customHeight="1">
      <c r="B2" s="618" t="s">
        <v>2150</v>
      </c>
    </row>
    <row r="3" spans="2:2" ht="208.5" customHeight="1">
      <c r="B3" s="618"/>
    </row>
    <row r="4" spans="2:2" ht="208.5" customHeight="1">
      <c r="B4" s="618"/>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heetViews>
  <sheetFormatPr baseColWidth="10" defaultColWidth="11" defaultRowHeight="16"/>
  <cols>
    <col min="2" max="2" width="131.6640625" customWidth="1"/>
  </cols>
  <sheetData>
    <row r="1" spans="1:2">
      <c r="A1" s="248"/>
      <c r="B1" s="619" t="s">
        <v>2008</v>
      </c>
    </row>
    <row r="2" spans="1:2">
      <c r="A2" s="249"/>
      <c r="B2" s="620"/>
    </row>
    <row r="3" spans="1:2" ht="17">
      <c r="A3" s="249"/>
      <c r="B3" s="250"/>
    </row>
    <row r="4" spans="1:2">
      <c r="A4" s="251" t="s">
        <v>2009</v>
      </c>
      <c r="B4" s="252"/>
    </row>
    <row r="5" spans="1:2">
      <c r="A5" s="253">
        <v>1</v>
      </c>
      <c r="B5" s="252" t="s">
        <v>2090</v>
      </c>
    </row>
    <row r="6" spans="1:2">
      <c r="A6" s="253"/>
      <c r="B6" s="252"/>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21" t="s">
        <v>1919</v>
      </c>
      <c r="H1" s="621"/>
      <c r="I1" s="621"/>
    </row>
    <row r="2" spans="1:21" ht="20">
      <c r="A2" s="11" t="s">
        <v>1419</v>
      </c>
      <c r="B2" s="11" t="s">
        <v>5</v>
      </c>
      <c r="C2" s="73" t="s">
        <v>1425</v>
      </c>
      <c r="D2" s="12" t="s">
        <v>1420</v>
      </c>
      <c r="E2" s="73" t="s">
        <v>1432</v>
      </c>
      <c r="F2" s="12" t="s">
        <v>211</v>
      </c>
      <c r="G2" s="11" t="s">
        <v>1917</v>
      </c>
      <c r="H2" s="11" t="s">
        <v>2064</v>
      </c>
      <c r="I2" s="11" t="s">
        <v>1918</v>
      </c>
      <c r="J2" s="11" t="s">
        <v>209</v>
      </c>
      <c r="K2" s="11" t="s">
        <v>2144</v>
      </c>
      <c r="L2" s="11" t="s">
        <v>4</v>
      </c>
      <c r="M2" s="11" t="s">
        <v>1238</v>
      </c>
      <c r="N2" s="69" t="s">
        <v>216</v>
      </c>
      <c r="O2" s="33" t="s">
        <v>2010</v>
      </c>
      <c r="P2" s="17" t="s">
        <v>1307</v>
      </c>
      <c r="Q2" s="174" t="s">
        <v>1959</v>
      </c>
      <c r="S2" s="622" t="s">
        <v>2065</v>
      </c>
      <c r="T2" s="622"/>
      <c r="U2" s="622"/>
    </row>
    <row r="3" spans="1:21" ht="85">
      <c r="A3" s="5" t="s">
        <v>100</v>
      </c>
      <c r="B3" s="56">
        <v>1.1000000000000001</v>
      </c>
      <c r="C3" s="74">
        <v>1.4</v>
      </c>
      <c r="D3" s="6" t="s">
        <v>43</v>
      </c>
      <c r="E3" s="74" t="s">
        <v>1429</v>
      </c>
      <c r="F3" s="7" t="s">
        <v>2078</v>
      </c>
      <c r="G3" s="358" t="s">
        <v>9</v>
      </c>
      <c r="H3" s="358" t="s">
        <v>9</v>
      </c>
      <c r="I3" s="358" t="s">
        <v>9</v>
      </c>
      <c r="J3" s="6" t="s">
        <v>2077</v>
      </c>
      <c r="K3" s="6" t="s">
        <v>2093</v>
      </c>
      <c r="L3" s="59" t="s">
        <v>1211</v>
      </c>
      <c r="M3" s="6"/>
      <c r="N3" s="356" t="s">
        <v>1287</v>
      </c>
      <c r="O3" s="34" t="s">
        <v>1422</v>
      </c>
      <c r="P3" s="70" t="s">
        <v>1254</v>
      </c>
      <c r="Q3" s="357" t="s">
        <v>1559</v>
      </c>
      <c r="S3" s="622"/>
      <c r="T3" s="622"/>
      <c r="U3" s="622"/>
    </row>
    <row r="4" spans="1:21" ht="51">
      <c r="A4" s="5" t="s">
        <v>100</v>
      </c>
      <c r="B4" s="56">
        <v>1.2</v>
      </c>
      <c r="C4" s="74">
        <v>1.5</v>
      </c>
      <c r="D4" s="6" t="s">
        <v>43</v>
      </c>
      <c r="E4" s="74" t="s">
        <v>1429</v>
      </c>
      <c r="F4" s="7" t="s">
        <v>1261</v>
      </c>
      <c r="G4" s="358" t="s">
        <v>9</v>
      </c>
      <c r="H4" s="358" t="s">
        <v>9</v>
      </c>
      <c r="I4" s="358" t="s">
        <v>12</v>
      </c>
      <c r="J4" s="6" t="s">
        <v>2077</v>
      </c>
      <c r="K4" s="6" t="s">
        <v>2093</v>
      </c>
      <c r="L4" s="59" t="s">
        <v>1211</v>
      </c>
      <c r="M4" s="6"/>
      <c r="N4" s="356" t="s">
        <v>1287</v>
      </c>
      <c r="O4" s="34"/>
      <c r="P4" s="70" t="s">
        <v>214</v>
      </c>
      <c r="Q4" s="357" t="s">
        <v>1559</v>
      </c>
      <c r="S4" s="622"/>
      <c r="T4" s="622"/>
      <c r="U4" s="622"/>
    </row>
    <row r="5" spans="1:21" ht="68">
      <c r="A5" s="5" t="s">
        <v>100</v>
      </c>
      <c r="B5" s="56">
        <v>1.3</v>
      </c>
      <c r="C5" s="74">
        <v>1.1000000000000001</v>
      </c>
      <c r="D5" s="6" t="s">
        <v>43</v>
      </c>
      <c r="E5" s="74" t="s">
        <v>1429</v>
      </c>
      <c r="F5" s="7" t="s">
        <v>1423</v>
      </c>
      <c r="G5" s="358" t="s">
        <v>9</v>
      </c>
      <c r="H5" s="358" t="s">
        <v>12</v>
      </c>
      <c r="I5" s="358" t="s">
        <v>12</v>
      </c>
      <c r="J5" s="6" t="s">
        <v>2077</v>
      </c>
      <c r="K5" s="6" t="s">
        <v>2092</v>
      </c>
      <c r="L5" s="59" t="s">
        <v>1211</v>
      </c>
      <c r="M5" s="6"/>
      <c r="N5" s="356" t="s">
        <v>1334</v>
      </c>
      <c r="O5" s="34"/>
      <c r="P5" s="70" t="s">
        <v>1259</v>
      </c>
      <c r="Q5" s="357" t="s">
        <v>1559</v>
      </c>
      <c r="S5" s="622"/>
      <c r="T5" s="622"/>
      <c r="U5" s="622"/>
    </row>
    <row r="6" spans="1:21" ht="68">
      <c r="A6" s="5" t="s">
        <v>100</v>
      </c>
      <c r="B6" s="56">
        <v>1.4</v>
      </c>
      <c r="C6" s="74">
        <v>1.7</v>
      </c>
      <c r="D6" s="6" t="s">
        <v>43</v>
      </c>
      <c r="E6" s="74" t="s">
        <v>1431</v>
      </c>
      <c r="F6" s="7" t="s">
        <v>1265</v>
      </c>
      <c r="G6" s="358" t="s">
        <v>9</v>
      </c>
      <c r="H6" s="358" t="s">
        <v>9</v>
      </c>
      <c r="I6" s="358" t="s">
        <v>12</v>
      </c>
      <c r="J6" s="6" t="s">
        <v>2077</v>
      </c>
      <c r="K6" s="6"/>
      <c r="L6" s="59" t="s">
        <v>1211</v>
      </c>
      <c r="M6" s="6" t="s">
        <v>2119</v>
      </c>
      <c r="N6" s="356" t="s">
        <v>1385</v>
      </c>
      <c r="O6" s="34"/>
      <c r="P6" s="70"/>
      <c r="Q6" s="357" t="s">
        <v>1559</v>
      </c>
      <c r="S6" s="622"/>
      <c r="T6" s="622"/>
      <c r="U6" s="622"/>
    </row>
    <row r="7" spans="1:21" ht="68">
      <c r="A7" s="5" t="s">
        <v>100</v>
      </c>
      <c r="B7" s="56">
        <v>1.5</v>
      </c>
      <c r="C7" s="74">
        <v>1.6</v>
      </c>
      <c r="D7" s="6" t="s">
        <v>43</v>
      </c>
      <c r="E7" s="74" t="s">
        <v>1473</v>
      </c>
      <c r="F7" s="7" t="s">
        <v>1263</v>
      </c>
      <c r="G7" s="358" t="s">
        <v>9</v>
      </c>
      <c r="H7" s="358" t="s">
        <v>9</v>
      </c>
      <c r="I7" s="358" t="s">
        <v>9</v>
      </c>
      <c r="J7" s="6" t="s">
        <v>2077</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2077</v>
      </c>
      <c r="K8" s="6" t="s">
        <v>2093</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2077</v>
      </c>
      <c r="K9" s="6" t="s">
        <v>2094</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2077</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2077</v>
      </c>
      <c r="K11" s="6" t="s">
        <v>2095</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2077</v>
      </c>
      <c r="K12" s="6" t="s">
        <v>2096</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2077</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2077</v>
      </c>
      <c r="K14" s="6" t="s">
        <v>2096</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2077</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2077</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2077</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2079</v>
      </c>
      <c r="K18" s="6" t="s">
        <v>2097</v>
      </c>
      <c r="L18" s="59" t="s">
        <v>1211</v>
      </c>
      <c r="M18" s="6" t="s">
        <v>2120</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2077</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2077</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2077</v>
      </c>
      <c r="K21" s="6" t="s">
        <v>2099</v>
      </c>
      <c r="L21" s="59" t="s">
        <v>1211</v>
      </c>
      <c r="M21" s="6" t="s">
        <v>2122</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2077</v>
      </c>
      <c r="K22" s="6" t="s">
        <v>2099</v>
      </c>
      <c r="L22" s="59" t="s">
        <v>1211</v>
      </c>
      <c r="M22" s="6" t="s">
        <v>2123</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2077</v>
      </c>
      <c r="K23" s="6" t="s">
        <v>2098</v>
      </c>
      <c r="L23" s="59" t="s">
        <v>1211</v>
      </c>
      <c r="M23" s="6" t="s">
        <v>2121</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2080</v>
      </c>
      <c r="K24" s="6" t="s">
        <v>2097</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2077</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2077</v>
      </c>
      <c r="K26" s="6" t="s">
        <v>2100</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2077</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2077</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2077</v>
      </c>
      <c r="K29" s="6" t="s">
        <v>2101</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2077</v>
      </c>
      <c r="K30" s="6" t="s">
        <v>2102</v>
      </c>
      <c r="L30" s="59" t="s">
        <v>1212</v>
      </c>
      <c r="M30" s="6" t="s">
        <v>2124</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2077</v>
      </c>
      <c r="K31" s="6" t="s">
        <v>2102</v>
      </c>
      <c r="L31" s="59" t="s">
        <v>1212</v>
      </c>
      <c r="M31" s="6" t="s">
        <v>2125</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2077</v>
      </c>
      <c r="K32" s="6" t="s">
        <v>2103</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2077</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2077</v>
      </c>
      <c r="K34" s="6" t="s">
        <v>2104</v>
      </c>
      <c r="L34" s="59" t="s">
        <v>1212</v>
      </c>
      <c r="M34" s="6" t="s">
        <v>2126</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2077</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2077</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2077</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2077</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2077</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2077</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2077</v>
      </c>
      <c r="K41" s="6" t="s">
        <v>2105</v>
      </c>
      <c r="L41" s="59" t="s">
        <v>1388</v>
      </c>
      <c r="M41" s="6" t="s">
        <v>2127</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2077</v>
      </c>
      <c r="K42" s="6" t="s">
        <v>2105</v>
      </c>
      <c r="L42" s="59" t="s">
        <v>1388</v>
      </c>
      <c r="M42" s="6" t="s">
        <v>2128</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2077</v>
      </c>
      <c r="K43" s="6" t="s">
        <v>2105</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2077</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2077</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2077</v>
      </c>
      <c r="K46" s="6" t="s">
        <v>2106</v>
      </c>
      <c r="L46" s="59" t="s">
        <v>1211</v>
      </c>
      <c r="M46" s="6" t="s">
        <v>2129</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2077</v>
      </c>
      <c r="K47" s="6" t="s">
        <v>2106</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2077</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2077</v>
      </c>
      <c r="K49" s="6" t="s">
        <v>2107</v>
      </c>
      <c r="L49" s="59" t="s">
        <v>1213</v>
      </c>
      <c r="M49" s="6" t="s">
        <v>2130</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2077</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2077</v>
      </c>
      <c r="K51" s="6" t="s">
        <v>2107</v>
      </c>
      <c r="L51" s="59" t="s">
        <v>1213</v>
      </c>
      <c r="M51" s="6" t="s">
        <v>2131</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2077</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2077</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2077</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2077</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2077</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2077</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2077</v>
      </c>
      <c r="K58" s="6" t="s">
        <v>2108</v>
      </c>
      <c r="L58" s="60"/>
      <c r="M58" s="57" t="s">
        <v>2132</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2077</v>
      </c>
      <c r="K59" s="6" t="s">
        <v>2108</v>
      </c>
      <c r="L59" s="60"/>
      <c r="M59" s="57" t="s">
        <v>2132</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2077</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2077</v>
      </c>
      <c r="K61" s="6" t="s">
        <v>2106</v>
      </c>
      <c r="L61" s="60"/>
      <c r="M61" s="57" t="s">
        <v>2134</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2077</v>
      </c>
      <c r="K62" s="6" t="s">
        <v>2106</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2077</v>
      </c>
      <c r="K63" s="6" t="s">
        <v>2109</v>
      </c>
      <c r="L63" s="60"/>
      <c r="M63" s="57" t="s">
        <v>2133</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2077</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2077</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2077</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2077</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2077</v>
      </c>
      <c r="K68" s="6" t="s">
        <v>2111</v>
      </c>
      <c r="L68" s="59" t="s">
        <v>1210</v>
      </c>
      <c r="M68" s="57" t="s">
        <v>2132</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2077</v>
      </c>
      <c r="K69" s="6" t="s">
        <v>2110</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2077</v>
      </c>
      <c r="K70" s="6" t="s">
        <v>2112</v>
      </c>
      <c r="L70" s="67" t="s">
        <v>1215</v>
      </c>
      <c r="M70" s="57" t="s">
        <v>2135</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2077</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2077</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2077</v>
      </c>
      <c r="K73" s="6" t="s">
        <v>2099</v>
      </c>
      <c r="L73" s="67" t="s">
        <v>1215</v>
      </c>
      <c r="M73" s="57" t="s">
        <v>2136</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2077</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2077</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2077</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2077</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2077</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2077</v>
      </c>
      <c r="K79" s="6" t="s">
        <v>2094</v>
      </c>
      <c r="L79" s="67" t="s">
        <v>1216</v>
      </c>
      <c r="M79" s="57" t="s">
        <v>2139</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2077</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2077</v>
      </c>
      <c r="K81" s="6" t="s">
        <v>2097</v>
      </c>
      <c r="L81" s="67" t="s">
        <v>1216</v>
      </c>
      <c r="M81" s="57" t="s">
        <v>2137</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2077</v>
      </c>
      <c r="K82" s="6" t="s">
        <v>2097</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2077</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2077</v>
      </c>
      <c r="K84" s="6" t="s">
        <v>2113</v>
      </c>
      <c r="L84" s="67" t="s">
        <v>1216</v>
      </c>
      <c r="M84" s="57" t="s">
        <v>2140</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2077</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2077</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2077</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2077</v>
      </c>
      <c r="K88" s="6"/>
      <c r="L88" s="67" t="s">
        <v>1216</v>
      </c>
      <c r="M88" s="57" t="s">
        <v>2138</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2077</v>
      </c>
      <c r="K89" s="6" t="s">
        <v>2115</v>
      </c>
      <c r="L89" s="67" t="s">
        <v>1217</v>
      </c>
      <c r="M89" s="57" t="s">
        <v>2141</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2077</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2077</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2077</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2077</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2077</v>
      </c>
      <c r="K94" s="6" t="s">
        <v>2114</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2077</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2077</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2077</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2077</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2077</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2077</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2077</v>
      </c>
      <c r="K101" s="6" t="s">
        <v>2116</v>
      </c>
      <c r="L101" s="5" t="s">
        <v>1218</v>
      </c>
      <c r="M101" s="373" t="s">
        <v>2143</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2077</v>
      </c>
      <c r="K102" s="6" t="s">
        <v>2116</v>
      </c>
      <c r="L102" s="5" t="s">
        <v>1218</v>
      </c>
      <c r="M102" s="373" t="s">
        <v>2142</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2077</v>
      </c>
      <c r="K103" s="6" t="s">
        <v>2117</v>
      </c>
      <c r="L103" s="5" t="s">
        <v>1218</v>
      </c>
      <c r="M103" s="58" t="s">
        <v>2130</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2077</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2077</v>
      </c>
      <c r="K105" s="6" t="s">
        <v>2118</v>
      </c>
      <c r="L105" s="5" t="s">
        <v>1218</v>
      </c>
      <c r="M105" s="58" t="s">
        <v>2130</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2077</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2077</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1154" priority="1003" operator="containsText" text="Optional">
      <formula>NOT(ISERROR(SEARCH("Optional",G1)))</formula>
    </cfRule>
    <cfRule type="containsText" dxfId="1153" priority="1004" operator="containsText" text="Recommend">
      <formula>NOT(ISERROR(SEARCH("Recommend",G1)))</formula>
    </cfRule>
    <cfRule type="containsText" dxfId="1152" priority="1005" operator="containsText" text="Required">
      <formula>NOT(ISERROR(SEARCH("Required",G1)))</formula>
    </cfRule>
  </conditionalFormatting>
  <conditionalFormatting sqref="H2:J2 J1">
    <cfRule type="containsText" dxfId="1151" priority="997" operator="containsText" text="Optional">
      <formula>NOT(ISERROR(SEARCH("Optional",H1)))</formula>
    </cfRule>
    <cfRule type="containsText" dxfId="1150" priority="998" operator="containsText" text="Recommend">
      <formula>NOT(ISERROR(SEARCH("Recommend",H1)))</formula>
    </cfRule>
    <cfRule type="containsText" dxfId="1149" priority="999" operator="containsText" text="Required">
      <formula>NOT(ISERROR(SEARCH("Required",H1)))</formula>
    </cfRule>
  </conditionalFormatting>
  <conditionalFormatting sqref="J3">
    <cfRule type="containsText" dxfId="1148" priority="406" operator="containsText" text="Optional">
      <formula>NOT(ISERROR(SEARCH("Optional",J3)))</formula>
    </cfRule>
    <cfRule type="containsText" dxfId="1147" priority="407" operator="containsText" text="Recommend">
      <formula>NOT(ISERROR(SEARCH("Recommend",J3)))</formula>
    </cfRule>
    <cfRule type="containsText" dxfId="1146" priority="408" operator="containsText" text="Required">
      <formula>NOT(ISERROR(SEARCH("Required",J3)))</formula>
    </cfRule>
  </conditionalFormatting>
  <conditionalFormatting sqref="G81:G107">
    <cfRule type="containsText" dxfId="1145" priority="397" operator="containsText" text="Optional">
      <formula>NOT(ISERROR(SEARCH("Optional",G81)))</formula>
    </cfRule>
    <cfRule type="containsText" dxfId="1144" priority="398" operator="containsText" text="Recommend">
      <formula>NOT(ISERROR(SEARCH("Recommend",G81)))</formula>
    </cfRule>
    <cfRule type="containsText" dxfId="1143" priority="399" operator="containsText" text="Required">
      <formula>NOT(ISERROR(SEARCH("Required",G81)))</formula>
    </cfRule>
  </conditionalFormatting>
  <conditionalFormatting sqref="H74:H75">
    <cfRule type="containsText" dxfId="1142" priority="367" operator="containsText" text="Optional">
      <formula>NOT(ISERROR(SEARCH("Optional",H74)))</formula>
    </cfRule>
    <cfRule type="containsText" dxfId="1141" priority="368" operator="containsText" text="Recommend">
      <formula>NOT(ISERROR(SEARCH("Recommend",H74)))</formula>
    </cfRule>
    <cfRule type="containsText" dxfId="1140" priority="369" operator="containsText" text="Required">
      <formula>NOT(ISERROR(SEARCH("Required",H74)))</formula>
    </cfRule>
  </conditionalFormatting>
  <conditionalFormatting sqref="H40:H46">
    <cfRule type="containsText" dxfId="1139" priority="385" operator="containsText" text="Optional">
      <formula>NOT(ISERROR(SEARCH("Optional",H40)))</formula>
    </cfRule>
    <cfRule type="containsText" dxfId="1138" priority="386" operator="containsText" text="Recommend">
      <formula>NOT(ISERROR(SEARCH("Recommend",H40)))</formula>
    </cfRule>
    <cfRule type="containsText" dxfId="1137" priority="387" operator="containsText" text="Required">
      <formula>NOT(ISERROR(SEARCH("Required",H40)))</formula>
    </cfRule>
  </conditionalFormatting>
  <conditionalFormatting sqref="H81:H86">
    <cfRule type="containsText" dxfId="1136" priority="361" operator="containsText" text="Optional">
      <formula>NOT(ISERROR(SEARCH("Optional",H81)))</formula>
    </cfRule>
    <cfRule type="containsText" dxfId="1135" priority="362" operator="containsText" text="Recommend">
      <formula>NOT(ISERROR(SEARCH("Recommend",H81)))</formula>
    </cfRule>
    <cfRule type="containsText" dxfId="1134" priority="363" operator="containsText" text="Required">
      <formula>NOT(ISERROR(SEARCH("Required",H81)))</formula>
    </cfRule>
  </conditionalFormatting>
  <conditionalFormatting sqref="H58:H60">
    <cfRule type="containsText" dxfId="1133" priority="379" operator="containsText" text="Optional">
      <formula>NOT(ISERROR(SEARCH("Optional",H58)))</formula>
    </cfRule>
    <cfRule type="containsText" dxfId="1132" priority="380" operator="containsText" text="Recommend">
      <formula>NOT(ISERROR(SEARCH("Recommend",H58)))</formula>
    </cfRule>
    <cfRule type="containsText" dxfId="1131" priority="381" operator="containsText" text="Required">
      <formula>NOT(ISERROR(SEARCH("Required",H58)))</formula>
    </cfRule>
  </conditionalFormatting>
  <conditionalFormatting sqref="H66:H68">
    <cfRule type="containsText" dxfId="1130" priority="373" operator="containsText" text="Optional">
      <formula>NOT(ISERROR(SEARCH("Optional",H66)))</formula>
    </cfRule>
    <cfRule type="containsText" dxfId="1129" priority="374" operator="containsText" text="Recommend">
      <formula>NOT(ISERROR(SEARCH("Recommend",H66)))</formula>
    </cfRule>
    <cfRule type="containsText" dxfId="1128" priority="375" operator="containsText" text="Required">
      <formula>NOT(ISERROR(SEARCH("Required",H66)))</formula>
    </cfRule>
  </conditionalFormatting>
  <conditionalFormatting sqref="H97:H98">
    <cfRule type="containsText" dxfId="1127" priority="355" operator="containsText" text="Optional">
      <formula>NOT(ISERROR(SEARCH("Optional",H97)))</formula>
    </cfRule>
    <cfRule type="containsText" dxfId="1126" priority="356" operator="containsText" text="Recommend">
      <formula>NOT(ISERROR(SEARCH("Recommend",H97)))</formula>
    </cfRule>
    <cfRule type="containsText" dxfId="1125" priority="357" operator="containsText" text="Required">
      <formula>NOT(ISERROR(SEARCH("Required",H97)))</formula>
    </cfRule>
  </conditionalFormatting>
  <conditionalFormatting sqref="H63:H64">
    <cfRule type="containsText" dxfId="1124" priority="376" operator="containsText" text="Optional">
      <formula>NOT(ISERROR(SEARCH("Optional",H63)))</formula>
    </cfRule>
    <cfRule type="containsText" dxfId="1123" priority="377" operator="containsText" text="Recommend">
      <formula>NOT(ISERROR(SEARCH("Recommend",H63)))</formula>
    </cfRule>
    <cfRule type="containsText" dxfId="1122" priority="378" operator="containsText" text="Required">
      <formula>NOT(ISERROR(SEARCH("Required",H63)))</formula>
    </cfRule>
  </conditionalFormatting>
  <conditionalFormatting sqref="I35">
    <cfRule type="containsText" dxfId="1121" priority="337" operator="containsText" text="Optional">
      <formula>NOT(ISERROR(SEARCH("Optional",I35)))</formula>
    </cfRule>
    <cfRule type="containsText" dxfId="1120" priority="338" operator="containsText" text="Recommend">
      <formula>NOT(ISERROR(SEARCH("Recommend",I35)))</formula>
    </cfRule>
    <cfRule type="containsText" dxfId="1119" priority="339" operator="containsText" text="Required">
      <formula>NOT(ISERROR(SEARCH("Required",I35)))</formula>
    </cfRule>
  </conditionalFormatting>
  <conditionalFormatting sqref="H77:H79">
    <cfRule type="containsText" dxfId="1118" priority="364" operator="containsText" text="Optional">
      <formula>NOT(ISERROR(SEARCH("Optional",H77)))</formula>
    </cfRule>
    <cfRule type="containsText" dxfId="1117" priority="365" operator="containsText" text="Recommend">
      <formula>NOT(ISERROR(SEARCH("Recommend",H77)))</formula>
    </cfRule>
    <cfRule type="containsText" dxfId="1116" priority="366" operator="containsText" text="Required">
      <formula>NOT(ISERROR(SEARCH("Required",H77)))</formula>
    </cfRule>
  </conditionalFormatting>
  <conditionalFormatting sqref="I50">
    <cfRule type="containsText" dxfId="1115" priority="319" operator="containsText" text="Optional">
      <formula>NOT(ISERROR(SEARCH("Optional",I50)))</formula>
    </cfRule>
    <cfRule type="containsText" dxfId="1114" priority="320" operator="containsText" text="Recommend">
      <formula>NOT(ISERROR(SEARCH("Recommend",I50)))</formula>
    </cfRule>
    <cfRule type="containsText" dxfId="1113" priority="321" operator="containsText" text="Required">
      <formula>NOT(ISERROR(SEARCH("Required",I50)))</formula>
    </cfRule>
  </conditionalFormatting>
  <conditionalFormatting sqref="I16:I19">
    <cfRule type="containsText" dxfId="1112" priority="346" operator="containsText" text="Optional">
      <formula>NOT(ISERROR(SEARCH("Optional",I16)))</formula>
    </cfRule>
    <cfRule type="containsText" dxfId="1111" priority="347" operator="containsText" text="Recommend">
      <formula>NOT(ISERROR(SEARCH("Recommend",I16)))</formula>
    </cfRule>
    <cfRule type="containsText" dxfId="1110" priority="348" operator="containsText" text="Required">
      <formula>NOT(ISERROR(SEARCH("Required",I16)))</formula>
    </cfRule>
  </conditionalFormatting>
  <conditionalFormatting sqref="I66">
    <cfRule type="containsText" dxfId="1109" priority="301" operator="containsText" text="Optional">
      <formula>NOT(ISERROR(SEARCH("Optional",I66)))</formula>
    </cfRule>
    <cfRule type="containsText" dxfId="1108" priority="302" operator="containsText" text="Recommend">
      <formula>NOT(ISERROR(SEARCH("Recommend",I66)))</formula>
    </cfRule>
    <cfRule type="containsText" dxfId="1107" priority="303" operator="containsText" text="Required">
      <formula>NOT(ISERROR(SEARCH("Required",I66)))</formula>
    </cfRule>
  </conditionalFormatting>
  <conditionalFormatting sqref="I53">
    <cfRule type="containsText" dxfId="1106" priority="313" operator="containsText" text="Optional">
      <formula>NOT(ISERROR(SEARCH("Optional",I53)))</formula>
    </cfRule>
    <cfRule type="containsText" dxfId="1105" priority="314" operator="containsText" text="Recommend">
      <formula>NOT(ISERROR(SEARCH("Recommend",I53)))</formula>
    </cfRule>
    <cfRule type="containsText" dxfId="1104" priority="315" operator="containsText" text="Required">
      <formula>NOT(ISERROR(SEARCH("Required",I53)))</formula>
    </cfRule>
  </conditionalFormatting>
  <conditionalFormatting sqref="I90">
    <cfRule type="containsText" dxfId="1103" priority="274" operator="containsText" text="Optional">
      <formula>NOT(ISERROR(SEARCH("Optional",I90)))</formula>
    </cfRule>
    <cfRule type="containsText" dxfId="1102" priority="275" operator="containsText" text="Recommend">
      <formula>NOT(ISERROR(SEARCH("Recommend",I90)))</formula>
    </cfRule>
    <cfRule type="containsText" dxfId="1101" priority="276" operator="containsText" text="Required">
      <formula>NOT(ISERROR(SEARCH("Required",I90)))</formula>
    </cfRule>
  </conditionalFormatting>
  <conditionalFormatting sqref="I92">
    <cfRule type="containsText" dxfId="1100" priority="268" operator="containsText" text="Optional">
      <formula>NOT(ISERROR(SEARCH("Optional",I92)))</formula>
    </cfRule>
    <cfRule type="containsText" dxfId="1099" priority="269" operator="containsText" text="Recommend">
      <formula>NOT(ISERROR(SEARCH("Recommend",I92)))</formula>
    </cfRule>
    <cfRule type="containsText" dxfId="1098" priority="270" operator="containsText" text="Required">
      <formula>NOT(ISERROR(SEARCH("Required",I92)))</formula>
    </cfRule>
  </conditionalFormatting>
  <conditionalFormatting sqref="I77">
    <cfRule type="containsText" dxfId="1097" priority="292" operator="containsText" text="Optional">
      <formula>NOT(ISERROR(SEARCH("Optional",I77)))</formula>
    </cfRule>
    <cfRule type="containsText" dxfId="1096" priority="293" operator="containsText" text="Recommend">
      <formula>NOT(ISERROR(SEARCH("Recommend",I77)))</formula>
    </cfRule>
    <cfRule type="containsText" dxfId="1095" priority="294" operator="containsText" text="Required">
      <formula>NOT(ISERROR(SEARCH("Required",I77)))</formula>
    </cfRule>
  </conditionalFormatting>
  <conditionalFormatting sqref="I101">
    <cfRule type="containsText" dxfId="1094" priority="259" operator="containsText" text="Optional">
      <formula>NOT(ISERROR(SEARCH("Optional",I101)))</formula>
    </cfRule>
    <cfRule type="containsText" dxfId="1093" priority="260" operator="containsText" text="Recommend">
      <formula>NOT(ISERROR(SEARCH("Recommend",I101)))</formula>
    </cfRule>
    <cfRule type="containsText" dxfId="1092" priority="261" operator="containsText" text="Required">
      <formula>NOT(ISERROR(SEARCH("Required",I101)))</formula>
    </cfRule>
  </conditionalFormatting>
  <conditionalFormatting sqref="H23">
    <cfRule type="containsText" dxfId="1091" priority="247" operator="containsText" text="Optional">
      <formula>NOT(ISERROR(SEARCH("Optional",H23)))</formula>
    </cfRule>
    <cfRule type="containsText" dxfId="1090" priority="248" operator="containsText" text="Recommend">
      <formula>NOT(ISERROR(SEARCH("Recommend",H23)))</formula>
    </cfRule>
    <cfRule type="containsText" dxfId="1089" priority="249" operator="containsText" text="Required">
      <formula>NOT(ISERROR(SEARCH("Required",H23)))</formula>
    </cfRule>
  </conditionalFormatting>
  <conditionalFormatting sqref="J37:J38">
    <cfRule type="containsText" dxfId="1088" priority="637" operator="containsText" text="Optional">
      <formula>NOT(ISERROR(SEARCH("Optional",J37)))</formula>
    </cfRule>
    <cfRule type="containsText" dxfId="1087" priority="638" operator="containsText" text="Recommend">
      <formula>NOT(ISERROR(SEARCH("Recommend",J37)))</formula>
    </cfRule>
    <cfRule type="containsText" dxfId="1086" priority="639" operator="containsText" text="Required">
      <formula>NOT(ISERROR(SEARCH("Required",J37)))</formula>
    </cfRule>
  </conditionalFormatting>
  <conditionalFormatting sqref="J52">
    <cfRule type="containsText" dxfId="1085" priority="634" operator="containsText" text="Optional">
      <formula>NOT(ISERROR(SEARCH("Optional",J52)))</formula>
    </cfRule>
    <cfRule type="containsText" dxfId="1084" priority="635" operator="containsText" text="Recommend">
      <formula>NOT(ISERROR(SEARCH("Recommend",J52)))</formula>
    </cfRule>
    <cfRule type="containsText" dxfId="1083" priority="636" operator="containsText" text="Required">
      <formula>NOT(ISERROR(SEARCH("Required",J52)))</formula>
    </cfRule>
  </conditionalFormatting>
  <conditionalFormatting sqref="H62">
    <cfRule type="containsText" dxfId="1082" priority="226" operator="containsText" text="Optional">
      <formula>NOT(ISERROR(SEARCH("Optional",H62)))</formula>
    </cfRule>
    <cfRule type="containsText" dxfId="1081" priority="227" operator="containsText" text="Recommend">
      <formula>NOT(ISERROR(SEARCH("Recommend",H62)))</formula>
    </cfRule>
    <cfRule type="containsText" dxfId="1080" priority="228" operator="containsText" text="Required">
      <formula>NOT(ISERROR(SEARCH("Required",H62)))</formula>
    </cfRule>
  </conditionalFormatting>
  <conditionalFormatting sqref="H48">
    <cfRule type="containsText" dxfId="1079" priority="235" operator="containsText" text="Optional">
      <formula>NOT(ISERROR(SEARCH("Optional",H48)))</formula>
    </cfRule>
    <cfRule type="containsText" dxfId="1078" priority="236" operator="containsText" text="Recommend">
      <formula>NOT(ISERROR(SEARCH("Recommend",H48)))</formula>
    </cfRule>
    <cfRule type="containsText" dxfId="1077" priority="237" operator="containsText" text="Required">
      <formula>NOT(ISERROR(SEARCH("Required",H48)))</formula>
    </cfRule>
  </conditionalFormatting>
  <conditionalFormatting sqref="H96">
    <cfRule type="containsText" dxfId="1076" priority="202" operator="containsText" text="Optional">
      <formula>NOT(ISERROR(SEARCH("Optional",H96)))</formula>
    </cfRule>
    <cfRule type="containsText" dxfId="1075" priority="203" operator="containsText" text="Recommend">
      <formula>NOT(ISERROR(SEARCH("Recommend",H96)))</formula>
    </cfRule>
    <cfRule type="containsText" dxfId="1074" priority="204" operator="containsText" text="Required">
      <formula>NOT(ISERROR(SEARCH("Required",H96)))</formula>
    </cfRule>
  </conditionalFormatting>
  <conditionalFormatting sqref="H76">
    <cfRule type="containsText" dxfId="1073" priority="211" operator="containsText" text="Optional">
      <formula>NOT(ISERROR(SEARCH("Optional",H76)))</formula>
    </cfRule>
    <cfRule type="containsText" dxfId="1072" priority="212" operator="containsText" text="Recommend">
      <formula>NOT(ISERROR(SEARCH("Recommend",H76)))</formula>
    </cfRule>
    <cfRule type="containsText" dxfId="1071" priority="213" operator="containsText" text="Required">
      <formula>NOT(ISERROR(SEARCH("Required",H76)))</formula>
    </cfRule>
  </conditionalFormatting>
  <conditionalFormatting sqref="H80">
    <cfRule type="containsText" dxfId="1070" priority="208" operator="containsText" text="Optional">
      <formula>NOT(ISERROR(SEARCH("Optional",H80)))</formula>
    </cfRule>
    <cfRule type="containsText" dxfId="1069" priority="209" operator="containsText" text="Recommend">
      <formula>NOT(ISERROR(SEARCH("Recommend",H80)))</formula>
    </cfRule>
    <cfRule type="containsText" dxfId="1068" priority="210" operator="containsText" text="Required">
      <formula>NOT(ISERROR(SEARCH("Required",H80)))</formula>
    </cfRule>
  </conditionalFormatting>
  <conditionalFormatting sqref="G3:I3">
    <cfRule type="containsText" dxfId="1067" priority="610" operator="containsText" text="Optional">
      <formula>NOT(ISERROR(SEARCH("Optional",G3)))</formula>
    </cfRule>
    <cfRule type="containsText" dxfId="1066" priority="611" operator="containsText" text="Recommend">
      <formula>NOT(ISERROR(SEARCH("Recommend",G3)))</formula>
    </cfRule>
    <cfRule type="containsText" dxfId="1065" priority="612" operator="containsText" text="Required">
      <formula>NOT(ISERROR(SEARCH("Required",G3)))</formula>
    </cfRule>
  </conditionalFormatting>
  <conditionalFormatting sqref="I68">
    <cfRule type="containsText" dxfId="1064" priority="136" operator="containsText" text="Optional">
      <formula>NOT(ISERROR(SEARCH("Optional",I68)))</formula>
    </cfRule>
    <cfRule type="containsText" dxfId="1063" priority="137" operator="containsText" text="Recommend">
      <formula>NOT(ISERROR(SEARCH("Recommend",I68)))</formula>
    </cfRule>
    <cfRule type="containsText" dxfId="1062" priority="138" operator="containsText" text="Required">
      <formula>NOT(ISERROR(SEARCH("Required",I68)))</formula>
    </cfRule>
  </conditionalFormatting>
  <conditionalFormatting sqref="I75">
    <cfRule type="containsText" dxfId="1061" priority="148" operator="containsText" text="Optional">
      <formula>NOT(ISERROR(SEARCH("Optional",I75)))</formula>
    </cfRule>
    <cfRule type="containsText" dxfId="1060" priority="149" operator="containsText" text="Recommend">
      <formula>NOT(ISERROR(SEARCH("Recommend",I75)))</formula>
    </cfRule>
    <cfRule type="containsText" dxfId="1059" priority="150" operator="containsText" text="Required">
      <formula>NOT(ISERROR(SEARCH("Required",I75)))</formula>
    </cfRule>
  </conditionalFormatting>
  <conditionalFormatting sqref="H57">
    <cfRule type="containsText" dxfId="1058" priority="232" operator="containsText" text="Optional">
      <formula>NOT(ISERROR(SEARCH("Optional",H57)))</formula>
    </cfRule>
    <cfRule type="containsText" dxfId="1057" priority="233" operator="containsText" text="Recommend">
      <formula>NOT(ISERROR(SEARCH("Recommend",H57)))</formula>
    </cfRule>
    <cfRule type="containsText" dxfId="1056" priority="234" operator="containsText" text="Required">
      <formula>NOT(ISERROR(SEARCH("Required",H57)))</formula>
    </cfRule>
  </conditionalFormatting>
  <conditionalFormatting sqref="I96">
    <cfRule type="containsText" dxfId="1055" priority="169" operator="containsText" text="Optional">
      <formula>NOT(ISERROR(SEARCH("Optional",I96)))</formula>
    </cfRule>
    <cfRule type="containsText" dxfId="1054" priority="170" operator="containsText" text="Recommend">
      <formula>NOT(ISERROR(SEARCH("Recommend",I96)))</formula>
    </cfRule>
    <cfRule type="containsText" dxfId="1053" priority="171" operator="containsText" text="Required">
      <formula>NOT(ISERROR(SEARCH("Required",I96)))</formula>
    </cfRule>
  </conditionalFormatting>
  <conditionalFormatting sqref="H65">
    <cfRule type="containsText" dxfId="1052" priority="223" operator="containsText" text="Optional">
      <formula>NOT(ISERROR(SEARCH("Optional",H65)))</formula>
    </cfRule>
    <cfRule type="containsText" dxfId="1051" priority="224" operator="containsText" text="Recommend">
      <formula>NOT(ISERROR(SEARCH("Recommend",H65)))</formula>
    </cfRule>
    <cfRule type="containsText" dxfId="1050" priority="225" operator="containsText" text="Required">
      <formula>NOT(ISERROR(SEARCH("Required",H65)))</formula>
    </cfRule>
  </conditionalFormatting>
  <conditionalFormatting sqref="I86">
    <cfRule type="containsText" dxfId="1049" priority="160" operator="containsText" text="Optional">
      <formula>NOT(ISERROR(SEARCH("Optional",I86)))</formula>
    </cfRule>
    <cfRule type="containsText" dxfId="1048" priority="161" operator="containsText" text="Recommend">
      <formula>NOT(ISERROR(SEARCH("Recommend",I86)))</formula>
    </cfRule>
    <cfRule type="containsText" dxfId="1047" priority="162" operator="containsText" text="Required">
      <formula>NOT(ISERROR(SEARCH("Required",I86)))</formula>
    </cfRule>
  </conditionalFormatting>
  <conditionalFormatting sqref="I81">
    <cfRule type="containsText" dxfId="1046" priority="154" operator="containsText" text="Optional">
      <formula>NOT(ISERROR(SEARCH("Optional",I81)))</formula>
    </cfRule>
    <cfRule type="containsText" dxfId="1045" priority="155" operator="containsText" text="Recommend">
      <formula>NOT(ISERROR(SEARCH("Recommend",I81)))</formula>
    </cfRule>
    <cfRule type="containsText" dxfId="1044" priority="156" operator="containsText" text="Required">
      <formula>NOT(ISERROR(SEARCH("Required",I81)))</formula>
    </cfRule>
  </conditionalFormatting>
  <conditionalFormatting sqref="I88">
    <cfRule type="containsText" dxfId="1043" priority="163" operator="containsText" text="Optional">
      <formula>NOT(ISERROR(SEARCH("Optional",I88)))</formula>
    </cfRule>
    <cfRule type="containsText" dxfId="1042" priority="164" operator="containsText" text="Recommend">
      <formula>NOT(ISERROR(SEARCH("Recommend",I88)))</formula>
    </cfRule>
    <cfRule type="containsText" dxfId="1041" priority="165" operator="containsText" text="Required">
      <formula>NOT(ISERROR(SEARCH("Required",I88)))</formula>
    </cfRule>
  </conditionalFormatting>
  <conditionalFormatting sqref="I74">
    <cfRule type="containsText" dxfId="1040" priority="145" operator="containsText" text="Optional">
      <formula>NOT(ISERROR(SEARCH("Optional",I74)))</formula>
    </cfRule>
    <cfRule type="containsText" dxfId="1039" priority="146" operator="containsText" text="Recommend">
      <formula>NOT(ISERROR(SEARCH("Recommend",I74)))</formula>
    </cfRule>
    <cfRule type="containsText" dxfId="1038" priority="147" operator="containsText" text="Required">
      <formula>NOT(ISERROR(SEARCH("Required",I74)))</formula>
    </cfRule>
  </conditionalFormatting>
  <conditionalFormatting sqref="I58">
    <cfRule type="containsText" dxfId="1037" priority="127" operator="containsText" text="Optional">
      <formula>NOT(ISERROR(SEARCH("Optional",I58)))</formula>
    </cfRule>
    <cfRule type="containsText" dxfId="1036" priority="128" operator="containsText" text="Recommend">
      <formula>NOT(ISERROR(SEARCH("Recommend",I58)))</formula>
    </cfRule>
    <cfRule type="containsText" dxfId="1035" priority="129" operator="containsText" text="Required">
      <formula>NOT(ISERROR(SEARCH("Required",I58)))</formula>
    </cfRule>
  </conditionalFormatting>
  <conditionalFormatting sqref="H99">
    <cfRule type="containsText" dxfId="1034" priority="199" operator="containsText" text="Optional">
      <formula>NOT(ISERROR(SEARCH("Optional",H99)))</formula>
    </cfRule>
    <cfRule type="containsText" dxfId="1033" priority="200" operator="containsText" text="Recommend">
      <formula>NOT(ISERROR(SEARCH("Recommend",H99)))</formula>
    </cfRule>
    <cfRule type="containsText" dxfId="1032" priority="201" operator="containsText" text="Required">
      <formula>NOT(ISERROR(SEARCH("Required",H99)))</formula>
    </cfRule>
  </conditionalFormatting>
  <conditionalFormatting sqref="I89">
    <cfRule type="containsText" dxfId="1031" priority="277" operator="containsText" text="Optional">
      <formula>NOT(ISERROR(SEARCH("Optional",I89)))</formula>
    </cfRule>
    <cfRule type="containsText" dxfId="1030" priority="278" operator="containsText" text="Recommend">
      <formula>NOT(ISERROR(SEARCH("Recommend",I89)))</formula>
    </cfRule>
    <cfRule type="containsText" dxfId="1029" priority="279" operator="containsText" text="Required">
      <formula>NOT(ISERROR(SEARCH("Required",I89)))</formula>
    </cfRule>
  </conditionalFormatting>
  <conditionalFormatting sqref="I99">
    <cfRule type="containsText" dxfId="1028" priority="178" operator="containsText" text="Optional">
      <formula>NOT(ISERROR(SEARCH("Optional",I99)))</formula>
    </cfRule>
    <cfRule type="containsText" dxfId="1027" priority="179" operator="containsText" text="Recommend">
      <formula>NOT(ISERROR(SEARCH("Recommend",I99)))</formula>
    </cfRule>
    <cfRule type="containsText" dxfId="1026" priority="180" operator="containsText" text="Required">
      <formula>NOT(ISERROR(SEARCH("Required",I99)))</formula>
    </cfRule>
  </conditionalFormatting>
  <conditionalFormatting sqref="I39">
    <cfRule type="containsText" dxfId="1025" priority="100" operator="containsText" text="Optional">
      <formula>NOT(ISERROR(SEARCH("Optional",I39)))</formula>
    </cfRule>
    <cfRule type="containsText" dxfId="1024" priority="101" operator="containsText" text="Recommend">
      <formula>NOT(ISERROR(SEARCH("Recommend",I39)))</formula>
    </cfRule>
    <cfRule type="containsText" dxfId="1023" priority="102" operator="containsText" text="Required">
      <formula>NOT(ISERROR(SEARCH("Required",I39)))</formula>
    </cfRule>
  </conditionalFormatting>
  <conditionalFormatting sqref="I37">
    <cfRule type="containsText" dxfId="1022" priority="94" operator="containsText" text="Optional">
      <formula>NOT(ISERROR(SEARCH("Optional",I37)))</formula>
    </cfRule>
    <cfRule type="containsText" dxfId="1021" priority="95" operator="containsText" text="Recommend">
      <formula>NOT(ISERROR(SEARCH("Recommend",I37)))</formula>
    </cfRule>
    <cfRule type="containsText" dxfId="1020" priority="96" operator="containsText" text="Required">
      <formula>NOT(ISERROR(SEARCH("Required",I37)))</formula>
    </cfRule>
  </conditionalFormatting>
  <conditionalFormatting sqref="I46">
    <cfRule type="containsText" dxfId="1019" priority="109" operator="containsText" text="Optional">
      <formula>NOT(ISERROR(SEARCH("Optional",I46)))</formula>
    </cfRule>
    <cfRule type="containsText" dxfId="1018" priority="110" operator="containsText" text="Recommend">
      <formula>NOT(ISERROR(SEARCH("Recommend",I46)))</formula>
    </cfRule>
    <cfRule type="containsText" dxfId="1017" priority="111" operator="containsText" text="Required">
      <formula>NOT(ISERROR(SEARCH("Required",I46)))</formula>
    </cfRule>
  </conditionalFormatting>
  <conditionalFormatting sqref="I41">
    <cfRule type="containsText" dxfId="1016" priority="106" operator="containsText" text="Optional">
      <formula>NOT(ISERROR(SEARCH("Optional",I41)))</formula>
    </cfRule>
    <cfRule type="containsText" dxfId="1015" priority="107" operator="containsText" text="Recommend">
      <formula>NOT(ISERROR(SEARCH("Recommend",I41)))</formula>
    </cfRule>
    <cfRule type="containsText" dxfId="1014" priority="108" operator="containsText" text="Required">
      <formula>NOT(ISERROR(SEARCH("Required",I41)))</formula>
    </cfRule>
  </conditionalFormatting>
  <conditionalFormatting sqref="I30">
    <cfRule type="containsText" dxfId="1013" priority="340" operator="containsText" text="Optional">
      <formula>NOT(ISERROR(SEARCH("Optional",I30)))</formula>
    </cfRule>
    <cfRule type="containsText" dxfId="1012" priority="341" operator="containsText" text="Recommend">
      <formula>NOT(ISERROR(SEARCH("Recommend",I30)))</formula>
    </cfRule>
    <cfRule type="containsText" dxfId="1011" priority="342" operator="containsText" text="Required">
      <formula>NOT(ISERROR(SEARCH("Required",I30)))</formula>
    </cfRule>
  </conditionalFormatting>
  <conditionalFormatting sqref="I24">
    <cfRule type="containsText" dxfId="1010" priority="64" operator="containsText" text="Optional">
      <formula>NOT(ISERROR(SEARCH("Optional",I24)))</formula>
    </cfRule>
    <cfRule type="containsText" dxfId="1009" priority="65" operator="containsText" text="Recommend">
      <formula>NOT(ISERROR(SEARCH("Recommend",I24)))</formula>
    </cfRule>
    <cfRule type="containsText" dxfId="1008" priority="66" operator="containsText" text="Required">
      <formula>NOT(ISERROR(SEARCH("Required",I24)))</formula>
    </cfRule>
  </conditionalFormatting>
  <conditionalFormatting sqref="I31">
    <cfRule type="containsText" dxfId="1007" priority="79" operator="containsText" text="Optional">
      <formula>NOT(ISERROR(SEARCH("Optional",I31)))</formula>
    </cfRule>
    <cfRule type="containsText" dxfId="1006" priority="80" operator="containsText" text="Recommend">
      <formula>NOT(ISERROR(SEARCH("Recommend",I31)))</formula>
    </cfRule>
    <cfRule type="containsText" dxfId="1005" priority="81" operator="containsText" text="Required">
      <formula>NOT(ISERROR(SEARCH("Required",I31)))</formula>
    </cfRule>
  </conditionalFormatting>
  <conditionalFormatting sqref="I63">
    <cfRule type="containsText" dxfId="1004" priority="304" operator="containsText" text="Optional">
      <formula>NOT(ISERROR(SEARCH("Optional",I63)))</formula>
    </cfRule>
    <cfRule type="containsText" dxfId="1003" priority="305" operator="containsText" text="Recommend">
      <formula>NOT(ISERROR(SEARCH("Recommend",I63)))</formula>
    </cfRule>
    <cfRule type="containsText" dxfId="1002" priority="306" operator="containsText" text="Required">
      <formula>NOT(ISERROR(SEARCH("Required",I63)))</formula>
    </cfRule>
  </conditionalFormatting>
  <conditionalFormatting sqref="I78">
    <cfRule type="containsText" dxfId="1001" priority="289" operator="containsText" text="Optional">
      <formula>NOT(ISERROR(SEARCH("Optional",I78)))</formula>
    </cfRule>
    <cfRule type="containsText" dxfId="1000" priority="290" operator="containsText" text="Recommend">
      <formula>NOT(ISERROR(SEARCH("Recommend",I78)))</formula>
    </cfRule>
    <cfRule type="containsText" dxfId="999" priority="291" operator="containsText" text="Required">
      <formula>NOT(ISERROR(SEARCH("Required",I78)))</formula>
    </cfRule>
  </conditionalFormatting>
  <conditionalFormatting sqref="I28">
    <cfRule type="containsText" dxfId="998" priority="73" operator="containsText" text="Optional">
      <formula>NOT(ISERROR(SEARCH("Optional",I28)))</formula>
    </cfRule>
    <cfRule type="containsText" dxfId="997" priority="74" operator="containsText" text="Recommend">
      <formula>NOT(ISERROR(SEARCH("Recommend",I28)))</formula>
    </cfRule>
    <cfRule type="containsText" dxfId="996" priority="75" operator="containsText" text="Required">
      <formula>NOT(ISERROR(SEARCH("Required",I28)))</formula>
    </cfRule>
  </conditionalFormatting>
  <conditionalFormatting sqref="I71">
    <cfRule type="containsText" dxfId="995" priority="139" operator="containsText" text="Optional">
      <formula>NOT(ISERROR(SEARCH("Optional",I71)))</formula>
    </cfRule>
    <cfRule type="containsText" dxfId="994" priority="140" operator="containsText" text="Recommend">
      <formula>NOT(ISERROR(SEARCH("Recommend",I71)))</formula>
    </cfRule>
    <cfRule type="containsText" dxfId="993" priority="141" operator="containsText" text="Required">
      <formula>NOT(ISERROR(SEARCH("Required",I71)))</formula>
    </cfRule>
  </conditionalFormatting>
  <conditionalFormatting sqref="I48">
    <cfRule type="containsText" dxfId="992" priority="25" operator="containsText" text="Optional">
      <formula>NOT(ISERROR(SEARCH("Optional",I48)))</formula>
    </cfRule>
    <cfRule type="containsText" dxfId="991" priority="26" operator="containsText" text="Recommend">
      <formula>NOT(ISERROR(SEARCH("Recommend",I48)))</formula>
    </cfRule>
    <cfRule type="containsText" dxfId="990" priority="27" operator="containsText" text="Required">
      <formula>NOT(ISERROR(SEARCH("Required",I48)))</formula>
    </cfRule>
  </conditionalFormatting>
  <conditionalFormatting sqref="I97">
    <cfRule type="containsText" dxfId="989" priority="172" operator="containsText" text="Optional">
      <formula>NOT(ISERROR(SEARCH("Optional",I97)))</formula>
    </cfRule>
    <cfRule type="containsText" dxfId="988" priority="173" operator="containsText" text="Recommend">
      <formula>NOT(ISERROR(SEARCH("Recommend",I97)))</formula>
    </cfRule>
    <cfRule type="containsText" dxfId="987" priority="174" operator="containsText" text="Required">
      <formula>NOT(ISERROR(SEARCH("Required",I97)))</formula>
    </cfRule>
  </conditionalFormatting>
  <conditionalFormatting sqref="I98">
    <cfRule type="containsText" dxfId="986" priority="175" operator="containsText" text="Optional">
      <formula>NOT(ISERROR(SEARCH("Optional",I98)))</formula>
    </cfRule>
    <cfRule type="containsText" dxfId="985" priority="176" operator="containsText" text="Recommend">
      <formula>NOT(ISERROR(SEARCH("Recommend",I98)))</formula>
    </cfRule>
    <cfRule type="containsText" dxfId="984" priority="177" operator="containsText" text="Required">
      <formula>NOT(ISERROR(SEARCH("Required",I98)))</formula>
    </cfRule>
  </conditionalFormatting>
  <conditionalFormatting sqref="I106">
    <cfRule type="containsText" dxfId="983" priority="190" operator="containsText" text="Optional">
      <formula>NOT(ISERROR(SEARCH("Optional",I106)))</formula>
    </cfRule>
    <cfRule type="containsText" dxfId="982" priority="191" operator="containsText" text="Recommend">
      <formula>NOT(ISERROR(SEARCH("Recommend",I106)))</formula>
    </cfRule>
    <cfRule type="containsText" dxfId="981" priority="192" operator="containsText" text="Required">
      <formula>NOT(ISERROR(SEARCH("Required",I106)))</formula>
    </cfRule>
  </conditionalFormatting>
  <conditionalFormatting sqref="G4:G79">
    <cfRule type="containsText" dxfId="980" priority="403" operator="containsText" text="Optional">
      <formula>NOT(ISERROR(SEARCH("Optional",G4)))</formula>
    </cfRule>
    <cfRule type="containsText" dxfId="979" priority="404" operator="containsText" text="Recommend">
      <formula>NOT(ISERROR(SEARCH("Recommend",G4)))</formula>
    </cfRule>
    <cfRule type="containsText" dxfId="978" priority="405" operator="containsText" text="Required">
      <formula>NOT(ISERROR(SEARCH("Required",G4)))</formula>
    </cfRule>
  </conditionalFormatting>
  <conditionalFormatting sqref="G80">
    <cfRule type="containsText" dxfId="977" priority="400" operator="containsText" text="Optional">
      <formula>NOT(ISERROR(SEARCH("Optional",G80)))</formula>
    </cfRule>
    <cfRule type="containsText" dxfId="976" priority="401" operator="containsText" text="Recommend">
      <formula>NOT(ISERROR(SEARCH("Recommend",G80)))</formula>
    </cfRule>
    <cfRule type="containsText" dxfId="975" priority="402" operator="containsText" text="Required">
      <formula>NOT(ISERROR(SEARCH("Required",G80)))</formula>
    </cfRule>
  </conditionalFormatting>
  <conditionalFormatting sqref="H4">
    <cfRule type="containsText" dxfId="974" priority="394" operator="containsText" text="Optional">
      <formula>NOT(ISERROR(SEARCH("Optional",H4)))</formula>
    </cfRule>
    <cfRule type="containsText" dxfId="973" priority="395" operator="containsText" text="Recommend">
      <formula>NOT(ISERROR(SEARCH("Recommend",H4)))</formula>
    </cfRule>
    <cfRule type="containsText" dxfId="972" priority="396" operator="containsText" text="Required">
      <formula>NOT(ISERROR(SEARCH("Required",H4)))</formula>
    </cfRule>
  </conditionalFormatting>
  <conditionalFormatting sqref="H6:H22">
    <cfRule type="containsText" dxfId="971" priority="391" operator="containsText" text="Optional">
      <formula>NOT(ISERROR(SEARCH("Optional",H6)))</formula>
    </cfRule>
    <cfRule type="containsText" dxfId="970" priority="392" operator="containsText" text="Recommend">
      <formula>NOT(ISERROR(SEARCH("Recommend",H6)))</formula>
    </cfRule>
    <cfRule type="containsText" dxfId="969" priority="393" operator="containsText" text="Required">
      <formula>NOT(ISERROR(SEARCH("Required",H6)))</formula>
    </cfRule>
  </conditionalFormatting>
  <conditionalFormatting sqref="H25:H38">
    <cfRule type="containsText" dxfId="968" priority="388" operator="containsText" text="Optional">
      <formula>NOT(ISERROR(SEARCH("Optional",H25)))</formula>
    </cfRule>
    <cfRule type="containsText" dxfId="967" priority="389" operator="containsText" text="Recommend">
      <formula>NOT(ISERROR(SEARCH("Recommend",H25)))</formula>
    </cfRule>
    <cfRule type="containsText" dxfId="966" priority="390" operator="containsText" text="Required">
      <formula>NOT(ISERROR(SEARCH("Required",H25)))</formula>
    </cfRule>
  </conditionalFormatting>
  <conditionalFormatting sqref="H49:H56">
    <cfRule type="containsText" dxfId="965" priority="382" operator="containsText" text="Optional">
      <formula>NOT(ISERROR(SEARCH("Optional",H49)))</formula>
    </cfRule>
    <cfRule type="containsText" dxfId="964" priority="383" operator="containsText" text="Recommend">
      <formula>NOT(ISERROR(SEARCH("Recommend",H49)))</formula>
    </cfRule>
    <cfRule type="containsText" dxfId="963" priority="384" operator="containsText" text="Required">
      <formula>NOT(ISERROR(SEARCH("Required",H49)))</formula>
    </cfRule>
  </conditionalFormatting>
  <conditionalFormatting sqref="H70:H71">
    <cfRule type="containsText" dxfId="962" priority="370" operator="containsText" text="Optional">
      <formula>NOT(ISERROR(SEARCH("Optional",H70)))</formula>
    </cfRule>
    <cfRule type="containsText" dxfId="961" priority="371" operator="containsText" text="Recommend">
      <formula>NOT(ISERROR(SEARCH("Recommend",H70)))</formula>
    </cfRule>
    <cfRule type="containsText" dxfId="960" priority="372" operator="containsText" text="Required">
      <formula>NOT(ISERROR(SEARCH("Required",H70)))</formula>
    </cfRule>
  </conditionalFormatting>
  <conditionalFormatting sqref="H88:H95">
    <cfRule type="containsText" dxfId="959" priority="358" operator="containsText" text="Optional">
      <formula>NOT(ISERROR(SEARCH("Optional",H88)))</formula>
    </cfRule>
    <cfRule type="containsText" dxfId="958" priority="359" operator="containsText" text="Recommend">
      <formula>NOT(ISERROR(SEARCH("Recommend",H88)))</formula>
    </cfRule>
    <cfRule type="containsText" dxfId="957" priority="360" operator="containsText" text="Required">
      <formula>NOT(ISERROR(SEARCH("Required",H88)))</formula>
    </cfRule>
  </conditionalFormatting>
  <conditionalFormatting sqref="H101:H107">
    <cfRule type="containsText" dxfId="956" priority="352" operator="containsText" text="Optional">
      <formula>NOT(ISERROR(SEARCH("Optional",H101)))</formula>
    </cfRule>
    <cfRule type="containsText" dxfId="955" priority="353" operator="containsText" text="Recommend">
      <formula>NOT(ISERROR(SEARCH("Recommend",H101)))</formula>
    </cfRule>
    <cfRule type="containsText" dxfId="954" priority="354" operator="containsText" text="Required">
      <formula>NOT(ISERROR(SEARCH("Required",H101)))</formula>
    </cfRule>
  </conditionalFormatting>
  <conditionalFormatting sqref="I10:I11 I7:I8">
    <cfRule type="containsText" dxfId="953" priority="349" operator="containsText" text="Optional">
      <formula>NOT(ISERROR(SEARCH("Optional",I7)))</formula>
    </cfRule>
    <cfRule type="containsText" dxfId="952" priority="350" operator="containsText" text="Recommend">
      <formula>NOT(ISERROR(SEARCH("Recommend",I7)))</formula>
    </cfRule>
    <cfRule type="containsText" dxfId="951" priority="351" operator="containsText" text="Required">
      <formula>NOT(ISERROR(SEARCH("Required",I7)))</formula>
    </cfRule>
  </conditionalFormatting>
  <conditionalFormatting sqref="I26">
    <cfRule type="containsText" dxfId="950" priority="343" operator="containsText" text="Optional">
      <formula>NOT(ISERROR(SEARCH("Optional",I26)))</formula>
    </cfRule>
    <cfRule type="containsText" dxfId="949" priority="344" operator="containsText" text="Recommend">
      <formula>NOT(ISERROR(SEARCH("Recommend",I26)))</formula>
    </cfRule>
    <cfRule type="containsText" dxfId="948" priority="345" operator="containsText" text="Required">
      <formula>NOT(ISERROR(SEARCH("Required",I26)))</formula>
    </cfRule>
  </conditionalFormatting>
  <conditionalFormatting sqref="I42">
    <cfRule type="containsText" dxfId="947" priority="334" operator="containsText" text="Optional">
      <formula>NOT(ISERROR(SEARCH("Optional",I42)))</formula>
    </cfRule>
    <cfRule type="containsText" dxfId="946" priority="335" operator="containsText" text="Recommend">
      <formula>NOT(ISERROR(SEARCH("Recommend",I42)))</formula>
    </cfRule>
    <cfRule type="containsText" dxfId="945" priority="336" operator="containsText" text="Required">
      <formula>NOT(ISERROR(SEARCH("Required",I42)))</formula>
    </cfRule>
  </conditionalFormatting>
  <conditionalFormatting sqref="I43">
    <cfRule type="containsText" dxfId="944" priority="331" operator="containsText" text="Optional">
      <formula>NOT(ISERROR(SEARCH("Optional",I43)))</formula>
    </cfRule>
    <cfRule type="containsText" dxfId="943" priority="332" operator="containsText" text="Recommend">
      <formula>NOT(ISERROR(SEARCH("Recommend",I43)))</formula>
    </cfRule>
    <cfRule type="containsText" dxfId="942" priority="333" operator="containsText" text="Required">
      <formula>NOT(ISERROR(SEARCH("Required",I43)))</formula>
    </cfRule>
  </conditionalFormatting>
  <conditionalFormatting sqref="I44">
    <cfRule type="containsText" dxfId="941" priority="328" operator="containsText" text="Optional">
      <formula>NOT(ISERROR(SEARCH("Optional",I44)))</formula>
    </cfRule>
    <cfRule type="containsText" dxfId="940" priority="329" operator="containsText" text="Recommend">
      <formula>NOT(ISERROR(SEARCH("Recommend",I44)))</formula>
    </cfRule>
    <cfRule type="containsText" dxfId="939" priority="330" operator="containsText" text="Required">
      <formula>NOT(ISERROR(SEARCH("Required",I44)))</formula>
    </cfRule>
  </conditionalFormatting>
  <conditionalFormatting sqref="I45">
    <cfRule type="containsText" dxfId="938" priority="325" operator="containsText" text="Optional">
      <formula>NOT(ISERROR(SEARCH("Optional",I45)))</formula>
    </cfRule>
    <cfRule type="containsText" dxfId="937" priority="326" operator="containsText" text="Recommend">
      <formula>NOT(ISERROR(SEARCH("Recommend",I45)))</formula>
    </cfRule>
    <cfRule type="containsText" dxfId="936" priority="327" operator="containsText" text="Required">
      <formula>NOT(ISERROR(SEARCH("Required",I45)))</formula>
    </cfRule>
  </conditionalFormatting>
  <conditionalFormatting sqref="I49">
    <cfRule type="containsText" dxfId="935" priority="322" operator="containsText" text="Optional">
      <formula>NOT(ISERROR(SEARCH("Optional",I49)))</formula>
    </cfRule>
    <cfRule type="containsText" dxfId="934" priority="323" operator="containsText" text="Recommend">
      <formula>NOT(ISERROR(SEARCH("Recommend",I49)))</formula>
    </cfRule>
    <cfRule type="containsText" dxfId="933" priority="324" operator="containsText" text="Required">
      <formula>NOT(ISERROR(SEARCH("Required",I49)))</formula>
    </cfRule>
  </conditionalFormatting>
  <conditionalFormatting sqref="I51">
    <cfRule type="containsText" dxfId="932" priority="316" operator="containsText" text="Optional">
      <formula>NOT(ISERROR(SEARCH("Optional",I51)))</formula>
    </cfRule>
    <cfRule type="containsText" dxfId="931" priority="317" operator="containsText" text="Recommend">
      <formula>NOT(ISERROR(SEARCH("Recommend",I51)))</formula>
    </cfRule>
    <cfRule type="containsText" dxfId="930" priority="318" operator="containsText" text="Required">
      <formula>NOT(ISERROR(SEARCH("Required",I51)))</formula>
    </cfRule>
  </conditionalFormatting>
  <conditionalFormatting sqref="I56">
    <cfRule type="containsText" dxfId="929" priority="310" operator="containsText" text="Optional">
      <formula>NOT(ISERROR(SEARCH("Optional",I56)))</formula>
    </cfRule>
    <cfRule type="containsText" dxfId="928" priority="311" operator="containsText" text="Recommend">
      <formula>NOT(ISERROR(SEARCH("Recommend",I56)))</formula>
    </cfRule>
    <cfRule type="containsText" dxfId="927" priority="312" operator="containsText" text="Required">
      <formula>NOT(ISERROR(SEARCH("Required",I56)))</formula>
    </cfRule>
  </conditionalFormatting>
  <conditionalFormatting sqref="I59">
    <cfRule type="containsText" dxfId="926" priority="307" operator="containsText" text="Optional">
      <formula>NOT(ISERROR(SEARCH("Optional",I59)))</formula>
    </cfRule>
    <cfRule type="containsText" dxfId="925" priority="308" operator="containsText" text="Recommend">
      <formula>NOT(ISERROR(SEARCH("Recommend",I59)))</formula>
    </cfRule>
    <cfRule type="containsText" dxfId="924" priority="309" operator="containsText" text="Required">
      <formula>NOT(ISERROR(SEARCH("Required",I59)))</formula>
    </cfRule>
  </conditionalFormatting>
  <conditionalFormatting sqref="I67">
    <cfRule type="containsText" dxfId="923" priority="298" operator="containsText" text="Optional">
      <formula>NOT(ISERROR(SEARCH("Optional",I67)))</formula>
    </cfRule>
    <cfRule type="containsText" dxfId="922" priority="299" operator="containsText" text="Recommend">
      <formula>NOT(ISERROR(SEARCH("Recommend",I67)))</formula>
    </cfRule>
    <cfRule type="containsText" dxfId="921" priority="300" operator="containsText" text="Required">
      <formula>NOT(ISERROR(SEARCH("Required",I67)))</formula>
    </cfRule>
  </conditionalFormatting>
  <conditionalFormatting sqref="I70">
    <cfRule type="containsText" dxfId="920" priority="295" operator="containsText" text="Optional">
      <formula>NOT(ISERROR(SEARCH("Optional",I70)))</formula>
    </cfRule>
    <cfRule type="containsText" dxfId="919" priority="296" operator="containsText" text="Recommend">
      <formula>NOT(ISERROR(SEARCH("Recommend",I70)))</formula>
    </cfRule>
    <cfRule type="containsText" dxfId="918" priority="297" operator="containsText" text="Required">
      <formula>NOT(ISERROR(SEARCH("Required",I70)))</formula>
    </cfRule>
  </conditionalFormatting>
  <conditionalFormatting sqref="I82">
    <cfRule type="containsText" dxfId="917" priority="286" operator="containsText" text="Optional">
      <formula>NOT(ISERROR(SEARCH("Optional",I82)))</formula>
    </cfRule>
    <cfRule type="containsText" dxfId="916" priority="287" operator="containsText" text="Recommend">
      <formula>NOT(ISERROR(SEARCH("Recommend",I82)))</formula>
    </cfRule>
    <cfRule type="containsText" dxfId="915" priority="288" operator="containsText" text="Required">
      <formula>NOT(ISERROR(SEARCH("Required",I82)))</formula>
    </cfRule>
  </conditionalFormatting>
  <conditionalFormatting sqref="I83">
    <cfRule type="containsText" dxfId="914" priority="283" operator="containsText" text="Optional">
      <formula>NOT(ISERROR(SEARCH("Optional",I83)))</formula>
    </cfRule>
    <cfRule type="containsText" dxfId="913" priority="284" operator="containsText" text="Recommend">
      <formula>NOT(ISERROR(SEARCH("Recommend",I83)))</formula>
    </cfRule>
    <cfRule type="containsText" dxfId="912" priority="285" operator="containsText" text="Required">
      <formula>NOT(ISERROR(SEARCH("Required",I83)))</formula>
    </cfRule>
  </conditionalFormatting>
  <conditionalFormatting sqref="I85">
    <cfRule type="containsText" dxfId="911" priority="280" operator="containsText" text="Optional">
      <formula>NOT(ISERROR(SEARCH("Optional",I85)))</formula>
    </cfRule>
    <cfRule type="containsText" dxfId="910" priority="281" operator="containsText" text="Recommend">
      <formula>NOT(ISERROR(SEARCH("Recommend",I85)))</formula>
    </cfRule>
    <cfRule type="containsText" dxfId="909" priority="282" operator="containsText" text="Required">
      <formula>NOT(ISERROR(SEARCH("Required",I85)))</formula>
    </cfRule>
  </conditionalFormatting>
  <conditionalFormatting sqref="I91">
    <cfRule type="containsText" dxfId="908" priority="271" operator="containsText" text="Optional">
      <formula>NOT(ISERROR(SEARCH("Optional",I91)))</formula>
    </cfRule>
    <cfRule type="containsText" dxfId="907" priority="272" operator="containsText" text="Recommend">
      <formula>NOT(ISERROR(SEARCH("Recommend",I91)))</formula>
    </cfRule>
    <cfRule type="containsText" dxfId="906" priority="273" operator="containsText" text="Required">
      <formula>NOT(ISERROR(SEARCH("Required",I91)))</formula>
    </cfRule>
  </conditionalFormatting>
  <conditionalFormatting sqref="I93">
    <cfRule type="containsText" dxfId="905" priority="265" operator="containsText" text="Optional">
      <formula>NOT(ISERROR(SEARCH("Optional",I93)))</formula>
    </cfRule>
    <cfRule type="containsText" dxfId="904" priority="266" operator="containsText" text="Recommend">
      <formula>NOT(ISERROR(SEARCH("Recommend",I93)))</formula>
    </cfRule>
    <cfRule type="containsText" dxfId="903" priority="267" operator="containsText" text="Required">
      <formula>NOT(ISERROR(SEARCH("Required",I93)))</formula>
    </cfRule>
  </conditionalFormatting>
  <conditionalFormatting sqref="I94">
    <cfRule type="containsText" dxfId="902" priority="262" operator="containsText" text="Optional">
      <formula>NOT(ISERROR(SEARCH("Optional",I94)))</formula>
    </cfRule>
    <cfRule type="containsText" dxfId="901" priority="263" operator="containsText" text="Recommend">
      <formula>NOT(ISERROR(SEARCH("Recommend",I94)))</formula>
    </cfRule>
    <cfRule type="containsText" dxfId="900" priority="264" operator="containsText" text="Required">
      <formula>NOT(ISERROR(SEARCH("Required",I94)))</formula>
    </cfRule>
  </conditionalFormatting>
  <conditionalFormatting sqref="I103">
    <cfRule type="containsText" dxfId="899" priority="256" operator="containsText" text="Optional">
      <formula>NOT(ISERROR(SEARCH("Optional",I103)))</formula>
    </cfRule>
    <cfRule type="containsText" dxfId="898" priority="257" operator="containsText" text="Recommend">
      <formula>NOT(ISERROR(SEARCH("Recommend",I103)))</formula>
    </cfRule>
    <cfRule type="containsText" dxfId="897" priority="258" operator="containsText" text="Required">
      <formula>NOT(ISERROR(SEARCH("Required",I103)))</formula>
    </cfRule>
  </conditionalFormatting>
  <conditionalFormatting sqref="I105">
    <cfRule type="containsText" dxfId="896" priority="253" operator="containsText" text="Optional">
      <formula>NOT(ISERROR(SEARCH("Optional",I105)))</formula>
    </cfRule>
    <cfRule type="containsText" dxfId="895" priority="254" operator="containsText" text="Recommend">
      <formula>NOT(ISERROR(SEARCH("Recommend",I105)))</formula>
    </cfRule>
    <cfRule type="containsText" dxfId="894" priority="255" operator="containsText" text="Required">
      <formula>NOT(ISERROR(SEARCH("Required",I105)))</formula>
    </cfRule>
  </conditionalFormatting>
  <conditionalFormatting sqref="H5">
    <cfRule type="containsText" dxfId="893" priority="250" operator="containsText" text="Optional">
      <formula>NOT(ISERROR(SEARCH("Optional",H5)))</formula>
    </cfRule>
    <cfRule type="containsText" dxfId="892" priority="251" operator="containsText" text="Recommend">
      <formula>NOT(ISERROR(SEARCH("Recommend",H5)))</formula>
    </cfRule>
    <cfRule type="containsText" dxfId="891" priority="252" operator="containsText" text="Required">
      <formula>NOT(ISERROR(SEARCH("Required",H5)))</formula>
    </cfRule>
  </conditionalFormatting>
  <conditionalFormatting sqref="H24">
    <cfRule type="containsText" dxfId="890" priority="244" operator="containsText" text="Optional">
      <formula>NOT(ISERROR(SEARCH("Optional",H24)))</formula>
    </cfRule>
    <cfRule type="containsText" dxfId="889" priority="245" operator="containsText" text="Recommend">
      <formula>NOT(ISERROR(SEARCH("Recommend",H24)))</formula>
    </cfRule>
    <cfRule type="containsText" dxfId="888" priority="246" operator="containsText" text="Required">
      <formula>NOT(ISERROR(SEARCH("Required",H24)))</formula>
    </cfRule>
  </conditionalFormatting>
  <conditionalFormatting sqref="H39">
    <cfRule type="containsText" dxfId="887" priority="241" operator="containsText" text="Optional">
      <formula>NOT(ISERROR(SEARCH("Optional",H39)))</formula>
    </cfRule>
    <cfRule type="containsText" dxfId="886" priority="242" operator="containsText" text="Recommend">
      <formula>NOT(ISERROR(SEARCH("Recommend",H39)))</formula>
    </cfRule>
    <cfRule type="containsText" dxfId="885" priority="243" operator="containsText" text="Required">
      <formula>NOT(ISERROR(SEARCH("Required",H39)))</formula>
    </cfRule>
  </conditionalFormatting>
  <conditionalFormatting sqref="H47">
    <cfRule type="containsText" dxfId="884" priority="238" operator="containsText" text="Optional">
      <formula>NOT(ISERROR(SEARCH("Optional",H47)))</formula>
    </cfRule>
    <cfRule type="containsText" dxfId="883" priority="239" operator="containsText" text="Recommend">
      <formula>NOT(ISERROR(SEARCH("Recommend",H47)))</formula>
    </cfRule>
    <cfRule type="containsText" dxfId="882" priority="240" operator="containsText" text="Required">
      <formula>NOT(ISERROR(SEARCH("Required",H47)))</formula>
    </cfRule>
  </conditionalFormatting>
  <conditionalFormatting sqref="H61">
    <cfRule type="containsText" dxfId="881" priority="229" operator="containsText" text="Optional">
      <formula>NOT(ISERROR(SEARCH("Optional",H61)))</formula>
    </cfRule>
    <cfRule type="containsText" dxfId="880" priority="230" operator="containsText" text="Recommend">
      <formula>NOT(ISERROR(SEARCH("Recommend",H61)))</formula>
    </cfRule>
    <cfRule type="containsText" dxfId="879" priority="231" operator="containsText" text="Required">
      <formula>NOT(ISERROR(SEARCH("Required",H61)))</formula>
    </cfRule>
  </conditionalFormatting>
  <conditionalFormatting sqref="H69">
    <cfRule type="containsText" dxfId="878" priority="220" operator="containsText" text="Optional">
      <formula>NOT(ISERROR(SEARCH("Optional",H69)))</formula>
    </cfRule>
    <cfRule type="containsText" dxfId="877" priority="221" operator="containsText" text="Recommend">
      <formula>NOT(ISERROR(SEARCH("Recommend",H69)))</formula>
    </cfRule>
    <cfRule type="containsText" dxfId="876" priority="222" operator="containsText" text="Required">
      <formula>NOT(ISERROR(SEARCH("Required",H69)))</formula>
    </cfRule>
  </conditionalFormatting>
  <conditionalFormatting sqref="H72">
    <cfRule type="containsText" dxfId="875" priority="217" operator="containsText" text="Optional">
      <formula>NOT(ISERROR(SEARCH("Optional",H72)))</formula>
    </cfRule>
    <cfRule type="containsText" dxfId="874" priority="218" operator="containsText" text="Recommend">
      <formula>NOT(ISERROR(SEARCH("Recommend",H72)))</formula>
    </cfRule>
    <cfRule type="containsText" dxfId="873" priority="219" operator="containsText" text="Required">
      <formula>NOT(ISERROR(SEARCH("Required",H72)))</formula>
    </cfRule>
  </conditionalFormatting>
  <conditionalFormatting sqref="H73">
    <cfRule type="containsText" dxfId="872" priority="214" operator="containsText" text="Optional">
      <formula>NOT(ISERROR(SEARCH("Optional",H73)))</formula>
    </cfRule>
    <cfRule type="containsText" dxfId="871" priority="215" operator="containsText" text="Recommend">
      <formula>NOT(ISERROR(SEARCH("Recommend",H73)))</formula>
    </cfRule>
    <cfRule type="containsText" dxfId="870" priority="216" operator="containsText" text="Required">
      <formula>NOT(ISERROR(SEARCH("Required",H73)))</formula>
    </cfRule>
  </conditionalFormatting>
  <conditionalFormatting sqref="H87">
    <cfRule type="containsText" dxfId="869" priority="205" operator="containsText" text="Optional">
      <formula>NOT(ISERROR(SEARCH("Optional",H87)))</formula>
    </cfRule>
    <cfRule type="containsText" dxfId="868" priority="206" operator="containsText" text="Recommend">
      <formula>NOT(ISERROR(SEARCH("Recommend",H87)))</formula>
    </cfRule>
    <cfRule type="containsText" dxfId="867" priority="207" operator="containsText" text="Required">
      <formula>NOT(ISERROR(SEARCH("Required",H87)))</formula>
    </cfRule>
  </conditionalFormatting>
  <conditionalFormatting sqref="H100">
    <cfRule type="containsText" dxfId="866" priority="196" operator="containsText" text="Optional">
      <formula>NOT(ISERROR(SEARCH("Optional",H100)))</formula>
    </cfRule>
    <cfRule type="containsText" dxfId="865" priority="197" operator="containsText" text="Recommend">
      <formula>NOT(ISERROR(SEARCH("Recommend",H100)))</formula>
    </cfRule>
    <cfRule type="containsText" dxfId="864" priority="198" operator="containsText" text="Required">
      <formula>NOT(ISERROR(SEARCH("Required",H100)))</formula>
    </cfRule>
  </conditionalFormatting>
  <conditionalFormatting sqref="I107">
    <cfRule type="containsText" dxfId="863" priority="193" operator="containsText" text="Optional">
      <formula>NOT(ISERROR(SEARCH("Optional",I107)))</formula>
    </cfRule>
    <cfRule type="containsText" dxfId="862" priority="194" operator="containsText" text="Recommend">
      <formula>NOT(ISERROR(SEARCH("Recommend",I107)))</formula>
    </cfRule>
    <cfRule type="containsText" dxfId="861" priority="195" operator="containsText" text="Required">
      <formula>NOT(ISERROR(SEARCH("Required",I107)))</formula>
    </cfRule>
  </conditionalFormatting>
  <conditionalFormatting sqref="I104">
    <cfRule type="containsText" dxfId="860" priority="187" operator="containsText" text="Optional">
      <formula>NOT(ISERROR(SEARCH("Optional",I104)))</formula>
    </cfRule>
    <cfRule type="containsText" dxfId="859" priority="188" operator="containsText" text="Recommend">
      <formula>NOT(ISERROR(SEARCH("Recommend",I104)))</formula>
    </cfRule>
    <cfRule type="containsText" dxfId="858" priority="189" operator="containsText" text="Required">
      <formula>NOT(ISERROR(SEARCH("Required",I104)))</formula>
    </cfRule>
  </conditionalFormatting>
  <conditionalFormatting sqref="I102">
    <cfRule type="containsText" dxfId="857" priority="184" operator="containsText" text="Optional">
      <formula>NOT(ISERROR(SEARCH("Optional",I102)))</formula>
    </cfRule>
    <cfRule type="containsText" dxfId="856" priority="185" operator="containsText" text="Recommend">
      <formula>NOT(ISERROR(SEARCH("Recommend",I102)))</formula>
    </cfRule>
    <cfRule type="containsText" dxfId="855" priority="186" operator="containsText" text="Required">
      <formula>NOT(ISERROR(SEARCH("Required",I102)))</formula>
    </cfRule>
  </conditionalFormatting>
  <conditionalFormatting sqref="I100">
    <cfRule type="containsText" dxfId="854" priority="181" operator="containsText" text="Optional">
      <formula>NOT(ISERROR(SEARCH("Optional",I100)))</formula>
    </cfRule>
    <cfRule type="containsText" dxfId="853" priority="182" operator="containsText" text="Recommend">
      <formula>NOT(ISERROR(SEARCH("Recommend",I100)))</formula>
    </cfRule>
    <cfRule type="containsText" dxfId="852" priority="183" operator="containsText" text="Required">
      <formula>NOT(ISERROR(SEARCH("Required",I100)))</formula>
    </cfRule>
  </conditionalFormatting>
  <conditionalFormatting sqref="I95">
    <cfRule type="containsText" dxfId="851" priority="166" operator="containsText" text="Optional">
      <formula>NOT(ISERROR(SEARCH("Optional",I95)))</formula>
    </cfRule>
    <cfRule type="containsText" dxfId="850" priority="167" operator="containsText" text="Recommend">
      <formula>NOT(ISERROR(SEARCH("Recommend",I95)))</formula>
    </cfRule>
    <cfRule type="containsText" dxfId="849" priority="168" operator="containsText" text="Required">
      <formula>NOT(ISERROR(SEARCH("Required",I95)))</formula>
    </cfRule>
  </conditionalFormatting>
  <conditionalFormatting sqref="I84">
    <cfRule type="containsText" dxfId="848" priority="157" operator="containsText" text="Optional">
      <formula>NOT(ISERROR(SEARCH("Optional",I84)))</formula>
    </cfRule>
    <cfRule type="containsText" dxfId="847" priority="158" operator="containsText" text="Recommend">
      <formula>NOT(ISERROR(SEARCH("Recommend",I84)))</formula>
    </cfRule>
    <cfRule type="containsText" dxfId="846" priority="159" operator="containsText" text="Required">
      <formula>NOT(ISERROR(SEARCH("Required",I84)))</formula>
    </cfRule>
  </conditionalFormatting>
  <conditionalFormatting sqref="I79">
    <cfRule type="containsText" dxfId="845" priority="151" operator="containsText" text="Optional">
      <formula>NOT(ISERROR(SEARCH("Optional",I79)))</formula>
    </cfRule>
    <cfRule type="containsText" dxfId="844" priority="152" operator="containsText" text="Recommend">
      <formula>NOT(ISERROR(SEARCH("Recommend",I79)))</formula>
    </cfRule>
    <cfRule type="containsText" dxfId="843" priority="153" operator="containsText" text="Required">
      <formula>NOT(ISERROR(SEARCH("Required",I79)))</formula>
    </cfRule>
  </conditionalFormatting>
  <conditionalFormatting sqref="I72">
    <cfRule type="containsText" dxfId="842" priority="142" operator="containsText" text="Optional">
      <formula>NOT(ISERROR(SEARCH("Optional",I72)))</formula>
    </cfRule>
    <cfRule type="containsText" dxfId="841" priority="143" operator="containsText" text="Recommend">
      <formula>NOT(ISERROR(SEARCH("Recommend",I72)))</formula>
    </cfRule>
    <cfRule type="containsText" dxfId="840" priority="144" operator="containsText" text="Required">
      <formula>NOT(ISERROR(SEARCH("Required",I72)))</formula>
    </cfRule>
  </conditionalFormatting>
  <conditionalFormatting sqref="I64">
    <cfRule type="containsText" dxfId="839" priority="133" operator="containsText" text="Optional">
      <formula>NOT(ISERROR(SEARCH("Optional",I64)))</formula>
    </cfRule>
    <cfRule type="containsText" dxfId="838" priority="134" operator="containsText" text="Recommend">
      <formula>NOT(ISERROR(SEARCH("Recommend",I64)))</formula>
    </cfRule>
    <cfRule type="containsText" dxfId="837" priority="135" operator="containsText" text="Required">
      <formula>NOT(ISERROR(SEARCH("Required",I64)))</formula>
    </cfRule>
  </conditionalFormatting>
  <conditionalFormatting sqref="I60">
    <cfRule type="containsText" dxfId="836" priority="130" operator="containsText" text="Optional">
      <formula>NOT(ISERROR(SEARCH("Optional",I60)))</formula>
    </cfRule>
    <cfRule type="containsText" dxfId="835" priority="131" operator="containsText" text="Recommend">
      <formula>NOT(ISERROR(SEARCH("Recommend",I60)))</formula>
    </cfRule>
    <cfRule type="containsText" dxfId="834" priority="132" operator="containsText" text="Required">
      <formula>NOT(ISERROR(SEARCH("Required",I60)))</formula>
    </cfRule>
  </conditionalFormatting>
  <conditionalFormatting sqref="I57">
    <cfRule type="containsText" dxfId="833" priority="124" operator="containsText" text="Optional">
      <formula>NOT(ISERROR(SEARCH("Optional",I57)))</formula>
    </cfRule>
    <cfRule type="containsText" dxfId="832" priority="125" operator="containsText" text="Recommend">
      <formula>NOT(ISERROR(SEARCH("Recommend",I57)))</formula>
    </cfRule>
    <cfRule type="containsText" dxfId="831" priority="126" operator="containsText" text="Required">
      <formula>NOT(ISERROR(SEARCH("Required",I57)))</formula>
    </cfRule>
  </conditionalFormatting>
  <conditionalFormatting sqref="I55">
    <cfRule type="containsText" dxfId="830" priority="121" operator="containsText" text="Optional">
      <formula>NOT(ISERROR(SEARCH("Optional",I55)))</formula>
    </cfRule>
    <cfRule type="containsText" dxfId="829" priority="122" operator="containsText" text="Recommend">
      <formula>NOT(ISERROR(SEARCH("Recommend",I55)))</formula>
    </cfRule>
    <cfRule type="containsText" dxfId="828" priority="123" operator="containsText" text="Required">
      <formula>NOT(ISERROR(SEARCH("Required",I55)))</formula>
    </cfRule>
  </conditionalFormatting>
  <conditionalFormatting sqref="I54">
    <cfRule type="containsText" dxfId="827" priority="118" operator="containsText" text="Optional">
      <formula>NOT(ISERROR(SEARCH("Optional",I54)))</formula>
    </cfRule>
    <cfRule type="containsText" dxfId="826" priority="119" operator="containsText" text="Recommend">
      <formula>NOT(ISERROR(SEARCH("Recommend",I54)))</formula>
    </cfRule>
    <cfRule type="containsText" dxfId="825" priority="120" operator="containsText" text="Required">
      <formula>NOT(ISERROR(SEARCH("Required",I54)))</formula>
    </cfRule>
  </conditionalFormatting>
  <conditionalFormatting sqref="I52">
    <cfRule type="containsText" dxfId="824" priority="115" operator="containsText" text="Optional">
      <formula>NOT(ISERROR(SEARCH("Optional",I52)))</formula>
    </cfRule>
    <cfRule type="containsText" dxfId="823" priority="116" operator="containsText" text="Recommend">
      <formula>NOT(ISERROR(SEARCH("Recommend",I52)))</formula>
    </cfRule>
    <cfRule type="containsText" dxfId="822" priority="117" operator="containsText" text="Required">
      <formula>NOT(ISERROR(SEARCH("Required",I52)))</formula>
    </cfRule>
  </conditionalFormatting>
  <conditionalFormatting sqref="I47">
    <cfRule type="containsText" dxfId="821" priority="112" operator="containsText" text="Optional">
      <formula>NOT(ISERROR(SEARCH("Optional",I47)))</formula>
    </cfRule>
    <cfRule type="containsText" dxfId="820" priority="113" operator="containsText" text="Recommend">
      <formula>NOT(ISERROR(SEARCH("Recommend",I47)))</formula>
    </cfRule>
    <cfRule type="containsText" dxfId="819" priority="114" operator="containsText" text="Required">
      <formula>NOT(ISERROR(SEARCH("Required",I47)))</formula>
    </cfRule>
  </conditionalFormatting>
  <conditionalFormatting sqref="I40">
    <cfRule type="containsText" dxfId="818" priority="103" operator="containsText" text="Optional">
      <formula>NOT(ISERROR(SEARCH("Optional",I40)))</formula>
    </cfRule>
    <cfRule type="containsText" dxfId="817" priority="104" operator="containsText" text="Recommend">
      <formula>NOT(ISERROR(SEARCH("Recommend",I40)))</formula>
    </cfRule>
    <cfRule type="containsText" dxfId="816" priority="105" operator="containsText" text="Required">
      <formula>NOT(ISERROR(SEARCH("Required",I40)))</formula>
    </cfRule>
  </conditionalFormatting>
  <conditionalFormatting sqref="I38">
    <cfRule type="containsText" dxfId="815" priority="97" operator="containsText" text="Optional">
      <formula>NOT(ISERROR(SEARCH("Optional",I38)))</formula>
    </cfRule>
    <cfRule type="containsText" dxfId="814" priority="98" operator="containsText" text="Recommend">
      <formula>NOT(ISERROR(SEARCH("Recommend",I38)))</formula>
    </cfRule>
    <cfRule type="containsText" dxfId="813" priority="99" operator="containsText" text="Required">
      <formula>NOT(ISERROR(SEARCH("Required",I38)))</formula>
    </cfRule>
  </conditionalFormatting>
  <conditionalFormatting sqref="I36">
    <cfRule type="containsText" dxfId="812" priority="91" operator="containsText" text="Optional">
      <formula>NOT(ISERROR(SEARCH("Optional",I36)))</formula>
    </cfRule>
    <cfRule type="containsText" dxfId="811" priority="92" operator="containsText" text="Recommend">
      <formula>NOT(ISERROR(SEARCH("Recommend",I36)))</formula>
    </cfRule>
    <cfRule type="containsText" dxfId="810" priority="93" operator="containsText" text="Required">
      <formula>NOT(ISERROR(SEARCH("Required",I36)))</formula>
    </cfRule>
  </conditionalFormatting>
  <conditionalFormatting sqref="I34">
    <cfRule type="containsText" dxfId="809" priority="88" operator="containsText" text="Optional">
      <formula>NOT(ISERROR(SEARCH("Optional",I34)))</formula>
    </cfRule>
    <cfRule type="containsText" dxfId="808" priority="89" operator="containsText" text="Recommend">
      <formula>NOT(ISERROR(SEARCH("Recommend",I34)))</formula>
    </cfRule>
    <cfRule type="containsText" dxfId="807" priority="90" operator="containsText" text="Required">
      <formula>NOT(ISERROR(SEARCH("Required",I34)))</formula>
    </cfRule>
  </conditionalFormatting>
  <conditionalFormatting sqref="I33">
    <cfRule type="containsText" dxfId="806" priority="85" operator="containsText" text="Optional">
      <formula>NOT(ISERROR(SEARCH("Optional",I33)))</formula>
    </cfRule>
    <cfRule type="containsText" dxfId="805" priority="86" operator="containsText" text="Recommend">
      <formula>NOT(ISERROR(SEARCH("Recommend",I33)))</formula>
    </cfRule>
    <cfRule type="containsText" dxfId="804" priority="87" operator="containsText" text="Required">
      <formula>NOT(ISERROR(SEARCH("Required",I33)))</formula>
    </cfRule>
  </conditionalFormatting>
  <conditionalFormatting sqref="I32">
    <cfRule type="containsText" dxfId="803" priority="82" operator="containsText" text="Optional">
      <formula>NOT(ISERROR(SEARCH("Optional",I32)))</formula>
    </cfRule>
    <cfRule type="containsText" dxfId="802" priority="83" operator="containsText" text="Recommend">
      <formula>NOT(ISERROR(SEARCH("Recommend",I32)))</formula>
    </cfRule>
    <cfRule type="containsText" dxfId="801" priority="84" operator="containsText" text="Required">
      <formula>NOT(ISERROR(SEARCH("Required",I32)))</formula>
    </cfRule>
  </conditionalFormatting>
  <conditionalFormatting sqref="I29">
    <cfRule type="containsText" dxfId="800" priority="76" operator="containsText" text="Optional">
      <formula>NOT(ISERROR(SEARCH("Optional",I29)))</formula>
    </cfRule>
    <cfRule type="containsText" dxfId="799" priority="77" operator="containsText" text="Recommend">
      <formula>NOT(ISERROR(SEARCH("Recommend",I29)))</formula>
    </cfRule>
    <cfRule type="containsText" dxfId="798" priority="78" operator="containsText" text="Required">
      <formula>NOT(ISERROR(SEARCH("Required",I29)))</formula>
    </cfRule>
  </conditionalFormatting>
  <conditionalFormatting sqref="I27">
    <cfRule type="containsText" dxfId="797" priority="70" operator="containsText" text="Optional">
      <formula>NOT(ISERROR(SEARCH("Optional",I27)))</formula>
    </cfRule>
    <cfRule type="containsText" dxfId="796" priority="71" operator="containsText" text="Recommend">
      <formula>NOT(ISERROR(SEARCH("Recommend",I27)))</formula>
    </cfRule>
    <cfRule type="containsText" dxfId="795" priority="72" operator="containsText" text="Required">
      <formula>NOT(ISERROR(SEARCH("Required",I27)))</formula>
    </cfRule>
  </conditionalFormatting>
  <conditionalFormatting sqref="I25">
    <cfRule type="containsText" dxfId="794" priority="67" operator="containsText" text="Optional">
      <formula>NOT(ISERROR(SEARCH("Optional",I25)))</formula>
    </cfRule>
    <cfRule type="containsText" dxfId="793" priority="68" operator="containsText" text="Recommend">
      <formula>NOT(ISERROR(SEARCH("Recommend",I25)))</formula>
    </cfRule>
    <cfRule type="containsText" dxfId="792" priority="69" operator="containsText" text="Required">
      <formula>NOT(ISERROR(SEARCH("Required",I25)))</formula>
    </cfRule>
  </conditionalFormatting>
  <conditionalFormatting sqref="I23">
    <cfRule type="containsText" dxfId="791" priority="61" operator="containsText" text="Optional">
      <formula>NOT(ISERROR(SEARCH("Optional",I23)))</formula>
    </cfRule>
    <cfRule type="containsText" dxfId="790" priority="62" operator="containsText" text="Recommend">
      <formula>NOT(ISERROR(SEARCH("Recommend",I23)))</formula>
    </cfRule>
    <cfRule type="containsText" dxfId="789" priority="63" operator="containsText" text="Required">
      <formula>NOT(ISERROR(SEARCH("Required",I23)))</formula>
    </cfRule>
  </conditionalFormatting>
  <conditionalFormatting sqref="I22">
    <cfRule type="containsText" dxfId="788" priority="58" operator="containsText" text="Optional">
      <formula>NOT(ISERROR(SEARCH("Optional",I22)))</formula>
    </cfRule>
    <cfRule type="containsText" dxfId="787" priority="59" operator="containsText" text="Recommend">
      <formula>NOT(ISERROR(SEARCH("Recommend",I22)))</formula>
    </cfRule>
    <cfRule type="containsText" dxfId="786" priority="60" operator="containsText" text="Required">
      <formula>NOT(ISERROR(SEARCH("Required",I22)))</formula>
    </cfRule>
  </conditionalFormatting>
  <conditionalFormatting sqref="I21">
    <cfRule type="containsText" dxfId="785" priority="55" operator="containsText" text="Optional">
      <formula>NOT(ISERROR(SEARCH("Optional",I21)))</formula>
    </cfRule>
    <cfRule type="containsText" dxfId="784" priority="56" operator="containsText" text="Recommend">
      <formula>NOT(ISERROR(SEARCH("Recommend",I21)))</formula>
    </cfRule>
    <cfRule type="containsText" dxfId="783" priority="57" operator="containsText" text="Required">
      <formula>NOT(ISERROR(SEARCH("Required",I21)))</formula>
    </cfRule>
  </conditionalFormatting>
  <conditionalFormatting sqref="I20">
    <cfRule type="containsText" dxfId="782" priority="52" operator="containsText" text="Optional">
      <formula>NOT(ISERROR(SEARCH("Optional",I20)))</formula>
    </cfRule>
    <cfRule type="containsText" dxfId="781" priority="53" operator="containsText" text="Recommend">
      <formula>NOT(ISERROR(SEARCH("Recommend",I20)))</formula>
    </cfRule>
    <cfRule type="containsText" dxfId="780" priority="54" operator="containsText" text="Required">
      <formula>NOT(ISERROR(SEARCH("Required",I20)))</formula>
    </cfRule>
  </conditionalFormatting>
  <conditionalFormatting sqref="I15">
    <cfRule type="containsText" dxfId="779" priority="49" operator="containsText" text="Optional">
      <formula>NOT(ISERROR(SEARCH("Optional",I15)))</formula>
    </cfRule>
    <cfRule type="containsText" dxfId="778" priority="50" operator="containsText" text="Recommend">
      <formula>NOT(ISERROR(SEARCH("Recommend",I15)))</formula>
    </cfRule>
    <cfRule type="containsText" dxfId="777" priority="51" operator="containsText" text="Required">
      <formula>NOT(ISERROR(SEARCH("Required",I15)))</formula>
    </cfRule>
  </conditionalFormatting>
  <conditionalFormatting sqref="I14">
    <cfRule type="containsText" dxfId="776" priority="46" operator="containsText" text="Optional">
      <formula>NOT(ISERROR(SEARCH("Optional",I14)))</formula>
    </cfRule>
    <cfRule type="containsText" dxfId="775" priority="47" operator="containsText" text="Recommend">
      <formula>NOT(ISERROR(SEARCH("Recommend",I14)))</formula>
    </cfRule>
    <cfRule type="containsText" dxfId="774" priority="48" operator="containsText" text="Required">
      <formula>NOT(ISERROR(SEARCH("Required",I14)))</formula>
    </cfRule>
  </conditionalFormatting>
  <conditionalFormatting sqref="I13">
    <cfRule type="containsText" dxfId="773" priority="43" operator="containsText" text="Optional">
      <formula>NOT(ISERROR(SEARCH("Optional",I13)))</formula>
    </cfRule>
    <cfRule type="containsText" dxfId="772" priority="44" operator="containsText" text="Recommend">
      <formula>NOT(ISERROR(SEARCH("Recommend",I13)))</formula>
    </cfRule>
    <cfRule type="containsText" dxfId="771" priority="45" operator="containsText" text="Required">
      <formula>NOT(ISERROR(SEARCH("Required",I13)))</formula>
    </cfRule>
  </conditionalFormatting>
  <conditionalFormatting sqref="I12">
    <cfRule type="containsText" dxfId="770" priority="40" operator="containsText" text="Optional">
      <formula>NOT(ISERROR(SEARCH("Optional",I12)))</formula>
    </cfRule>
    <cfRule type="containsText" dxfId="769" priority="41" operator="containsText" text="Recommend">
      <formula>NOT(ISERROR(SEARCH("Recommend",I12)))</formula>
    </cfRule>
    <cfRule type="containsText" dxfId="768" priority="42" operator="containsText" text="Required">
      <formula>NOT(ISERROR(SEARCH("Required",I12)))</formula>
    </cfRule>
  </conditionalFormatting>
  <conditionalFormatting sqref="I9">
    <cfRule type="containsText" dxfId="767" priority="37" operator="containsText" text="Optional">
      <formula>NOT(ISERROR(SEARCH("Optional",I9)))</formula>
    </cfRule>
    <cfRule type="containsText" dxfId="766" priority="38" operator="containsText" text="Recommend">
      <formula>NOT(ISERROR(SEARCH("Recommend",I9)))</formula>
    </cfRule>
    <cfRule type="containsText" dxfId="765" priority="39" operator="containsText" text="Required">
      <formula>NOT(ISERROR(SEARCH("Required",I9)))</formula>
    </cfRule>
  </conditionalFormatting>
  <conditionalFormatting sqref="I6">
    <cfRule type="containsText" dxfId="764" priority="34" operator="containsText" text="Optional">
      <formula>NOT(ISERROR(SEARCH("Optional",I6)))</formula>
    </cfRule>
    <cfRule type="containsText" dxfId="763" priority="35" operator="containsText" text="Recommend">
      <formula>NOT(ISERROR(SEARCH("Recommend",I6)))</formula>
    </cfRule>
    <cfRule type="containsText" dxfId="762" priority="36" operator="containsText" text="Required">
      <formula>NOT(ISERROR(SEARCH("Required",I6)))</formula>
    </cfRule>
  </conditionalFormatting>
  <conditionalFormatting sqref="I5">
    <cfRule type="containsText" dxfId="761" priority="31" operator="containsText" text="Optional">
      <formula>NOT(ISERROR(SEARCH("Optional",I5)))</formula>
    </cfRule>
    <cfRule type="containsText" dxfId="760" priority="32" operator="containsText" text="Recommend">
      <formula>NOT(ISERROR(SEARCH("Recommend",I5)))</formula>
    </cfRule>
    <cfRule type="containsText" dxfId="759" priority="33" operator="containsText" text="Required">
      <formula>NOT(ISERROR(SEARCH("Required",I5)))</formula>
    </cfRule>
  </conditionalFormatting>
  <conditionalFormatting sqref="I4">
    <cfRule type="containsText" dxfId="758" priority="28" operator="containsText" text="Optional">
      <formula>NOT(ISERROR(SEARCH("Optional",I4)))</formula>
    </cfRule>
    <cfRule type="containsText" dxfId="757" priority="29" operator="containsText" text="Recommend">
      <formula>NOT(ISERROR(SEARCH("Recommend",I4)))</formula>
    </cfRule>
    <cfRule type="containsText" dxfId="756" priority="30" operator="containsText" text="Required">
      <formula>NOT(ISERROR(SEARCH("Required",I4)))</formula>
    </cfRule>
  </conditionalFormatting>
  <conditionalFormatting sqref="I61">
    <cfRule type="containsText" dxfId="755" priority="22" operator="containsText" text="Optional">
      <formula>NOT(ISERROR(SEARCH("Optional",I61)))</formula>
    </cfRule>
    <cfRule type="containsText" dxfId="754" priority="23" operator="containsText" text="Recommend">
      <formula>NOT(ISERROR(SEARCH("Recommend",I61)))</formula>
    </cfRule>
    <cfRule type="containsText" dxfId="753" priority="24" operator="containsText" text="Required">
      <formula>NOT(ISERROR(SEARCH("Required",I61)))</formula>
    </cfRule>
  </conditionalFormatting>
  <conditionalFormatting sqref="I62">
    <cfRule type="containsText" dxfId="752" priority="19" operator="containsText" text="Optional">
      <formula>NOT(ISERROR(SEARCH("Optional",I62)))</formula>
    </cfRule>
    <cfRule type="containsText" dxfId="751" priority="20" operator="containsText" text="Recommend">
      <formula>NOT(ISERROR(SEARCH("Recommend",I62)))</formula>
    </cfRule>
    <cfRule type="containsText" dxfId="750" priority="21" operator="containsText" text="Required">
      <formula>NOT(ISERROR(SEARCH("Required",I62)))</formula>
    </cfRule>
  </conditionalFormatting>
  <conditionalFormatting sqref="I65">
    <cfRule type="containsText" dxfId="749" priority="16" operator="containsText" text="Optional">
      <formula>NOT(ISERROR(SEARCH("Optional",I65)))</formula>
    </cfRule>
    <cfRule type="containsText" dxfId="748" priority="17" operator="containsText" text="Recommend">
      <formula>NOT(ISERROR(SEARCH("Recommend",I65)))</formula>
    </cfRule>
    <cfRule type="containsText" dxfId="747" priority="18" operator="containsText" text="Required">
      <formula>NOT(ISERROR(SEARCH("Required",I65)))</formula>
    </cfRule>
  </conditionalFormatting>
  <conditionalFormatting sqref="I69">
    <cfRule type="containsText" dxfId="746" priority="13" operator="containsText" text="Optional">
      <formula>NOT(ISERROR(SEARCH("Optional",I69)))</formula>
    </cfRule>
    <cfRule type="containsText" dxfId="745" priority="14" operator="containsText" text="Recommend">
      <formula>NOT(ISERROR(SEARCH("Recommend",I69)))</formula>
    </cfRule>
    <cfRule type="containsText" dxfId="744" priority="15" operator="containsText" text="Required">
      <formula>NOT(ISERROR(SEARCH("Required",I69)))</formula>
    </cfRule>
  </conditionalFormatting>
  <conditionalFormatting sqref="I73">
    <cfRule type="containsText" dxfId="743" priority="10" operator="containsText" text="Optional">
      <formula>NOT(ISERROR(SEARCH("Optional",I73)))</formula>
    </cfRule>
    <cfRule type="containsText" dxfId="742" priority="11" operator="containsText" text="Recommend">
      <formula>NOT(ISERROR(SEARCH("Recommend",I73)))</formula>
    </cfRule>
    <cfRule type="containsText" dxfId="741" priority="12" operator="containsText" text="Required">
      <formula>NOT(ISERROR(SEARCH("Required",I73)))</formula>
    </cfRule>
  </conditionalFormatting>
  <conditionalFormatting sqref="I76">
    <cfRule type="containsText" dxfId="740" priority="7" operator="containsText" text="Optional">
      <formula>NOT(ISERROR(SEARCH("Optional",I76)))</formula>
    </cfRule>
    <cfRule type="containsText" dxfId="739" priority="8" operator="containsText" text="Recommend">
      <formula>NOT(ISERROR(SEARCH("Recommend",I76)))</formula>
    </cfRule>
    <cfRule type="containsText" dxfId="738" priority="9" operator="containsText" text="Required">
      <formula>NOT(ISERROR(SEARCH("Required",I76)))</formula>
    </cfRule>
  </conditionalFormatting>
  <conditionalFormatting sqref="I80">
    <cfRule type="containsText" dxfId="737" priority="4" operator="containsText" text="Optional">
      <formula>NOT(ISERROR(SEARCH("Optional",I80)))</formula>
    </cfRule>
    <cfRule type="containsText" dxfId="736" priority="5" operator="containsText" text="Recommend">
      <formula>NOT(ISERROR(SEARCH("Recommend",I80)))</formula>
    </cfRule>
    <cfRule type="containsText" dxfId="735" priority="6" operator="containsText" text="Required">
      <formula>NOT(ISERROR(SEARCH("Required",I80)))</formula>
    </cfRule>
  </conditionalFormatting>
  <conditionalFormatting sqref="I87">
    <cfRule type="containsText" dxfId="734" priority="1" operator="containsText" text="Optional">
      <formula>NOT(ISERROR(SEARCH("Optional",I87)))</formula>
    </cfRule>
    <cfRule type="containsText" dxfId="733" priority="2" operator="containsText" text="Recommend">
      <formula>NOT(ISERROR(SEARCH("Recommend",I87)))</formula>
    </cfRule>
    <cfRule type="containsText" dxfId="73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23" t="s">
        <v>2089</v>
      </c>
      <c r="B1" s="623"/>
      <c r="C1" s="623"/>
      <c r="D1" s="623"/>
      <c r="E1" s="623"/>
      <c r="F1" s="623"/>
      <c r="G1" s="623"/>
      <c r="H1" s="623"/>
      <c r="I1" s="623"/>
      <c r="J1" s="623"/>
      <c r="K1" s="623"/>
      <c r="L1" s="623"/>
      <c r="M1" s="623"/>
      <c r="N1" s="623"/>
      <c r="O1" s="623"/>
      <c r="P1" s="623"/>
      <c r="Q1" s="623"/>
      <c r="R1" s="623"/>
      <c r="S1" s="623"/>
      <c r="T1" s="623"/>
      <c r="U1" s="623"/>
      <c r="V1" s="623"/>
      <c r="W1" s="623"/>
      <c r="X1" s="623"/>
      <c r="Y1" s="623"/>
      <c r="Z1" s="623"/>
      <c r="AA1" s="623"/>
      <c r="AB1" s="623"/>
      <c r="AC1" s="623"/>
      <c r="AD1" s="623"/>
      <c r="AE1" s="623"/>
      <c r="AF1" s="623"/>
    </row>
    <row r="2" spans="1:32">
      <c r="A2" s="756"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757"/>
      <c r="B3" s="624" t="s">
        <v>1981</v>
      </c>
      <c r="C3" s="624"/>
      <c r="D3" s="624"/>
      <c r="E3" s="624"/>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757"/>
      <c r="B4" s="624"/>
      <c r="C4" s="624"/>
      <c r="D4" s="624"/>
      <c r="E4" s="624"/>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757"/>
      <c r="B5" s="624"/>
      <c r="C5" s="624"/>
      <c r="D5" s="624"/>
      <c r="E5" s="624"/>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757"/>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757"/>
      <c r="B7" s="125"/>
      <c r="C7" s="626"/>
      <c r="D7" s="626"/>
      <c r="E7" s="626"/>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757"/>
      <c r="B8" s="759" t="s">
        <v>1992</v>
      </c>
      <c r="C8" s="630"/>
      <c r="D8" s="88" t="s">
        <v>1492</v>
      </c>
      <c r="E8" s="86" t="s">
        <v>1537</v>
      </c>
      <c r="F8" s="125"/>
      <c r="G8" s="624" t="s">
        <v>1985</v>
      </c>
      <c r="H8" s="624"/>
      <c r="I8" s="624"/>
      <c r="J8" s="624"/>
      <c r="K8" s="624"/>
      <c r="L8" s="624"/>
      <c r="M8" s="624"/>
      <c r="N8" s="125"/>
      <c r="O8" s="125"/>
      <c r="P8" s="722" t="s">
        <v>1995</v>
      </c>
      <c r="Q8" s="723"/>
      <c r="R8" s="723"/>
      <c r="S8" s="723"/>
      <c r="T8" s="723"/>
      <c r="U8" s="723"/>
      <c r="V8" s="724"/>
      <c r="W8" s="125"/>
      <c r="X8" s="125"/>
      <c r="Y8" s="125"/>
      <c r="Z8" s="125"/>
      <c r="AA8" s="125"/>
      <c r="AB8" s="125"/>
      <c r="AC8" s="125"/>
      <c r="AD8" s="125"/>
      <c r="AE8" s="125"/>
      <c r="AF8" s="207"/>
    </row>
    <row r="9" spans="1:32" ht="16" customHeight="1">
      <c r="A9" s="757"/>
      <c r="B9" s="759"/>
      <c r="C9" s="631"/>
      <c r="D9" s="89" t="s">
        <v>1501</v>
      </c>
      <c r="E9" s="347">
        <v>0</v>
      </c>
      <c r="F9" s="125"/>
      <c r="G9" s="624"/>
      <c r="H9" s="624"/>
      <c r="I9" s="624"/>
      <c r="J9" s="624"/>
      <c r="K9" s="624"/>
      <c r="L9" s="624"/>
      <c r="M9" s="624"/>
      <c r="N9" s="125"/>
      <c r="O9" s="125"/>
      <c r="P9" s="725"/>
      <c r="Q9" s="726"/>
      <c r="R9" s="726"/>
      <c r="S9" s="726"/>
      <c r="T9" s="726"/>
      <c r="U9" s="726"/>
      <c r="V9" s="727"/>
      <c r="W9" s="125"/>
      <c r="X9" s="125"/>
      <c r="Y9" s="125"/>
      <c r="Z9" s="125"/>
      <c r="AA9" s="125"/>
      <c r="AB9" s="125"/>
      <c r="AC9" s="125"/>
      <c r="AD9" s="125"/>
      <c r="AE9" s="125"/>
      <c r="AF9" s="207"/>
    </row>
    <row r="10" spans="1:32" ht="16" customHeight="1">
      <c r="A10" s="757"/>
      <c r="B10" s="759"/>
      <c r="C10" s="631"/>
      <c r="D10" s="89" t="s">
        <v>1496</v>
      </c>
      <c r="E10" s="347">
        <v>1</v>
      </c>
      <c r="F10" s="125"/>
      <c r="G10" s="624"/>
      <c r="H10" s="624"/>
      <c r="I10" s="624"/>
      <c r="J10" s="624"/>
      <c r="K10" s="624"/>
      <c r="L10" s="624"/>
      <c r="M10" s="624"/>
      <c r="N10" s="125"/>
      <c r="O10" s="125"/>
      <c r="P10" s="725"/>
      <c r="Q10" s="726"/>
      <c r="R10" s="726"/>
      <c r="S10" s="726"/>
      <c r="T10" s="726"/>
      <c r="U10" s="726"/>
      <c r="V10" s="727"/>
      <c r="W10" s="125"/>
      <c r="X10" s="125"/>
      <c r="Y10" s="125"/>
      <c r="Z10" s="125"/>
      <c r="AA10" s="125"/>
      <c r="AB10" s="125"/>
      <c r="AC10" s="125"/>
      <c r="AD10" s="125"/>
      <c r="AE10" s="125"/>
      <c r="AF10" s="207"/>
    </row>
    <row r="11" spans="1:32" ht="16" customHeight="1">
      <c r="A11" s="757"/>
      <c r="B11" s="759"/>
      <c r="C11" s="631"/>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757"/>
      <c r="B12" s="759"/>
      <c r="C12" s="631"/>
      <c r="D12" s="89" t="s">
        <v>1575</v>
      </c>
      <c r="E12" s="347">
        <v>3</v>
      </c>
      <c r="F12" s="125"/>
      <c r="G12" s="626" t="s">
        <v>1509</v>
      </c>
      <c r="H12" s="626"/>
      <c r="I12" s="626"/>
      <c r="J12" s="626"/>
      <c r="K12" s="626"/>
      <c r="L12" s="626"/>
      <c r="M12" s="626"/>
      <c r="N12" s="125"/>
      <c r="O12" s="125"/>
      <c r="P12" s="650" t="s">
        <v>1925</v>
      </c>
      <c r="Q12" s="626"/>
      <c r="R12" s="626"/>
      <c r="S12" s="626"/>
      <c r="T12" s="626"/>
      <c r="U12" s="626"/>
      <c r="V12" s="651"/>
      <c r="W12" s="125"/>
      <c r="X12" s="125"/>
      <c r="Y12" s="125"/>
      <c r="Z12" s="125"/>
      <c r="AA12" s="125"/>
      <c r="AB12" s="125"/>
      <c r="AC12" s="125"/>
      <c r="AD12" s="125"/>
      <c r="AE12" s="125"/>
      <c r="AF12" s="207"/>
    </row>
    <row r="13" spans="1:32" ht="17" thickBot="1">
      <c r="A13" s="757"/>
      <c r="B13" s="759"/>
      <c r="C13" s="631"/>
      <c r="D13" s="90" t="s">
        <v>1574</v>
      </c>
      <c r="E13" s="348">
        <v>4</v>
      </c>
      <c r="F13" s="125"/>
      <c r="G13" s="643"/>
      <c r="H13" s="644"/>
      <c r="I13" s="637" t="s">
        <v>1508</v>
      </c>
      <c r="J13" s="638"/>
      <c r="K13" s="638"/>
      <c r="L13" s="638"/>
      <c r="M13" s="639"/>
      <c r="N13" s="125"/>
      <c r="O13" s="125"/>
      <c r="P13" s="661" t="s">
        <v>1554</v>
      </c>
      <c r="Q13" s="662"/>
      <c r="R13" s="152" t="s">
        <v>1555</v>
      </c>
      <c r="S13" s="653" t="s">
        <v>1556</v>
      </c>
      <c r="T13" s="653"/>
      <c r="U13" s="653" t="s">
        <v>1914</v>
      </c>
      <c r="V13" s="660"/>
      <c r="W13" s="210"/>
      <c r="X13" s="125"/>
      <c r="Y13" s="125"/>
      <c r="Z13" s="125"/>
      <c r="AA13" s="125"/>
      <c r="AB13" s="125"/>
      <c r="AC13" s="125"/>
      <c r="AD13" s="125"/>
      <c r="AE13" s="125"/>
      <c r="AF13" s="207"/>
    </row>
    <row r="14" spans="1:32">
      <c r="A14" s="757"/>
      <c r="B14" s="759"/>
      <c r="C14" s="631"/>
      <c r="D14" s="627"/>
      <c r="E14" s="627"/>
      <c r="F14" s="125"/>
      <c r="G14" s="645"/>
      <c r="H14" s="646"/>
      <c r="I14" s="192" t="s">
        <v>1543</v>
      </c>
      <c r="J14" s="95" t="s">
        <v>1500</v>
      </c>
      <c r="K14" s="95" t="s">
        <v>1499</v>
      </c>
      <c r="L14" s="95" t="s">
        <v>1498</v>
      </c>
      <c r="M14" s="193" t="s">
        <v>1497</v>
      </c>
      <c r="N14" s="125"/>
      <c r="O14" s="125"/>
      <c r="P14" s="663" t="str">
        <f>CONCATENATE(LEFT('VENDOR QUESTIONNAIRE'!F28,2),"-",LEFT('VENDOR QUESTIONNAIRE'!J28,2))</f>
        <v>-</v>
      </c>
      <c r="Q14" s="664"/>
      <c r="R14" s="187">
        <f>VLOOKUP(P14,'Risk Calc'!J80:K96,2,FALSE)</f>
        <v>0</v>
      </c>
      <c r="S14" s="654">
        <f>_xlfn.AGGREGATE(4,6,R14:R18)</f>
        <v>0</v>
      </c>
      <c r="T14" s="654"/>
      <c r="U14" s="656" t="str">
        <f>IF(AND(S14&gt;0,S14&lt;='Risk Calc'!J22),"Low",IF(AND(S14&gt;='Risk Calc'!J23,S14&lt;='Risk Calc'!J24),"Medium",IF(S14&gt;='Risk Calc'!J25,"High","Unknown")))</f>
        <v>Unknown</v>
      </c>
      <c r="V14" s="657"/>
      <c r="W14" s="210"/>
      <c r="X14" s="125"/>
      <c r="Y14" s="125"/>
      <c r="Z14" s="125"/>
      <c r="AA14" s="125"/>
      <c r="AB14" s="125"/>
      <c r="AC14" s="125"/>
      <c r="AD14" s="125"/>
      <c r="AE14" s="125"/>
      <c r="AF14" s="207"/>
    </row>
    <row r="15" spans="1:32" ht="16" customHeight="1">
      <c r="A15" s="757"/>
      <c r="B15" s="759"/>
      <c r="C15" s="631"/>
      <c r="D15" s="628"/>
      <c r="E15" s="628"/>
      <c r="F15" s="125"/>
      <c r="G15" s="640" t="s">
        <v>1492</v>
      </c>
      <c r="H15" s="189" t="s">
        <v>1543</v>
      </c>
      <c r="I15" s="81">
        <f>SUM(E9)</f>
        <v>0</v>
      </c>
      <c r="J15" s="81">
        <f>SUM(E19)</f>
        <v>1</v>
      </c>
      <c r="K15" s="81">
        <f>SUM(E20)</f>
        <v>2</v>
      </c>
      <c r="L15" s="81">
        <f>SUM(E21)</f>
        <v>3</v>
      </c>
      <c r="M15" s="83">
        <f>SUM(E22)</f>
        <v>4</v>
      </c>
      <c r="N15" s="125"/>
      <c r="O15" s="125"/>
      <c r="P15" s="663" t="str">
        <f>CONCATENATE(LEFT('VENDOR QUESTIONNAIRE'!F29,2),"-",LEFT('VENDOR QUESTIONNAIRE'!J29,2))</f>
        <v>-</v>
      </c>
      <c r="Q15" s="664"/>
      <c r="R15" s="187" t="e">
        <f>VLOOKUP(P15,'Risk Calc'!J81:K97,2,FALSE)</f>
        <v>#N/A</v>
      </c>
      <c r="S15" s="654"/>
      <c r="T15" s="654"/>
      <c r="U15" s="656"/>
      <c r="V15" s="657"/>
      <c r="W15" s="210"/>
      <c r="X15" s="125"/>
      <c r="Y15" s="125"/>
      <c r="Z15" s="125"/>
      <c r="AA15" s="125"/>
      <c r="AB15" s="125"/>
      <c r="AC15" s="125"/>
      <c r="AD15" s="125"/>
      <c r="AE15" s="125"/>
      <c r="AF15" s="207"/>
    </row>
    <row r="16" spans="1:32" ht="17" thickBot="1">
      <c r="A16" s="757"/>
      <c r="B16" s="759"/>
      <c r="C16" s="631"/>
      <c r="D16" s="629"/>
      <c r="E16" s="629"/>
      <c r="F16" s="125"/>
      <c r="G16" s="641"/>
      <c r="H16" s="190" t="s">
        <v>1496</v>
      </c>
      <c r="I16" s="81">
        <f>SUM(E10)</f>
        <v>1</v>
      </c>
      <c r="J16" s="109">
        <f>SUM(J15*I16)</f>
        <v>1</v>
      </c>
      <c r="K16" s="109">
        <f t="shared" ref="K16" si="0">SUM(K15*J16)</f>
        <v>2</v>
      </c>
      <c r="L16" s="109">
        <f>SUM(L15*I16)</f>
        <v>3</v>
      </c>
      <c r="M16" s="110">
        <f>SUM(M15*I16)</f>
        <v>4</v>
      </c>
      <c r="N16" s="125"/>
      <c r="O16" s="125"/>
      <c r="P16" s="663" t="str">
        <f>CONCATENATE(LEFT('VENDOR QUESTIONNAIRE'!F30,2),"-",LEFT('VENDOR QUESTIONNAIRE'!J30,2))</f>
        <v>-</v>
      </c>
      <c r="Q16" s="664"/>
      <c r="R16" s="187" t="e">
        <f>VLOOKUP(P16,'Risk Calc'!J82:K98,2,FALSE)</f>
        <v>#N/A</v>
      </c>
      <c r="S16" s="654"/>
      <c r="T16" s="654"/>
      <c r="U16" s="656"/>
      <c r="V16" s="657"/>
      <c r="W16" s="125"/>
      <c r="X16" s="125"/>
      <c r="Y16" s="125"/>
      <c r="Z16" s="125"/>
      <c r="AA16" s="125"/>
      <c r="AB16" s="125"/>
      <c r="AC16" s="125"/>
      <c r="AD16" s="125"/>
      <c r="AE16" s="125"/>
      <c r="AF16" s="207"/>
    </row>
    <row r="17" spans="1:37">
      <c r="A17" s="757"/>
      <c r="B17" s="759"/>
      <c r="C17" s="631"/>
      <c r="D17" s="88" t="s">
        <v>1510</v>
      </c>
      <c r="E17" s="86" t="s">
        <v>1537</v>
      </c>
      <c r="F17" s="125"/>
      <c r="G17" s="641"/>
      <c r="H17" s="190" t="s">
        <v>1576</v>
      </c>
      <c r="I17" s="81">
        <f>SUM(E11)</f>
        <v>2</v>
      </c>
      <c r="J17" s="109">
        <f>SUM(J15*I17)</f>
        <v>2</v>
      </c>
      <c r="K17" s="109">
        <f>SUM(K15*I17)</f>
        <v>4</v>
      </c>
      <c r="L17" s="109">
        <f>SUM(L15*I17)</f>
        <v>6</v>
      </c>
      <c r="M17" s="110">
        <f>SUM(M15*I17)</f>
        <v>8</v>
      </c>
      <c r="N17" s="125"/>
      <c r="O17" s="125"/>
      <c r="P17" s="663" t="str">
        <f>CONCATENATE(LEFT('VENDOR QUESTIONNAIRE'!F31,2),"-",LEFT('VENDOR QUESTIONNAIRE'!J31,2))</f>
        <v>-</v>
      </c>
      <c r="Q17" s="664"/>
      <c r="R17" s="187" t="e">
        <f>VLOOKUP(P17,'Risk Calc'!J83:K99,2,FALSE)</f>
        <v>#N/A</v>
      </c>
      <c r="S17" s="654"/>
      <c r="T17" s="654"/>
      <c r="U17" s="656"/>
      <c r="V17" s="657"/>
      <c r="W17" s="210"/>
      <c r="X17" s="125"/>
      <c r="Y17" s="125"/>
      <c r="Z17" s="125"/>
      <c r="AA17" s="125"/>
      <c r="AB17" s="125"/>
      <c r="AC17" s="125"/>
      <c r="AD17" s="125"/>
      <c r="AE17" s="125"/>
      <c r="AF17" s="207"/>
    </row>
    <row r="18" spans="1:37" ht="17" thickBot="1">
      <c r="A18" s="757"/>
      <c r="B18" s="759"/>
      <c r="C18" s="631"/>
      <c r="D18" s="89" t="s">
        <v>1501</v>
      </c>
      <c r="E18" s="347">
        <v>0</v>
      </c>
      <c r="F18" s="125"/>
      <c r="G18" s="641"/>
      <c r="H18" s="190" t="s">
        <v>1575</v>
      </c>
      <c r="I18" s="81">
        <f>SUM(E12)</f>
        <v>3</v>
      </c>
      <c r="J18" s="109">
        <f>SUM(J15*I18)</f>
        <v>3</v>
      </c>
      <c r="K18" s="109">
        <f>SUM(K15*I18)</f>
        <v>6</v>
      </c>
      <c r="L18" s="109">
        <f>SUM(L15*I18)</f>
        <v>9</v>
      </c>
      <c r="M18" s="110">
        <f>SUM(M15*I18)</f>
        <v>12</v>
      </c>
      <c r="N18" s="125"/>
      <c r="O18" s="125"/>
      <c r="P18" s="692" t="str">
        <f>CONCATENATE(LEFT('VENDOR QUESTIONNAIRE'!F32,2),"-",LEFT('VENDOR QUESTIONNAIRE'!J32,2))</f>
        <v>-</v>
      </c>
      <c r="Q18" s="693"/>
      <c r="R18" s="226" t="e">
        <f>VLOOKUP(P18,'Risk Calc'!J84:K100,2,FALSE)</f>
        <v>#N/A</v>
      </c>
      <c r="S18" s="655"/>
      <c r="T18" s="655"/>
      <c r="U18" s="658"/>
      <c r="V18" s="659"/>
      <c r="W18" s="210"/>
      <c r="X18" s="125"/>
      <c r="Y18" s="125"/>
      <c r="Z18" s="125"/>
      <c r="AA18" s="125"/>
      <c r="AB18" s="125"/>
      <c r="AC18" s="125"/>
      <c r="AD18" s="125"/>
      <c r="AE18" s="125"/>
      <c r="AF18" s="207"/>
    </row>
    <row r="19" spans="1:37" ht="18" thickTop="1" thickBot="1">
      <c r="A19" s="757"/>
      <c r="B19" s="759"/>
      <c r="C19" s="631"/>
      <c r="D19" s="89" t="s">
        <v>1500</v>
      </c>
      <c r="E19" s="347">
        <v>1</v>
      </c>
      <c r="F19" s="125"/>
      <c r="G19" s="642"/>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757"/>
      <c r="B20" s="759"/>
      <c r="C20" s="631"/>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757"/>
      <c r="B21" s="759"/>
      <c r="C21" s="631"/>
      <c r="D21" s="89" t="s">
        <v>1498</v>
      </c>
      <c r="E21" s="347">
        <v>3</v>
      </c>
      <c r="F21" s="125"/>
      <c r="G21" s="125"/>
      <c r="H21" s="649" t="s">
        <v>1977</v>
      </c>
      <c r="I21" s="635"/>
      <c r="J21" s="636"/>
      <c r="K21" s="754" t="s">
        <v>1988</v>
      </c>
      <c r="L21" s="755"/>
      <c r="M21" s="755"/>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757"/>
      <c r="B22" s="759"/>
      <c r="C22" s="632"/>
      <c r="D22" s="90" t="s">
        <v>1497</v>
      </c>
      <c r="E22" s="348">
        <v>4</v>
      </c>
      <c r="F22" s="125"/>
      <c r="G22" s="125"/>
      <c r="H22" s="108" t="s">
        <v>1910</v>
      </c>
      <c r="I22" s="105" t="s">
        <v>1534</v>
      </c>
      <c r="J22" s="349">
        <v>3</v>
      </c>
      <c r="K22" s="754"/>
      <c r="L22" s="755"/>
      <c r="M22" s="755"/>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757"/>
      <c r="B23" s="125"/>
      <c r="C23" s="125"/>
      <c r="D23" s="125"/>
      <c r="E23" s="166"/>
      <c r="F23" s="125"/>
      <c r="G23" s="125"/>
      <c r="H23" s="647" t="s">
        <v>1921</v>
      </c>
      <c r="I23" s="106" t="s">
        <v>1535</v>
      </c>
      <c r="J23" s="350">
        <v>4</v>
      </c>
      <c r="K23" s="754"/>
      <c r="L23" s="755"/>
      <c r="M23" s="755"/>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757"/>
      <c r="B24" s="125"/>
      <c r="C24" s="125"/>
      <c r="D24" s="212" t="s">
        <v>1982</v>
      </c>
      <c r="E24" s="166"/>
      <c r="F24" s="125"/>
      <c r="G24" s="125"/>
      <c r="H24" s="648"/>
      <c r="I24" s="107" t="s">
        <v>1534</v>
      </c>
      <c r="J24" s="351">
        <v>7</v>
      </c>
      <c r="K24" s="754"/>
      <c r="L24" s="755"/>
      <c r="M24" s="755"/>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757"/>
      <c r="B25" s="125"/>
      <c r="C25" s="125"/>
      <c r="D25" s="212"/>
      <c r="E25" s="166"/>
      <c r="F25" s="125"/>
      <c r="G25" s="125"/>
      <c r="H25" s="103" t="s">
        <v>1911</v>
      </c>
      <c r="I25" s="104" t="s">
        <v>1535</v>
      </c>
      <c r="J25" s="352">
        <v>8</v>
      </c>
      <c r="K25" s="754"/>
      <c r="L25" s="755"/>
      <c r="M25" s="755"/>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758"/>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756"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757"/>
      <c r="B29" s="624" t="s">
        <v>1990</v>
      </c>
      <c r="C29" s="624"/>
      <c r="D29" s="624"/>
      <c r="E29" s="624"/>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757"/>
      <c r="B30" s="624"/>
      <c r="C30" s="624"/>
      <c r="D30" s="624"/>
      <c r="E30" s="624"/>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757"/>
      <c r="B31" s="624"/>
      <c r="C31" s="624"/>
      <c r="D31" s="624"/>
      <c r="E31" s="624"/>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757"/>
      <c r="B32" s="222"/>
      <c r="C32" s="125"/>
      <c r="D32" s="125"/>
      <c r="E32" s="166"/>
      <c r="F32" s="125"/>
      <c r="G32" s="624" t="s">
        <v>1986</v>
      </c>
      <c r="H32" s="624"/>
      <c r="I32" s="624"/>
      <c r="J32" s="624"/>
      <c r="K32" s="624"/>
      <c r="L32" s="624"/>
      <c r="M32" s="125"/>
      <c r="N32" s="125"/>
      <c r="O32" s="125"/>
      <c r="P32" s="125"/>
      <c r="Q32" s="125"/>
      <c r="R32" s="624" t="s">
        <v>1994</v>
      </c>
      <c r="S32" s="624"/>
      <c r="T32" s="624"/>
      <c r="U32" s="624"/>
      <c r="V32" s="624"/>
      <c r="W32" s="624"/>
      <c r="X32" s="624"/>
      <c r="Y32" s="624"/>
      <c r="Z32" s="624"/>
      <c r="AA32" s="624"/>
      <c r="AB32" s="125"/>
      <c r="AC32" s="125"/>
      <c r="AD32" s="125"/>
      <c r="AE32" s="125"/>
      <c r="AF32" s="207"/>
    </row>
    <row r="33" spans="1:32" ht="15.75" customHeight="1">
      <c r="A33" s="757"/>
      <c r="B33" s="774" t="s">
        <v>1991</v>
      </c>
      <c r="C33" s="762"/>
      <c r="D33" s="88" t="s">
        <v>1490</v>
      </c>
      <c r="E33" s="86" t="s">
        <v>1537</v>
      </c>
      <c r="F33" s="125"/>
      <c r="G33" s="624"/>
      <c r="H33" s="624"/>
      <c r="I33" s="624"/>
      <c r="J33" s="624"/>
      <c r="K33" s="624"/>
      <c r="L33" s="624"/>
      <c r="M33" s="125"/>
      <c r="N33" s="125"/>
      <c r="O33" s="125"/>
      <c r="P33" s="125"/>
      <c r="Q33" s="125"/>
      <c r="R33" s="624"/>
      <c r="S33" s="624"/>
      <c r="T33" s="624"/>
      <c r="U33" s="624"/>
      <c r="V33" s="624"/>
      <c r="W33" s="624"/>
      <c r="X33" s="624"/>
      <c r="Y33" s="624"/>
      <c r="Z33" s="624"/>
      <c r="AA33" s="624"/>
      <c r="AB33" s="125"/>
      <c r="AC33" s="125"/>
      <c r="AD33" s="125"/>
      <c r="AE33" s="125"/>
      <c r="AF33" s="207"/>
    </row>
    <row r="34" spans="1:32" ht="15.75" customHeight="1">
      <c r="A34" s="757"/>
      <c r="B34" s="774"/>
      <c r="C34" s="763"/>
      <c r="D34" s="89" t="s">
        <v>1966</v>
      </c>
      <c r="E34" s="347">
        <v>1</v>
      </c>
      <c r="F34" s="125"/>
      <c r="G34" s="624"/>
      <c r="H34" s="624"/>
      <c r="I34" s="624"/>
      <c r="J34" s="624"/>
      <c r="K34" s="624"/>
      <c r="L34" s="624"/>
      <c r="M34" s="125"/>
      <c r="N34" s="125"/>
      <c r="O34" s="125"/>
      <c r="P34" s="125"/>
      <c r="Q34" s="125"/>
      <c r="R34" s="624"/>
      <c r="S34" s="624"/>
      <c r="T34" s="624"/>
      <c r="U34" s="624"/>
      <c r="V34" s="624"/>
      <c r="W34" s="624"/>
      <c r="X34" s="624"/>
      <c r="Y34" s="624"/>
      <c r="Z34" s="624"/>
      <c r="AA34" s="624"/>
      <c r="AB34" s="125"/>
      <c r="AC34" s="125"/>
      <c r="AD34" s="125"/>
      <c r="AE34" s="125"/>
      <c r="AF34" s="207"/>
    </row>
    <row r="35" spans="1:32">
      <c r="A35" s="757"/>
      <c r="B35" s="774"/>
      <c r="C35" s="763"/>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757"/>
      <c r="B36" s="774"/>
      <c r="C36" s="763"/>
      <c r="D36" s="89" t="s">
        <v>2070</v>
      </c>
      <c r="E36" s="347">
        <v>3</v>
      </c>
      <c r="F36" s="125"/>
      <c r="G36" s="771" t="s">
        <v>1979</v>
      </c>
      <c r="H36" s="771"/>
      <c r="I36" s="771"/>
      <c r="J36" s="771"/>
      <c r="K36" s="771"/>
      <c r="L36" s="771"/>
      <c r="M36" s="166"/>
      <c r="N36" s="125"/>
      <c r="O36" s="652"/>
      <c r="P36" s="652"/>
      <c r="Q36" s="652"/>
      <c r="R36" s="652"/>
      <c r="S36" s="652"/>
      <c r="T36" s="652"/>
      <c r="U36" s="652"/>
      <c r="V36" s="652"/>
      <c r="W36" s="652"/>
      <c r="X36" s="652"/>
      <c r="Y36" s="652"/>
      <c r="Z36" s="652"/>
      <c r="AA36" s="652"/>
      <c r="AB36" s="652"/>
      <c r="AC36" s="652"/>
      <c r="AD36" s="652"/>
      <c r="AE36" s="652"/>
      <c r="AF36" s="207"/>
    </row>
    <row r="37" spans="1:32" ht="15.75" customHeight="1">
      <c r="A37" s="757"/>
      <c r="B37" s="774"/>
      <c r="C37" s="763"/>
      <c r="D37" s="89" t="s">
        <v>1964</v>
      </c>
      <c r="E37" s="347">
        <v>4</v>
      </c>
      <c r="F37" s="125"/>
      <c r="G37" s="767" t="s">
        <v>1490</v>
      </c>
      <c r="H37" s="178"/>
      <c r="I37" s="732" t="s">
        <v>1528</v>
      </c>
      <c r="J37" s="732"/>
      <c r="K37" s="732"/>
      <c r="L37" s="733"/>
      <c r="M37" s="166"/>
      <c r="N37" s="125"/>
      <c r="O37" s="228"/>
      <c r="P37" s="167"/>
      <c r="Q37" s="167"/>
      <c r="R37" s="167"/>
      <c r="S37" s="167"/>
      <c r="T37" s="747" t="s">
        <v>1970</v>
      </c>
      <c r="U37" s="747"/>
      <c r="V37" s="747"/>
      <c r="W37" s="747"/>
      <c r="X37" s="747"/>
      <c r="Y37" s="748" t="s">
        <v>1971</v>
      </c>
      <c r="Z37" s="748"/>
      <c r="AA37" s="748"/>
      <c r="AB37" s="748"/>
      <c r="AC37" s="748"/>
      <c r="AD37" s="748"/>
      <c r="AE37" s="186"/>
      <c r="AF37" s="207"/>
    </row>
    <row r="38" spans="1:32" ht="17" thickBot="1">
      <c r="A38" s="757"/>
      <c r="B38" s="774"/>
      <c r="C38" s="763"/>
      <c r="D38" s="90" t="s">
        <v>1963</v>
      </c>
      <c r="E38" s="348">
        <v>5</v>
      </c>
      <c r="F38" s="125"/>
      <c r="G38" s="768"/>
      <c r="H38" s="179"/>
      <c r="I38" s="245" t="s">
        <v>1543</v>
      </c>
      <c r="J38" s="246" t="s">
        <v>1967</v>
      </c>
      <c r="K38" s="246" t="s">
        <v>1968</v>
      </c>
      <c r="L38" s="247" t="s">
        <v>1969</v>
      </c>
      <c r="M38" s="166"/>
      <c r="N38" s="125"/>
      <c r="O38" s="228"/>
      <c r="P38" s="167"/>
      <c r="Q38" s="167"/>
      <c r="R38" s="167"/>
      <c r="S38" s="167"/>
      <c r="T38" s="751" t="s">
        <v>1539</v>
      </c>
      <c r="U38" s="737" t="s">
        <v>1531</v>
      </c>
      <c r="V38" s="738" t="s">
        <v>1532</v>
      </c>
      <c r="W38" s="765" t="s">
        <v>1540</v>
      </c>
      <c r="X38" s="745" t="s">
        <v>1974</v>
      </c>
      <c r="Y38" s="750" t="s">
        <v>1429</v>
      </c>
      <c r="Z38" s="750" t="s">
        <v>1430</v>
      </c>
      <c r="AA38" s="750" t="s">
        <v>1431</v>
      </c>
      <c r="AB38" s="750" t="s">
        <v>1473</v>
      </c>
      <c r="AC38" s="750" t="s">
        <v>1454</v>
      </c>
      <c r="AD38" s="746" t="s">
        <v>1975</v>
      </c>
      <c r="AE38" s="745" t="s">
        <v>1973</v>
      </c>
      <c r="AF38" s="207"/>
    </row>
    <row r="39" spans="1:32">
      <c r="A39" s="757"/>
      <c r="B39" s="774"/>
      <c r="C39" s="763"/>
      <c r="D39" s="125"/>
      <c r="E39" s="166"/>
      <c r="F39" s="125"/>
      <c r="G39" s="768"/>
      <c r="H39" s="176" t="s">
        <v>1543</v>
      </c>
      <c r="I39" s="177">
        <v>0</v>
      </c>
      <c r="J39" s="177">
        <f>E44</f>
        <v>1</v>
      </c>
      <c r="K39" s="177">
        <f>E45</f>
        <v>2</v>
      </c>
      <c r="L39" s="180">
        <f>E46</f>
        <v>3</v>
      </c>
      <c r="M39" s="166"/>
      <c r="N39" s="125"/>
      <c r="O39" s="228"/>
      <c r="P39" s="167"/>
      <c r="Q39" s="167"/>
      <c r="R39" s="167"/>
      <c r="S39" s="167"/>
      <c r="T39" s="751"/>
      <c r="U39" s="737"/>
      <c r="V39" s="738"/>
      <c r="W39" s="765"/>
      <c r="X39" s="745"/>
      <c r="Y39" s="750"/>
      <c r="Z39" s="750"/>
      <c r="AA39" s="750"/>
      <c r="AB39" s="750"/>
      <c r="AC39" s="750"/>
      <c r="AD39" s="746"/>
      <c r="AE39" s="745"/>
      <c r="AF39" s="207"/>
    </row>
    <row r="40" spans="1:32">
      <c r="A40" s="757"/>
      <c r="B40" s="774"/>
      <c r="C40" s="763"/>
      <c r="D40" s="125"/>
      <c r="E40" s="166"/>
      <c r="F40" s="125"/>
      <c r="G40" s="768"/>
      <c r="H40" s="176" t="s">
        <v>1966</v>
      </c>
      <c r="I40" s="177">
        <f>E34</f>
        <v>1</v>
      </c>
      <c r="J40" s="200">
        <f>J$39*I40</f>
        <v>1</v>
      </c>
      <c r="K40" s="200">
        <f>K$39*I40</f>
        <v>2</v>
      </c>
      <c r="L40" s="201">
        <f>L$39*I40</f>
        <v>3</v>
      </c>
      <c r="M40" s="166"/>
      <c r="N40" s="125"/>
      <c r="O40" s="776" t="s">
        <v>1980</v>
      </c>
      <c r="P40" s="766" t="s">
        <v>1558</v>
      </c>
      <c r="Q40" s="766"/>
      <c r="R40" s="766"/>
      <c r="S40" s="766"/>
      <c r="T40" s="171">
        <f>COUNTIFS('VENDOR QUESTIONNAIRE'!$V$59:$V$182,$P40,'VENDOR QUESTIONNAIRE'!$T$59:$T$182,"Required")</f>
        <v>0</v>
      </c>
      <c r="U40" s="171">
        <f>COUNTIFS('VENDOR QUESTIONNAIRE'!$V$59:$V$182,$P40,'VENDOR QUESTIONNAIRE'!$T$59:$T$182,"Required",'VENDOR QUESTIONNAIRE'!$L$59:$L$182,"Yes")</f>
        <v>0</v>
      </c>
      <c r="V40" s="171">
        <f>COUNTIFS('VENDOR QUESTIONNAIRE'!$V$59:$V$182,$P40,'VENDOR QUESTIONNAIRE'!$T$59:$T$182,"Required",'VENDOR QUESTIONNAIRE'!$L$59:$L$182,"No")</f>
        <v>0</v>
      </c>
      <c r="W40" s="185" t="e">
        <f>(T40-V40)/T40</f>
        <v>#DIV/0!</v>
      </c>
      <c r="X40" s="236" t="e">
        <f>IF(AND(W40&gt;=0,W40&lt;$U$47),$R$47,IF(AND(W40&gt;=$U$48,W40&lt;=$U$49),$R$48,IF(W40&gt;=$U$50,$R$50,"Unknown")))</f>
        <v>#DIV/0!</v>
      </c>
      <c r="Y40" s="171">
        <f>COUNTIFS('VENDOR QUESTIONNAIRE'!$V$59:$V$182,$P40,'VENDOR QUESTIONNAIRE'!$T$59:$T$182,"Recommend",'VENDOR QUESTIONNAIRE'!$L$59:$L$182,"Yes",'VENDOR QUESTIONNAIRE'!$S$59:$S$182,"Identify")</f>
        <v>0</v>
      </c>
      <c r="Z40" s="254">
        <f>COUNTIFS('VENDOR QUESTIONNAIRE'!$V$59:$V$182,$P40,'VENDOR QUESTIONNAIRE'!$T$59:$T$182,"Recommend",'VENDOR QUESTIONNAIRE'!$L$59:$L$182,"Yes",'VENDOR QUESTIONNAIRE'!$S$59:$S$182,"Detect")</f>
        <v>0</v>
      </c>
      <c r="AA40" s="254">
        <f>COUNTIFS('VENDOR QUESTIONNAIRE'!$V$59:$V$182,$P40,'VENDOR QUESTIONNAIRE'!$T$59:$T$182,"Recommend",'VENDOR QUESTIONNAIRE'!$L$59:$L$182,"Yes",'VENDOR QUESTIONNAIRE'!$S$59:$S$182,"Protect")</f>
        <v>0</v>
      </c>
      <c r="AB40" s="254">
        <f>COUNTIFS('VENDOR QUESTIONNAIRE'!$V$59:$V$182,$P40,'VENDOR QUESTIONNAIRE'!$T$59:$T$182,"Recommend",'VENDOR QUESTIONNAIRE'!$L$59:$L$182,"Yes",'VENDOR QUESTIONNAIRE'!$S$59:$S$182,"Respond")</f>
        <v>0</v>
      </c>
      <c r="AC40" s="254">
        <f>COUNTIFS('VENDOR QUESTIONNAIRE'!$V$59:$V$182,$P40,'VENDOR QUESTIONNAIRE'!$T$59:$T$182,"Recommend",'VENDOR QUESTIONNAIRE'!$L$59:$L$182,"Yes",'VENDOR QUESTIONNAIRE'!$S$59:$S$182,"N/A")</f>
        <v>0</v>
      </c>
      <c r="AD40" s="185">
        <f>(Y40*Y45)+(Z40*Z45)+(AA40*AA45)+(AB40*AB45)+(AC40*AC45)</f>
        <v>0</v>
      </c>
      <c r="AE40" s="237" t="e">
        <f>IF(AND(W40+AD40&gt;=0,W40+AD40&lt;$U$47),$R$47,IF(AND(W40+AD40&gt;=$U$48,W40+AD40&lt;=$U$49),$R$48,IF(W40+AD40&gt;=$U$50,$R$50,"Unknown")))</f>
        <v>#DIV/0!</v>
      </c>
      <c r="AF40" s="207"/>
    </row>
    <row r="41" spans="1:32">
      <c r="A41" s="757"/>
      <c r="B41" s="774"/>
      <c r="C41" s="763"/>
      <c r="D41" s="125"/>
      <c r="E41" s="166"/>
      <c r="F41" s="125"/>
      <c r="G41" s="768"/>
      <c r="H41" s="176" t="s">
        <v>1965</v>
      </c>
      <c r="I41" s="177">
        <f>E35</f>
        <v>2</v>
      </c>
      <c r="J41" s="200">
        <f>J$39*I41</f>
        <v>2</v>
      </c>
      <c r="K41" s="200">
        <f>K$39*I41</f>
        <v>4</v>
      </c>
      <c r="L41" s="201">
        <f>L$39*I41</f>
        <v>6</v>
      </c>
      <c r="M41" s="166"/>
      <c r="N41" s="125"/>
      <c r="O41" s="776"/>
      <c r="P41" s="766" t="s">
        <v>1559</v>
      </c>
      <c r="Q41" s="766"/>
      <c r="R41" s="766"/>
      <c r="S41" s="766"/>
      <c r="T41" s="254">
        <f>COUNTIFS('VENDOR QUESTIONNAIRE'!$V$59:$V$182,$P41,'VENDOR QUESTIONNAIRE'!$T$59:$T$182,"Required")</f>
        <v>0</v>
      </c>
      <c r="U41" s="254">
        <f>COUNTIFS('VENDOR QUESTIONNAIRE'!$V$59:$V$182,$P41,'VENDOR QUESTIONNAIRE'!$T$59:$T$182,"Required",'VENDOR QUESTIONNAIRE'!$L$59:$L$182,"Yes")</f>
        <v>0</v>
      </c>
      <c r="V41" s="254">
        <f>COUNTIFS('VENDOR QUESTIONNAIRE'!$V$59:$V$182,$P41,'VENDOR QUESTIONNAIRE'!$T$59:$T$182,"Required",'VENDOR QUESTIONNAIRE'!$L$59:$L$182,"No")</f>
        <v>0</v>
      </c>
      <c r="W41" s="185" t="e">
        <f t="shared" ref="W41:W44" si="1">(T41-V41)/T41</f>
        <v>#DIV/0!</v>
      </c>
      <c r="X41" s="236" t="e">
        <f t="shared" ref="X41:X44" si="2">IF(AND(W41&gt;=0,W41&lt;$U$47),$R$47,IF(AND(W41&gt;=$U$48,W41&lt;=$U$49),$R$48,IF(W41&gt;=$U$50,$R$50,"Unknown")))</f>
        <v>#DIV/0!</v>
      </c>
      <c r="Y41" s="254">
        <f>COUNTIFS('VENDOR QUESTIONNAIRE'!$V$59:$V$182,$P41,'VENDOR QUESTIONNAIRE'!$T$59:$T$182,"Recommend",'VENDOR QUESTIONNAIRE'!$L$59:$L$182,"Yes",'VENDOR QUESTIONNAIRE'!$S$59:$S$182,"Identify")</f>
        <v>0</v>
      </c>
      <c r="Z41" s="254">
        <f>COUNTIFS('VENDOR QUESTIONNAIRE'!$V$59:$V$182,$P41,'VENDOR QUESTIONNAIRE'!$T$59:$T$182,"Recommend",'VENDOR QUESTIONNAIRE'!$L$59:$L$182,"Yes",'VENDOR QUESTIONNAIRE'!$S$59:$S$182,"Detect")</f>
        <v>0</v>
      </c>
      <c r="AA41" s="254">
        <f>COUNTIFS('VENDOR QUESTIONNAIRE'!$V$59:$V$182,$P41,'VENDOR QUESTIONNAIRE'!$T$59:$T$182,"Recommend",'VENDOR QUESTIONNAIRE'!$L$59:$L$182,"Yes",'VENDOR QUESTIONNAIRE'!$S$59:$S$182,"Protect")</f>
        <v>0</v>
      </c>
      <c r="AB41" s="254">
        <f>COUNTIFS('VENDOR QUESTIONNAIRE'!$V$59:$V$182,$P41,'VENDOR QUESTIONNAIRE'!$T$59:$T$182,"Recommend",'VENDOR QUESTIONNAIRE'!$L$59:$L$182,"Yes",'VENDOR QUESTIONNAIRE'!$S$59:$S$182,"Respond")</f>
        <v>0</v>
      </c>
      <c r="AC41" s="254">
        <f>COUNTIFS('VENDOR QUESTIONNAIRE'!$V$59:$V$182,$P41,'VENDOR QUESTIONNAIRE'!$T$59:$T$182,"Recommend",'VENDOR QUESTIONNAIRE'!$L$59:$L$182,"Yes",'VENDOR QUESTIONNAIRE'!$S$59:$S$182,AC39)</f>
        <v>0</v>
      </c>
      <c r="AD41" s="185">
        <f>(Y41*Y45)+(Z41*Z45)+(AA41*AA45)+(AB41*AB45)+(AC41*AC45)</f>
        <v>0</v>
      </c>
      <c r="AE41" s="237" t="e">
        <f t="shared" ref="AE41:AE44" si="3">IF(AND(W41+AD41&gt;=0,W41+AD41&lt;$U$47),$R$47,IF(AND(W41+AD41&gt;=$U$48,W41+AD41&lt;=$U$49),$R$48,IF(W41+AD41&gt;=$U$50,$R$50,"Unknown")))</f>
        <v>#DIV/0!</v>
      </c>
      <c r="AF41" s="207"/>
    </row>
    <row r="42" spans="1:32" ht="17" thickBot="1">
      <c r="A42" s="757"/>
      <c r="B42" s="774"/>
      <c r="C42" s="763"/>
      <c r="D42" s="125"/>
      <c r="E42" s="166"/>
      <c r="F42" s="125"/>
      <c r="G42" s="768"/>
      <c r="H42" s="176" t="s">
        <v>2070</v>
      </c>
      <c r="I42" s="177">
        <f>E36</f>
        <v>3</v>
      </c>
      <c r="J42" s="200">
        <f>J$39*I42</f>
        <v>3</v>
      </c>
      <c r="K42" s="200">
        <f>K$39*I42</f>
        <v>6</v>
      </c>
      <c r="L42" s="201">
        <f>L$39*I42</f>
        <v>9</v>
      </c>
      <c r="M42" s="166"/>
      <c r="N42" s="125"/>
      <c r="O42" s="776"/>
      <c r="P42" s="766" t="s">
        <v>1961</v>
      </c>
      <c r="Q42" s="766"/>
      <c r="R42" s="766"/>
      <c r="S42" s="766"/>
      <c r="T42" s="254">
        <f>COUNTIFS('VENDOR QUESTIONNAIRE'!$V$59:$V$182,$P42,'VENDOR QUESTIONNAIRE'!$T$59:$T$182,"Required")</f>
        <v>0</v>
      </c>
      <c r="U42" s="254">
        <f>COUNTIFS('VENDOR QUESTIONNAIRE'!$V$59:$V$182,$P42,'VENDOR QUESTIONNAIRE'!$T$59:$T$182,"Required",'VENDOR QUESTIONNAIRE'!$L$59:$L$182,"Yes")</f>
        <v>0</v>
      </c>
      <c r="V42" s="254">
        <f>COUNTIFS('VENDOR QUESTIONNAIRE'!$V$59:$V$182,$P42,'VENDOR QUESTIONNAIRE'!$T$59:$T$182,"Required",'VENDOR QUESTIONNAIRE'!$L$59:$L$182,"No")</f>
        <v>0</v>
      </c>
      <c r="W42" s="185" t="e">
        <f t="shared" si="1"/>
        <v>#DIV/0!</v>
      </c>
      <c r="X42" s="236" t="e">
        <f t="shared" si="2"/>
        <v>#DIV/0!</v>
      </c>
      <c r="Y42" s="254">
        <f>COUNTIFS('VENDOR QUESTIONNAIRE'!$V$59:$V$182,$P42,'VENDOR QUESTIONNAIRE'!$T$59:$T$182,"Recommend",'VENDOR QUESTIONNAIRE'!$L$59:$L$182,"Yes",'VENDOR QUESTIONNAIRE'!$S$59:$S$182,"Identify")</f>
        <v>0</v>
      </c>
      <c r="Z42" s="254">
        <f>COUNTIFS('VENDOR QUESTIONNAIRE'!$V$59:$V$182,$P42,'VENDOR QUESTIONNAIRE'!$T$59:$T$182,"Recommend",'VENDOR QUESTIONNAIRE'!$L$59:$L$182,"Yes",'VENDOR QUESTIONNAIRE'!$S$59:$S$182,"Detect")</f>
        <v>0</v>
      </c>
      <c r="AA42" s="254">
        <f>COUNTIFS('VENDOR QUESTIONNAIRE'!$V$59:$V$182,$P42,'VENDOR QUESTIONNAIRE'!$T$59:$T$182,"Recommend",'VENDOR QUESTIONNAIRE'!$L$59:$L$182,"Yes",'VENDOR QUESTIONNAIRE'!$S$59:$S$182,"Protect")</f>
        <v>0</v>
      </c>
      <c r="AB42" s="254">
        <f>COUNTIFS('VENDOR QUESTIONNAIRE'!$V$59:$V$182,$P42,'VENDOR QUESTIONNAIRE'!$T$59:$T$182,"Recommend",'VENDOR QUESTIONNAIRE'!$L$59:$L$182,"Yes",'VENDOR QUESTIONNAIRE'!$S$59:$S$182,"Respond")</f>
        <v>0</v>
      </c>
      <c r="AC42" s="254">
        <f>COUNTIFS('VENDOR QUESTIONNAIRE'!$V$59:$V$182,$P42,'VENDOR QUESTIONNAIRE'!$T$59:$T$182,"Recommend",'VENDOR QUESTIONNAIRE'!$L$59:$L$182,"Yes",'VENDOR QUESTIONNAIRE'!$S$59:$S$182,AC40)</f>
        <v>0</v>
      </c>
      <c r="AD42" s="185">
        <f>(Y42*Y45)+(Z42*Z45)+(AA42*AA45)+(AB42*AB45)+(AC42*AC45)</f>
        <v>0</v>
      </c>
      <c r="AE42" s="237" t="e">
        <f t="shared" si="3"/>
        <v>#DIV/0!</v>
      </c>
      <c r="AF42" s="207"/>
    </row>
    <row r="43" spans="1:32">
      <c r="A43" s="757"/>
      <c r="B43" s="774"/>
      <c r="C43" s="763"/>
      <c r="D43" s="88" t="s">
        <v>1528</v>
      </c>
      <c r="E43" s="86" t="s">
        <v>1537</v>
      </c>
      <c r="F43" s="125"/>
      <c r="G43" s="768"/>
      <c r="H43" s="176" t="s">
        <v>1964</v>
      </c>
      <c r="I43" s="177">
        <f>E37</f>
        <v>4</v>
      </c>
      <c r="J43" s="200">
        <f>J$39*I43</f>
        <v>4</v>
      </c>
      <c r="K43" s="200">
        <f>K$39*I43</f>
        <v>8</v>
      </c>
      <c r="L43" s="201">
        <f>L$39*I43</f>
        <v>12</v>
      </c>
      <c r="M43" s="166"/>
      <c r="N43" s="125"/>
      <c r="O43" s="776"/>
      <c r="P43" s="766" t="s">
        <v>1960</v>
      </c>
      <c r="Q43" s="766"/>
      <c r="R43" s="766"/>
      <c r="S43" s="766"/>
      <c r="T43" s="254">
        <f>COUNTIFS('VENDOR QUESTIONNAIRE'!$V$59:$V$182,$P43,'VENDOR QUESTIONNAIRE'!$T$59:$T$182,"Required")</f>
        <v>0</v>
      </c>
      <c r="U43" s="254">
        <f>COUNTIFS('VENDOR QUESTIONNAIRE'!$V$59:$V$182,$P43,'VENDOR QUESTIONNAIRE'!$T$59:$T$182,"Required",'VENDOR QUESTIONNAIRE'!$L$59:$L$182,"Yes")</f>
        <v>0</v>
      </c>
      <c r="V43" s="254">
        <f>COUNTIFS('VENDOR QUESTIONNAIRE'!$V$59:$V$182,$P43,'VENDOR QUESTIONNAIRE'!$T$59:$T$182,"Required",'VENDOR QUESTIONNAIRE'!$L$59:$L$182,"No")</f>
        <v>0</v>
      </c>
      <c r="W43" s="185" t="e">
        <f t="shared" si="1"/>
        <v>#DIV/0!</v>
      </c>
      <c r="X43" s="236" t="e">
        <f t="shared" si="2"/>
        <v>#DIV/0!</v>
      </c>
      <c r="Y43" s="254">
        <f>COUNTIFS('VENDOR QUESTIONNAIRE'!$V$59:$V$182,$P43,'VENDOR QUESTIONNAIRE'!$T$59:$T$182,"Recommend",'VENDOR QUESTIONNAIRE'!$L$59:$L$182,"Yes",'VENDOR QUESTIONNAIRE'!$S$59:$S$182,"Identify")</f>
        <v>0</v>
      </c>
      <c r="Z43" s="254">
        <f>COUNTIFS('VENDOR QUESTIONNAIRE'!$V$59:$V$182,$P43,'VENDOR QUESTIONNAIRE'!$T$59:$T$182,"Recommend",'VENDOR QUESTIONNAIRE'!$L$59:$L$182,"Yes",'VENDOR QUESTIONNAIRE'!$S$59:$S$182,"Detect")</f>
        <v>0</v>
      </c>
      <c r="AA43" s="254">
        <f>COUNTIFS('VENDOR QUESTIONNAIRE'!$V$59:$V$182,$P43,'VENDOR QUESTIONNAIRE'!$T$59:$T$182,"Recommend",'VENDOR QUESTIONNAIRE'!$L$59:$L$182,"Yes",'VENDOR QUESTIONNAIRE'!$S$59:$S$182,"Protect")</f>
        <v>0</v>
      </c>
      <c r="AB43" s="254">
        <f>COUNTIFS('VENDOR QUESTIONNAIRE'!$V$59:$V$182,$P43,'VENDOR QUESTIONNAIRE'!$T$59:$T$182,"Recommend",'VENDOR QUESTIONNAIRE'!$L$59:$L$182,"Yes",'VENDOR QUESTIONNAIRE'!$S$59:$S$182,"Respond")</f>
        <v>0</v>
      </c>
      <c r="AC43" s="254">
        <f>COUNTIFS('VENDOR QUESTIONNAIRE'!$V$59:$V$182,$P43,'VENDOR QUESTIONNAIRE'!$T$59:$T$182,"Recommend",'VENDOR QUESTIONNAIRE'!$L$59:$L$182,"Yes",'VENDOR QUESTIONNAIRE'!$S$59:$S$182,AC41)</f>
        <v>0</v>
      </c>
      <c r="AD43" s="185">
        <f>(Y43*Y45)+(Z43*Z45)+(AA43*AA45)+(AB43*AB45)+(AC43*AC45)</f>
        <v>0</v>
      </c>
      <c r="AE43" s="237" t="e">
        <f t="shared" si="3"/>
        <v>#DIV/0!</v>
      </c>
      <c r="AF43" s="207"/>
    </row>
    <row r="44" spans="1:32" ht="17" thickBot="1">
      <c r="A44" s="757"/>
      <c r="B44" s="774"/>
      <c r="C44" s="763"/>
      <c r="D44" s="89" t="s">
        <v>1967</v>
      </c>
      <c r="E44" s="347">
        <v>1</v>
      </c>
      <c r="F44" s="125"/>
      <c r="G44" s="769"/>
      <c r="H44" s="181" t="s">
        <v>1963</v>
      </c>
      <c r="I44" s="182">
        <f>E38</f>
        <v>5</v>
      </c>
      <c r="J44" s="202">
        <f>J$39*I44</f>
        <v>5</v>
      </c>
      <c r="K44" s="202">
        <f>K$39*I44</f>
        <v>10</v>
      </c>
      <c r="L44" s="203">
        <f>L$39*I44</f>
        <v>15</v>
      </c>
      <c r="M44" s="166"/>
      <c r="N44" s="125"/>
      <c r="O44" s="776"/>
      <c r="P44" s="766" t="s">
        <v>1962</v>
      </c>
      <c r="Q44" s="766"/>
      <c r="R44" s="766"/>
      <c r="S44" s="766"/>
      <c r="T44" s="254">
        <f>COUNTIFS('VENDOR QUESTIONNAIRE'!$V$59:$V$182,$P44,'VENDOR QUESTIONNAIRE'!$T$59:$T$182,"Required")</f>
        <v>0</v>
      </c>
      <c r="U44" s="254">
        <f>COUNTIFS('VENDOR QUESTIONNAIRE'!$V$59:$V$182,$P44,'VENDOR QUESTIONNAIRE'!$T$59:$T$182,"Required",'VENDOR QUESTIONNAIRE'!$L$59:$L$182,"Yes")</f>
        <v>0</v>
      </c>
      <c r="V44" s="254">
        <f>COUNTIFS('VENDOR QUESTIONNAIRE'!$V$59:$V$182,$P44,'VENDOR QUESTIONNAIRE'!$T$59:$T$182,"Required",'VENDOR QUESTIONNAIRE'!$L$59:$L$182,"No")</f>
        <v>0</v>
      </c>
      <c r="W44" s="185" t="e">
        <f t="shared" si="1"/>
        <v>#DIV/0!</v>
      </c>
      <c r="X44" s="236" t="e">
        <f t="shared" si="2"/>
        <v>#DIV/0!</v>
      </c>
      <c r="Y44" s="254">
        <f>COUNTIFS('VENDOR QUESTIONNAIRE'!$V$59:$V$182,$P44,'VENDOR QUESTIONNAIRE'!$T$59:$T$182,"Recommend",'VENDOR QUESTIONNAIRE'!$L$59:$L$182,"Yes",'VENDOR QUESTIONNAIRE'!$S$59:$S$182,"Identify")</f>
        <v>0</v>
      </c>
      <c r="Z44" s="254">
        <f>COUNTIFS('VENDOR QUESTIONNAIRE'!$V$59:$V$182,$P44,'VENDOR QUESTIONNAIRE'!$T$59:$T$182,"Recommend",'VENDOR QUESTIONNAIRE'!$L$59:$L$182,"Yes",'VENDOR QUESTIONNAIRE'!$S$59:$S$182,"Detect")</f>
        <v>0</v>
      </c>
      <c r="AA44" s="254">
        <f>COUNTIFS('VENDOR QUESTIONNAIRE'!$V$59:$V$182,$P44,'VENDOR QUESTIONNAIRE'!$T$59:$T$182,"Recommend",'VENDOR QUESTIONNAIRE'!$L$59:$L$182,"Yes",'VENDOR QUESTIONNAIRE'!$S$59:$S$182,"Protect")</f>
        <v>0</v>
      </c>
      <c r="AB44" s="254">
        <f>COUNTIFS('VENDOR QUESTIONNAIRE'!$V$59:$V$182,$P44,'VENDOR QUESTIONNAIRE'!$T$59:$T$182,"Recommend",'VENDOR QUESTIONNAIRE'!$L$59:$L$182,"Yes",'VENDOR QUESTIONNAIRE'!$S$59:$S$182,"Respond")</f>
        <v>0</v>
      </c>
      <c r="AC44" s="254">
        <f>COUNTIFS('VENDOR QUESTIONNAIRE'!$V$59:$V$182,$P44,'VENDOR QUESTIONNAIRE'!$T$59:$T$182,"Recommend",'VENDOR QUESTIONNAIRE'!$L$59:$L$182,"Yes",'VENDOR QUESTIONNAIRE'!$S$59:$S$182,AC42)</f>
        <v>0</v>
      </c>
      <c r="AD44" s="185">
        <f>(Y44*Y45)+(Z44*Z45)+(AA44*AA45)+(AB44*AB45)+(AC44*AC45)</f>
        <v>0</v>
      </c>
      <c r="AE44" s="237" t="e">
        <f t="shared" si="3"/>
        <v>#DIV/0!</v>
      </c>
      <c r="AF44" s="207"/>
    </row>
    <row r="45" spans="1:32">
      <c r="A45" s="757"/>
      <c r="B45" s="774"/>
      <c r="C45" s="763"/>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757"/>
      <c r="B46" s="774"/>
      <c r="C46" s="764"/>
      <c r="D46" s="89" t="s">
        <v>1969</v>
      </c>
      <c r="E46" s="347">
        <v>3</v>
      </c>
      <c r="F46" s="125"/>
      <c r="G46" s="125"/>
      <c r="H46" s="770" t="s">
        <v>1978</v>
      </c>
      <c r="I46" s="770"/>
      <c r="J46" s="770"/>
      <c r="K46" s="754" t="s">
        <v>1987</v>
      </c>
      <c r="L46" s="755"/>
      <c r="M46" s="755"/>
      <c r="N46" s="125"/>
      <c r="O46" s="125"/>
      <c r="P46" s="125"/>
      <c r="Q46" s="125"/>
      <c r="R46" s="749" t="s">
        <v>1972</v>
      </c>
      <c r="S46" s="749"/>
      <c r="T46" s="749"/>
      <c r="U46" s="749"/>
      <c r="V46" s="125"/>
      <c r="W46" s="125"/>
      <c r="X46" s="125"/>
      <c r="Y46" s="125"/>
      <c r="Z46" s="125"/>
      <c r="AA46" s="125"/>
      <c r="AB46" s="125"/>
      <c r="AC46" s="125"/>
      <c r="AD46" s="125"/>
      <c r="AE46" s="125"/>
      <c r="AF46" s="207"/>
    </row>
    <row r="47" spans="1:32">
      <c r="A47" s="757"/>
      <c r="B47" s="125"/>
      <c r="C47" s="125"/>
      <c r="D47" s="125"/>
      <c r="E47" s="166"/>
      <c r="F47" s="125"/>
      <c r="G47" s="125"/>
      <c r="H47" s="183" t="s">
        <v>1567</v>
      </c>
      <c r="I47" s="177" t="s">
        <v>1534</v>
      </c>
      <c r="J47" s="353">
        <v>2</v>
      </c>
      <c r="K47" s="754"/>
      <c r="L47" s="755"/>
      <c r="M47" s="755"/>
      <c r="N47" s="125"/>
      <c r="O47" s="125"/>
      <c r="P47" s="125"/>
      <c r="Q47" s="125"/>
      <c r="R47" s="736" t="s">
        <v>1569</v>
      </c>
      <c r="S47" s="736"/>
      <c r="T47" s="177" t="s">
        <v>1534</v>
      </c>
      <c r="U47" s="354">
        <v>0.69</v>
      </c>
      <c r="V47" s="772" t="s">
        <v>1989</v>
      </c>
      <c r="W47" s="773"/>
      <c r="X47" s="773"/>
      <c r="Y47" s="125"/>
      <c r="Z47" s="125"/>
      <c r="AA47" s="125"/>
      <c r="AB47" s="125"/>
      <c r="AC47" s="125"/>
      <c r="AD47" s="125"/>
      <c r="AE47" s="125"/>
      <c r="AF47" s="207"/>
    </row>
    <row r="48" spans="1:32">
      <c r="A48" s="757"/>
      <c r="B48" s="125"/>
      <c r="C48" s="125"/>
      <c r="D48" s="212" t="s">
        <v>1982</v>
      </c>
      <c r="E48" s="166"/>
      <c r="F48" s="125"/>
      <c r="G48" s="125"/>
      <c r="H48" s="734" t="s">
        <v>1570</v>
      </c>
      <c r="I48" s="177" t="s">
        <v>1535</v>
      </c>
      <c r="J48" s="353">
        <v>3</v>
      </c>
      <c r="K48" s="754"/>
      <c r="L48" s="755"/>
      <c r="M48" s="755"/>
      <c r="N48" s="125"/>
      <c r="O48" s="125"/>
      <c r="P48" s="125"/>
      <c r="Q48" s="125"/>
      <c r="R48" s="734" t="s">
        <v>1572</v>
      </c>
      <c r="S48" s="734"/>
      <c r="T48" s="177" t="s">
        <v>1535</v>
      </c>
      <c r="U48" s="354">
        <v>0.7</v>
      </c>
      <c r="V48" s="772"/>
      <c r="W48" s="773"/>
      <c r="X48" s="773"/>
      <c r="Y48" s="125"/>
      <c r="Z48" s="125"/>
      <c r="AA48" s="125"/>
      <c r="AB48" s="125"/>
      <c r="AC48" s="125"/>
      <c r="AD48" s="125"/>
      <c r="AE48" s="125"/>
      <c r="AF48" s="207"/>
    </row>
    <row r="49" spans="1:32">
      <c r="A49" s="757"/>
      <c r="B49" s="125"/>
      <c r="C49" s="125"/>
      <c r="D49" s="125"/>
      <c r="E49" s="166"/>
      <c r="F49" s="125"/>
      <c r="G49" s="125"/>
      <c r="H49" s="734"/>
      <c r="I49" s="177" t="s">
        <v>1534</v>
      </c>
      <c r="J49" s="353">
        <v>6</v>
      </c>
      <c r="K49" s="754"/>
      <c r="L49" s="755"/>
      <c r="M49" s="755"/>
      <c r="N49" s="125"/>
      <c r="O49" s="125"/>
      <c r="P49" s="125"/>
      <c r="Q49" s="125"/>
      <c r="R49" s="734"/>
      <c r="S49" s="734"/>
      <c r="T49" s="177" t="s">
        <v>1534</v>
      </c>
      <c r="U49" s="354">
        <v>0.89</v>
      </c>
      <c r="V49" s="772"/>
      <c r="W49" s="773"/>
      <c r="X49" s="773"/>
      <c r="Y49" s="125"/>
      <c r="Z49" s="125"/>
      <c r="AA49" s="125"/>
      <c r="AB49" s="125"/>
      <c r="AC49" s="125"/>
      <c r="AD49" s="125"/>
      <c r="AE49" s="125"/>
      <c r="AF49" s="207"/>
    </row>
    <row r="50" spans="1:32">
      <c r="A50" s="757"/>
      <c r="B50" s="125"/>
      <c r="C50" s="125"/>
      <c r="D50" s="125"/>
      <c r="E50" s="166"/>
      <c r="F50" s="125"/>
      <c r="G50" s="125"/>
      <c r="H50" s="184" t="s">
        <v>1571</v>
      </c>
      <c r="I50" s="177" t="s">
        <v>1535</v>
      </c>
      <c r="J50" s="353">
        <v>7</v>
      </c>
      <c r="K50" s="754"/>
      <c r="L50" s="755"/>
      <c r="M50" s="755"/>
      <c r="N50" s="125"/>
      <c r="O50" s="125"/>
      <c r="P50" s="125"/>
      <c r="Q50" s="125"/>
      <c r="R50" s="735" t="s">
        <v>1568</v>
      </c>
      <c r="S50" s="735"/>
      <c r="T50" s="177" t="s">
        <v>1535</v>
      </c>
      <c r="U50" s="354">
        <v>0.9</v>
      </c>
      <c r="V50" s="772"/>
      <c r="W50" s="773"/>
      <c r="X50" s="773"/>
      <c r="Y50" s="125"/>
      <c r="Z50" s="125"/>
      <c r="AA50" s="125"/>
      <c r="AB50" s="125"/>
      <c r="AC50" s="125"/>
      <c r="AD50" s="125"/>
      <c r="AE50" s="125"/>
      <c r="AF50" s="207"/>
    </row>
    <row r="51" spans="1:32" ht="17" thickBot="1">
      <c r="A51" s="757"/>
      <c r="B51" s="125"/>
      <c r="C51" s="125"/>
      <c r="D51" s="125"/>
      <c r="E51" s="166"/>
      <c r="F51" s="125"/>
      <c r="G51" s="125"/>
      <c r="H51" s="125"/>
      <c r="I51" s="166"/>
      <c r="J51" s="166"/>
      <c r="K51" s="166"/>
      <c r="L51" s="166"/>
      <c r="M51" s="624" t="s">
        <v>1993</v>
      </c>
      <c r="N51" s="624"/>
      <c r="O51" s="624"/>
      <c r="P51" s="624"/>
      <c r="Q51" s="125"/>
      <c r="R51" s="125"/>
      <c r="S51" s="125"/>
      <c r="T51" s="125"/>
      <c r="U51" s="125"/>
      <c r="V51" s="125"/>
      <c r="W51" s="125"/>
      <c r="X51" s="125"/>
      <c r="Y51" s="125"/>
      <c r="Z51" s="125"/>
      <c r="AA51" s="125"/>
      <c r="AB51" s="125"/>
      <c r="AC51" s="125"/>
      <c r="AD51" s="125"/>
      <c r="AE51" s="125"/>
      <c r="AF51" s="207"/>
    </row>
    <row r="52" spans="1:32" ht="15.75" customHeight="1" thickTop="1" thickBot="1">
      <c r="A52" s="757"/>
      <c r="B52" s="125"/>
      <c r="C52" s="125"/>
      <c r="D52" s="125"/>
      <c r="E52" s="166"/>
      <c r="F52" s="125"/>
      <c r="G52" s="125"/>
      <c r="H52" s="125"/>
      <c r="I52" s="166"/>
      <c r="J52" s="166"/>
      <c r="K52" s="166"/>
      <c r="L52" s="166"/>
      <c r="M52" s="624"/>
      <c r="N52" s="624"/>
      <c r="O52" s="624"/>
      <c r="P52" s="624"/>
      <c r="Q52" s="125"/>
      <c r="R52" s="624" t="s">
        <v>1999</v>
      </c>
      <c r="S52" s="624"/>
      <c r="T52" s="624"/>
      <c r="U52" s="624"/>
      <c r="V52" s="624"/>
      <c r="W52" s="624"/>
      <c r="Y52" s="722" t="s">
        <v>1995</v>
      </c>
      <c r="Z52" s="723"/>
      <c r="AA52" s="723"/>
      <c r="AB52" s="723"/>
      <c r="AC52" s="723"/>
      <c r="AD52" s="723"/>
      <c r="AE52" s="724"/>
      <c r="AF52" s="207"/>
    </row>
    <row r="53" spans="1:32" ht="15.75" customHeight="1" thickTop="1">
      <c r="A53" s="757"/>
      <c r="B53" s="125"/>
      <c r="C53" s="125"/>
      <c r="D53" s="125"/>
      <c r="E53" s="166"/>
      <c r="F53" s="739" t="s">
        <v>1995</v>
      </c>
      <c r="G53" s="740"/>
      <c r="H53" s="740"/>
      <c r="I53" s="740"/>
      <c r="J53" s="741"/>
      <c r="K53" s="166"/>
      <c r="L53" s="166"/>
      <c r="M53" s="624"/>
      <c r="N53" s="624"/>
      <c r="O53" s="624"/>
      <c r="P53" s="624"/>
      <c r="Q53" s="125"/>
      <c r="R53" s="624"/>
      <c r="S53" s="624"/>
      <c r="T53" s="624"/>
      <c r="U53" s="624"/>
      <c r="V53" s="624"/>
      <c r="W53" s="624"/>
      <c r="Y53" s="725"/>
      <c r="Z53" s="726"/>
      <c r="AA53" s="726"/>
      <c r="AB53" s="726"/>
      <c r="AC53" s="726"/>
      <c r="AD53" s="726"/>
      <c r="AE53" s="727"/>
      <c r="AF53" s="207"/>
    </row>
    <row r="54" spans="1:32" ht="16.5" customHeight="1" thickBot="1">
      <c r="A54" s="757"/>
      <c r="B54" s="125"/>
      <c r="C54" s="125"/>
      <c r="D54" s="125"/>
      <c r="E54" s="166"/>
      <c r="F54" s="742"/>
      <c r="G54" s="743"/>
      <c r="H54" s="743"/>
      <c r="I54" s="743"/>
      <c r="J54" s="744"/>
      <c r="K54"/>
      <c r="L54"/>
      <c r="M54" s="166"/>
      <c r="N54" s="125"/>
      <c r="O54" s="125"/>
      <c r="P54" s="125"/>
      <c r="Q54" s="125"/>
      <c r="R54" s="624"/>
      <c r="S54" s="624"/>
      <c r="T54" s="624"/>
      <c r="U54" s="624"/>
      <c r="V54" s="624"/>
      <c r="W54" s="624"/>
      <c r="Y54" s="725"/>
      <c r="Z54" s="726"/>
      <c r="AA54" s="726"/>
      <c r="AB54" s="726"/>
      <c r="AC54" s="726"/>
      <c r="AD54" s="726"/>
      <c r="AE54" s="727"/>
      <c r="AF54" s="207"/>
    </row>
    <row r="55" spans="1:32">
      <c r="A55" s="757"/>
      <c r="B55" s="125"/>
      <c r="C55" s="125"/>
      <c r="D55" s="125"/>
      <c r="E55" s="166"/>
      <c r="F55" s="223"/>
      <c r="G55" s="125"/>
      <c r="H55" s="125"/>
      <c r="I55" s="166"/>
      <c r="J55" s="239"/>
      <c r="K55"/>
      <c r="L55" s="759" t="s">
        <v>1998</v>
      </c>
      <c r="M55" s="762"/>
      <c r="N55" s="760" t="s">
        <v>1503</v>
      </c>
      <c r="O55" s="760"/>
      <c r="P55" s="170" t="s">
        <v>1537</v>
      </c>
      <c r="R55" s="125"/>
      <c r="S55" s="125"/>
      <c r="T55" s="166"/>
      <c r="U55" s="166"/>
      <c r="V55" s="166"/>
      <c r="W55" s="166"/>
      <c r="Y55" s="223"/>
      <c r="Z55" s="125"/>
      <c r="AA55" s="125"/>
      <c r="AB55" s="125"/>
      <c r="AC55" s="125"/>
      <c r="AD55" s="125"/>
      <c r="AE55" s="224"/>
      <c r="AF55" s="207"/>
    </row>
    <row r="56" spans="1:32" ht="17" thickBot="1">
      <c r="A56" s="757"/>
      <c r="B56" s="125"/>
      <c r="C56" s="125"/>
      <c r="D56" s="125"/>
      <c r="E56" s="238"/>
      <c r="F56" s="244" t="s">
        <v>2004</v>
      </c>
      <c r="G56" s="752" t="s">
        <v>2005</v>
      </c>
      <c r="H56" s="752"/>
      <c r="I56" s="752" t="s">
        <v>2006</v>
      </c>
      <c r="J56" s="753"/>
      <c r="K56"/>
      <c r="L56" s="759"/>
      <c r="M56" s="763"/>
      <c r="N56" s="761" t="s">
        <v>1568</v>
      </c>
      <c r="O56" s="761"/>
      <c r="P56" s="353">
        <v>1</v>
      </c>
      <c r="R56" s="625" t="s">
        <v>1530</v>
      </c>
      <c r="S56" s="625"/>
      <c r="T56" s="625"/>
      <c r="U56" s="625"/>
      <c r="V56" s="625"/>
      <c r="W56" s="625"/>
      <c r="Y56" s="650" t="s">
        <v>1922</v>
      </c>
      <c r="Z56" s="626"/>
      <c r="AA56" s="626"/>
      <c r="AB56" s="626"/>
      <c r="AC56" s="626"/>
      <c r="AD56" s="626"/>
      <c r="AE56" s="651"/>
      <c r="AF56" s="207"/>
    </row>
    <row r="57" spans="1:32">
      <c r="A57" s="757"/>
      <c r="B57" s="125"/>
      <c r="C57" s="125"/>
      <c r="D57" s="125"/>
      <c r="E57" s="238"/>
      <c r="F57" s="327" t="e">
        <f>VLOOKUP('VENDOR QUESTIONNAIRE'!E22,'Risk Calc'!D34:E38,2,FALSE)*VLOOKUP(U14,D44:E46,2,FALSE)</f>
        <v>#N/A</v>
      </c>
      <c r="G57" s="694" t="str">
        <f>CONCATENATE('VENDOR QUESTIONNAIRE'!E22,"-",U14)</f>
        <v>-Unknown</v>
      </c>
      <c r="H57" s="694"/>
      <c r="I57" s="695" t="e">
        <f>IF(AND(F57&gt;0,F57&lt;=J47),H47,IF(AND(F57&gt;=J48,F57&lt;=J49),H48,IF(F57&gt;=J50,H50,"Unknown")))</f>
        <v>#N/A</v>
      </c>
      <c r="J57" s="696"/>
      <c r="K57"/>
      <c r="L57" s="759"/>
      <c r="M57" s="763"/>
      <c r="N57" s="761" t="s">
        <v>1572</v>
      </c>
      <c r="O57" s="761"/>
      <c r="P57" s="353">
        <v>2</v>
      </c>
      <c r="R57" s="87"/>
      <c r="S57" s="635" t="s">
        <v>1502</v>
      </c>
      <c r="T57" s="635"/>
      <c r="U57" s="635"/>
      <c r="V57" s="635"/>
      <c r="W57" s="636"/>
      <c r="Y57" s="661" t="s">
        <v>1563</v>
      </c>
      <c r="Z57" s="662"/>
      <c r="AA57" s="152" t="s">
        <v>1564</v>
      </c>
      <c r="AB57" s="653" t="s">
        <v>1913</v>
      </c>
      <c r="AC57" s="653"/>
      <c r="AD57" s="653" t="s">
        <v>1511</v>
      </c>
      <c r="AE57" s="660"/>
      <c r="AF57" s="207"/>
    </row>
    <row r="58" spans="1:32" ht="17" thickBot="1">
      <c r="A58" s="757"/>
      <c r="B58" s="125"/>
      <c r="C58" s="125"/>
      <c r="D58" s="125"/>
      <c r="E58" s="166"/>
      <c r="F58" s="240"/>
      <c r="G58" s="241"/>
      <c r="H58" s="241"/>
      <c r="I58" s="242"/>
      <c r="J58" s="243"/>
      <c r="K58"/>
      <c r="L58" s="759"/>
      <c r="M58" s="763"/>
      <c r="N58" s="761" t="s">
        <v>1569</v>
      </c>
      <c r="O58" s="761"/>
      <c r="P58" s="353">
        <v>3</v>
      </c>
      <c r="R58" s="633" t="s">
        <v>1503</v>
      </c>
      <c r="S58" s="92"/>
      <c r="T58" s="84" t="s">
        <v>1543</v>
      </c>
      <c r="U58" s="84" t="s">
        <v>1567</v>
      </c>
      <c r="V58" s="84" t="s">
        <v>1570</v>
      </c>
      <c r="W58" s="85" t="s">
        <v>1571</v>
      </c>
      <c r="Y58" s="728" t="e">
        <f>CONCATENATE('VENDOR QUESTIONNAIRE'!$N190,"-",'VENDOR QUESTIONNAIRE'!$J190)</f>
        <v>#DIV/0!</v>
      </c>
      <c r="Z58" s="729"/>
      <c r="AA58" s="188" t="e">
        <f>HLOOKUP(Y58,'Risk Calc'!$K$79:$T$80,2,FALSE)</f>
        <v>#DIV/0!</v>
      </c>
      <c r="AB58" s="705">
        <f>_xlfn.AGGREGATE(4,6,AA58:AA62)</f>
        <v>0</v>
      </c>
      <c r="AC58" s="706"/>
      <c r="AD58" s="716" t="str">
        <f>IF(AND(AB58&gt;0,AB58&lt;='Risk Calc'!V65),"Low",IF(AND(AB58&gt;='Risk Calc'!V66,AB58&lt;='Risk Calc'!V67), "Medium",IF(AB58&gt;='Risk Calc'!V68,"High","Unknown")))</f>
        <v>Unknown</v>
      </c>
      <c r="AE58" s="717"/>
      <c r="AF58" s="207"/>
    </row>
    <row r="59" spans="1:32" ht="17" thickTop="1">
      <c r="A59" s="757"/>
      <c r="B59" s="125"/>
      <c r="C59" s="125"/>
      <c r="D59" s="125"/>
      <c r="E59" s="166"/>
      <c r="F59" s="125"/>
      <c r="L59" s="759"/>
      <c r="M59" s="763"/>
      <c r="O59" s="46"/>
      <c r="P59" s="46"/>
      <c r="R59" s="633"/>
      <c r="S59" s="84" t="s">
        <v>1543</v>
      </c>
      <c r="T59" s="81">
        <v>0</v>
      </c>
      <c r="U59" s="194">
        <f>P63</f>
        <v>1</v>
      </c>
      <c r="V59" s="194">
        <f>P64</f>
        <v>2</v>
      </c>
      <c r="W59" s="195">
        <f>P65</f>
        <v>3</v>
      </c>
      <c r="Y59" s="728" t="e">
        <f>CONCATENATE('VENDOR QUESTIONNAIRE'!$N192,"-",'VENDOR QUESTIONNAIRE'!$J192)</f>
        <v>#DIV/0!</v>
      </c>
      <c r="Z59" s="729"/>
      <c r="AA59" s="188" t="e">
        <f>HLOOKUP(Y59,'Risk Calc'!$K$79:$T$80,2,FALSE)</f>
        <v>#DIV/0!</v>
      </c>
      <c r="AB59" s="707"/>
      <c r="AC59" s="708"/>
      <c r="AD59" s="718"/>
      <c r="AE59" s="719"/>
      <c r="AF59" s="207"/>
    </row>
    <row r="60" spans="1:32">
      <c r="A60" s="757"/>
      <c r="B60" s="125"/>
      <c r="C60" s="125"/>
      <c r="E60" s="166"/>
      <c r="F60" s="125"/>
      <c r="L60" s="759"/>
      <c r="M60" s="763"/>
      <c r="O60" s="46"/>
      <c r="P60" s="46"/>
      <c r="R60" s="633"/>
      <c r="S60" s="84" t="s">
        <v>1568</v>
      </c>
      <c r="T60" s="81">
        <f>P56</f>
        <v>1</v>
      </c>
      <c r="U60" s="196">
        <f>SUM(U59*T60)</f>
        <v>1</v>
      </c>
      <c r="V60" s="196">
        <f>SUM(V59*T60)</f>
        <v>2</v>
      </c>
      <c r="W60" s="197">
        <f>SUM(W59*T60)</f>
        <v>3</v>
      </c>
      <c r="Y60" s="728" t="e">
        <f>CONCATENATE('VENDOR QUESTIONNAIRE'!$N194,"-",'VENDOR QUESTIONNAIRE'!$J194)</f>
        <v>#DIV/0!</v>
      </c>
      <c r="Z60" s="729"/>
      <c r="AA60" s="188" t="e">
        <f>HLOOKUP(Y60,'Risk Calc'!$K$79:$T$80,2,FALSE)</f>
        <v>#DIV/0!</v>
      </c>
      <c r="AB60" s="707"/>
      <c r="AC60" s="708"/>
      <c r="AD60" s="718"/>
      <c r="AE60" s="719"/>
      <c r="AF60" s="207"/>
    </row>
    <row r="61" spans="1:32">
      <c r="A61" s="757"/>
      <c r="B61" s="125"/>
      <c r="C61" s="125"/>
      <c r="D61" s="125"/>
      <c r="E61" s="166"/>
      <c r="F61" s="125"/>
      <c r="L61" s="759"/>
      <c r="M61" s="763"/>
      <c r="O61" s="46"/>
      <c r="P61" s="46"/>
      <c r="R61" s="633"/>
      <c r="S61" s="84" t="s">
        <v>1572</v>
      </c>
      <c r="T61" s="81">
        <f>P57</f>
        <v>2</v>
      </c>
      <c r="U61" s="196">
        <f>SUM(U59*T61)</f>
        <v>2</v>
      </c>
      <c r="V61" s="196">
        <f>SUM(V59*T61)</f>
        <v>4</v>
      </c>
      <c r="W61" s="197">
        <f>SUM(W59*T61)</f>
        <v>6</v>
      </c>
      <c r="Y61" s="728" t="e">
        <f>CONCATENATE('VENDOR QUESTIONNAIRE'!$N196,"-",'VENDOR QUESTIONNAIRE'!$J196)</f>
        <v>#DIV/0!</v>
      </c>
      <c r="Z61" s="729"/>
      <c r="AA61" s="188" t="e">
        <f>HLOOKUP(Y61,'Risk Calc'!$K$79:$T$80,2,FALSE)</f>
        <v>#DIV/0!</v>
      </c>
      <c r="AB61" s="707"/>
      <c r="AC61" s="708"/>
      <c r="AD61" s="718"/>
      <c r="AE61" s="719"/>
      <c r="AF61" s="207"/>
    </row>
    <row r="62" spans="1:32" ht="17" thickBot="1">
      <c r="A62" s="757"/>
      <c r="B62" s="125"/>
      <c r="C62" s="125"/>
      <c r="D62" s="125"/>
      <c r="E62" s="166"/>
      <c r="F62" s="125"/>
      <c r="L62" s="759"/>
      <c r="M62" s="763"/>
      <c r="N62" s="760" t="s">
        <v>1502</v>
      </c>
      <c r="O62" s="760"/>
      <c r="P62" s="170" t="s">
        <v>1537</v>
      </c>
      <c r="R62" s="634"/>
      <c r="S62" s="96" t="s">
        <v>1569</v>
      </c>
      <c r="T62" s="82">
        <f>P58</f>
        <v>3</v>
      </c>
      <c r="U62" s="198">
        <f>SUM(U59*T62)</f>
        <v>3</v>
      </c>
      <c r="V62" s="198">
        <f>SUM(V59*T62)</f>
        <v>6</v>
      </c>
      <c r="W62" s="199">
        <f>SUM(W59*T62)</f>
        <v>9</v>
      </c>
      <c r="Y62" s="730" t="e">
        <f>CONCATENATE('VENDOR QUESTIONNAIRE'!$N198,"-",'VENDOR QUESTIONNAIRE'!$J198)</f>
        <v>#DIV/0!</v>
      </c>
      <c r="Z62" s="731"/>
      <c r="AA62" s="225" t="e">
        <f>HLOOKUP(Y62,'Risk Calc'!$K$79:$T$80,2,FALSE)</f>
        <v>#DIV/0!</v>
      </c>
      <c r="AB62" s="709"/>
      <c r="AC62" s="710"/>
      <c r="AD62" s="720"/>
      <c r="AE62" s="721"/>
      <c r="AF62" s="207"/>
    </row>
    <row r="63" spans="1:32" ht="17" thickBot="1">
      <c r="A63" s="757"/>
      <c r="B63" s="125"/>
      <c r="C63" s="125"/>
      <c r="D63" s="125"/>
      <c r="E63" s="166"/>
      <c r="F63" s="125"/>
      <c r="L63" s="759"/>
      <c r="M63" s="763"/>
      <c r="N63" s="761" t="s">
        <v>1567</v>
      </c>
      <c r="O63" s="761"/>
      <c r="P63" s="353">
        <v>1</v>
      </c>
      <c r="R63" s="216"/>
      <c r="S63" s="216"/>
      <c r="T63" s="125"/>
      <c r="U63" s="125"/>
      <c r="V63" s="125"/>
      <c r="W63" s="125"/>
      <c r="X63" s="125"/>
      <c r="AF63" s="207"/>
    </row>
    <row r="64" spans="1:32">
      <c r="A64" s="757"/>
      <c r="B64" s="125"/>
      <c r="C64" s="125"/>
      <c r="D64" s="125"/>
      <c r="E64" s="166"/>
      <c r="F64" s="125"/>
      <c r="L64" s="759"/>
      <c r="M64" s="763"/>
      <c r="N64" s="761" t="s">
        <v>1570</v>
      </c>
      <c r="O64" s="761"/>
      <c r="P64" s="353">
        <v>2</v>
      </c>
      <c r="R64" s="125"/>
      <c r="S64" s="649" t="s">
        <v>2002</v>
      </c>
      <c r="T64" s="635"/>
      <c r="U64" s="635"/>
      <c r="V64" s="636"/>
      <c r="W64" s="125"/>
      <c r="X64" s="125"/>
      <c r="AF64" s="207"/>
    </row>
    <row r="65" spans="1:32" ht="22" thickBot="1">
      <c r="A65" s="757"/>
      <c r="B65" s="125"/>
      <c r="C65" s="125"/>
      <c r="D65" s="125"/>
      <c r="E65" s="166"/>
      <c r="F65" s="125"/>
      <c r="L65" s="759"/>
      <c r="M65" s="764"/>
      <c r="N65" s="761" t="s">
        <v>1571</v>
      </c>
      <c r="O65" s="761"/>
      <c r="P65" s="353">
        <v>3</v>
      </c>
      <c r="R65" s="211"/>
      <c r="S65" s="777" t="s">
        <v>1546</v>
      </c>
      <c r="T65" s="778"/>
      <c r="U65" s="105" t="s">
        <v>1534</v>
      </c>
      <c r="V65" s="349">
        <v>2</v>
      </c>
      <c r="W65" s="125"/>
      <c r="X65" s="125"/>
      <c r="AF65" s="207"/>
    </row>
    <row r="66" spans="1:32">
      <c r="A66" s="757"/>
      <c r="B66" s="125"/>
      <c r="C66" s="125"/>
      <c r="D66" s="125"/>
      <c r="E66" s="166"/>
      <c r="F66" s="125"/>
      <c r="O66" s="46"/>
      <c r="P66" s="46"/>
      <c r="R66" s="125"/>
      <c r="S66" s="673" t="s">
        <v>1545</v>
      </c>
      <c r="T66" s="674"/>
      <c r="U66" s="147" t="s">
        <v>1535</v>
      </c>
      <c r="V66" s="355">
        <v>3</v>
      </c>
      <c r="W66" s="125"/>
      <c r="X66" s="125"/>
      <c r="AF66" s="207"/>
    </row>
    <row r="67" spans="1:32">
      <c r="A67" s="757"/>
      <c r="B67" s="125"/>
      <c r="C67" s="125"/>
      <c r="D67" s="125"/>
      <c r="E67" s="166"/>
      <c r="F67" s="125"/>
      <c r="O67" s="46"/>
      <c r="P67" s="46"/>
      <c r="R67" s="125"/>
      <c r="S67" s="675"/>
      <c r="T67" s="676"/>
      <c r="U67" s="107" t="s">
        <v>1534</v>
      </c>
      <c r="V67" s="351">
        <v>5</v>
      </c>
      <c r="W67" s="125"/>
      <c r="X67" s="125"/>
      <c r="AF67" s="207"/>
    </row>
    <row r="68" spans="1:32" ht="17" thickBot="1">
      <c r="A68" s="757"/>
      <c r="B68" s="125"/>
      <c r="C68" s="125"/>
      <c r="D68" s="125"/>
      <c r="E68" s="166"/>
      <c r="F68" s="125"/>
      <c r="O68" s="46"/>
      <c r="P68" s="46"/>
      <c r="R68" s="125"/>
      <c r="S68" s="677" t="s">
        <v>1544</v>
      </c>
      <c r="T68" s="678"/>
      <c r="U68" s="104" t="s">
        <v>1535</v>
      </c>
      <c r="V68" s="352">
        <v>6</v>
      </c>
      <c r="W68" s="125"/>
      <c r="X68" s="125"/>
      <c r="Y68" s="125"/>
      <c r="Z68" s="125"/>
      <c r="AA68" s="125"/>
      <c r="AB68" s="125"/>
      <c r="AC68" s="125"/>
      <c r="AD68" s="125"/>
      <c r="AE68" s="125"/>
      <c r="AF68" s="207"/>
    </row>
    <row r="69" spans="1:32" ht="17" thickBot="1">
      <c r="A69" s="758"/>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756"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757"/>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757"/>
      <c r="B73" s="125"/>
      <c r="C73" s="211"/>
      <c r="D73" s="211"/>
      <c r="E73" s="217"/>
      <c r="F73" s="211"/>
      <c r="G73" s="125"/>
      <c r="H73" s="125"/>
      <c r="I73" s="166"/>
      <c r="J73" s="166"/>
      <c r="K73" s="166"/>
      <c r="L73" s="624" t="s">
        <v>2001</v>
      </c>
      <c r="M73" s="624"/>
      <c r="N73" s="624"/>
      <c r="O73" s="624"/>
      <c r="P73" s="624"/>
      <c r="Q73" s="624"/>
      <c r="R73" s="624"/>
      <c r="S73" s="624"/>
      <c r="T73" s="211"/>
      <c r="U73" s="211"/>
      <c r="V73" s="211"/>
      <c r="W73" s="125"/>
      <c r="X73" s="722" t="s">
        <v>1995</v>
      </c>
      <c r="Y73" s="723"/>
      <c r="Z73" s="723"/>
      <c r="AA73" s="723"/>
      <c r="AB73" s="723"/>
      <c r="AC73" s="724"/>
      <c r="AD73" s="125"/>
      <c r="AE73" s="125"/>
      <c r="AF73" s="207"/>
    </row>
    <row r="74" spans="1:32" ht="15.75" customHeight="1">
      <c r="A74" s="757"/>
      <c r="B74" s="125"/>
      <c r="C74" s="125"/>
      <c r="D74" s="125"/>
      <c r="E74" s="166"/>
      <c r="F74" s="125"/>
      <c r="G74" s="125"/>
      <c r="H74" s="125"/>
      <c r="I74" s="166"/>
      <c r="J74" s="166"/>
      <c r="K74" s="166"/>
      <c r="L74" s="624"/>
      <c r="M74" s="624"/>
      <c r="N74" s="624"/>
      <c r="O74" s="624"/>
      <c r="P74" s="624"/>
      <c r="Q74" s="624"/>
      <c r="R74" s="624"/>
      <c r="S74" s="624"/>
      <c r="T74" s="125"/>
      <c r="U74" s="125"/>
      <c r="V74" s="125"/>
      <c r="W74" s="125"/>
      <c r="X74" s="725"/>
      <c r="Y74" s="726"/>
      <c r="Z74" s="726"/>
      <c r="AA74" s="726"/>
      <c r="AB74" s="726"/>
      <c r="AC74" s="727"/>
      <c r="AD74" s="125"/>
      <c r="AE74" s="125"/>
      <c r="AF74" s="207"/>
    </row>
    <row r="75" spans="1:32" ht="15.75" customHeight="1">
      <c r="A75" s="757"/>
      <c r="B75" s="125"/>
      <c r="C75" s="125"/>
      <c r="D75" s="125"/>
      <c r="E75" s="166"/>
      <c r="F75" s="125"/>
      <c r="G75" s="125"/>
      <c r="H75" s="125"/>
      <c r="I75" s="166"/>
      <c r="J75" s="166"/>
      <c r="K75" s="166"/>
      <c r="L75" s="624"/>
      <c r="M75" s="624"/>
      <c r="N75" s="624"/>
      <c r="O75" s="624"/>
      <c r="P75" s="624"/>
      <c r="Q75" s="624"/>
      <c r="R75" s="624"/>
      <c r="S75" s="624"/>
      <c r="T75" s="125"/>
      <c r="U75" s="125"/>
      <c r="V75" s="125"/>
      <c r="W75" s="125"/>
      <c r="X75" s="725"/>
      <c r="Y75" s="726"/>
      <c r="Z75" s="726"/>
      <c r="AA75" s="726"/>
      <c r="AB75" s="726"/>
      <c r="AC75" s="727"/>
      <c r="AD75" s="125"/>
      <c r="AE75" s="125"/>
      <c r="AF75" s="207"/>
    </row>
    <row r="76" spans="1:32">
      <c r="A76" s="757"/>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757"/>
      <c r="B77" s="125"/>
      <c r="C77" s="125"/>
      <c r="D77" s="125"/>
      <c r="E77" s="166"/>
      <c r="F77" s="125"/>
      <c r="G77" s="125"/>
      <c r="H77" s="125"/>
      <c r="I77" s="625" t="s">
        <v>1529</v>
      </c>
      <c r="J77" s="625"/>
      <c r="K77" s="625"/>
      <c r="L77" s="625"/>
      <c r="M77" s="625"/>
      <c r="N77" s="625"/>
      <c r="O77" s="625"/>
      <c r="P77" s="625"/>
      <c r="Q77" s="625"/>
      <c r="R77" s="625"/>
      <c r="S77" s="625"/>
      <c r="T77" s="625"/>
      <c r="U77" s="227"/>
      <c r="V77" s="125"/>
      <c r="W77" s="125"/>
      <c r="X77" s="650" t="s">
        <v>1924</v>
      </c>
      <c r="Y77" s="626"/>
      <c r="Z77" s="626"/>
      <c r="AA77" s="626"/>
      <c r="AB77" s="626"/>
      <c r="AC77" s="651"/>
      <c r="AD77" s="125"/>
      <c r="AE77" s="125"/>
      <c r="AF77" s="207"/>
    </row>
    <row r="78" spans="1:32" ht="19">
      <c r="A78" s="757"/>
      <c r="B78" s="125"/>
      <c r="C78" s="125"/>
      <c r="D78" s="125"/>
      <c r="E78" s="166"/>
      <c r="F78" s="125"/>
      <c r="G78" s="125"/>
      <c r="H78" s="125"/>
      <c r="I78" s="98"/>
      <c r="J78" s="99"/>
      <c r="K78" s="99"/>
      <c r="L78" s="775" t="s">
        <v>1511</v>
      </c>
      <c r="M78" s="775"/>
      <c r="N78" s="775"/>
      <c r="O78" s="775"/>
      <c r="P78" s="775"/>
      <c r="Q78" s="775"/>
      <c r="R78" s="775"/>
      <c r="S78" s="775"/>
      <c r="T78" s="775"/>
      <c r="U78" s="125"/>
      <c r="V78" s="125"/>
      <c r="W78" s="125"/>
      <c r="X78" s="229"/>
      <c r="Y78" s="218" t="s">
        <v>1926</v>
      </c>
      <c r="Z78" s="697" t="s">
        <v>1927</v>
      </c>
      <c r="AA78" s="697"/>
      <c r="AB78" s="697" t="s">
        <v>1923</v>
      </c>
      <c r="AC78" s="698"/>
      <c r="AD78" s="125"/>
      <c r="AE78" s="125"/>
      <c r="AF78" s="207"/>
    </row>
    <row r="79" spans="1:32" ht="34">
      <c r="A79" s="757"/>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0</v>
      </c>
      <c r="Z79" s="705">
        <f>SUM(Y79*Y80)</f>
        <v>0</v>
      </c>
      <c r="AA79" s="706"/>
      <c r="AB79" s="425" t="str">
        <f>IF(AND(Z79&gt;0,Z79&lt;='Risk Calc'!F87),"Acceptable",IF(AND(Z79&gt;='Risk Calc'!F89,Z79&lt;='Risk Calc'!F91),"Tolerable",IF(Z79&gt;='Risk Calc'!F93,"Unacceptable","Unknown")))</f>
        <v>Unknown</v>
      </c>
      <c r="AC79" s="711"/>
      <c r="AD79" s="125"/>
      <c r="AE79" s="125"/>
      <c r="AF79" s="207"/>
    </row>
    <row r="80" spans="1:32">
      <c r="A80" s="757"/>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0</v>
      </c>
      <c r="Z80" s="707"/>
      <c r="AA80" s="708"/>
      <c r="AB80" s="712"/>
      <c r="AC80" s="713"/>
      <c r="AD80" s="125"/>
      <c r="AE80" s="125"/>
      <c r="AF80" s="207"/>
    </row>
    <row r="81" spans="1:32">
      <c r="A81" s="757"/>
      <c r="B81" s="125"/>
      <c r="C81" s="125"/>
      <c r="D81" s="624" t="s">
        <v>1996</v>
      </c>
      <c r="E81" s="624"/>
      <c r="F81" s="624"/>
      <c r="G81" s="624"/>
      <c r="H81" s="125"/>
      <c r="I81" s="671"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699"/>
      <c r="Y81" s="700"/>
      <c r="Z81" s="707"/>
      <c r="AA81" s="708"/>
      <c r="AB81" s="712"/>
      <c r="AC81" s="713"/>
      <c r="AD81" s="125"/>
      <c r="AE81" s="125"/>
      <c r="AF81" s="207"/>
    </row>
    <row r="82" spans="1:32">
      <c r="A82" s="757"/>
      <c r="B82" s="125"/>
      <c r="C82" s="125"/>
      <c r="D82" s="624"/>
      <c r="E82" s="624"/>
      <c r="F82" s="624"/>
      <c r="G82" s="624"/>
      <c r="H82" s="125"/>
      <c r="I82" s="671"/>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01"/>
      <c r="Y82" s="702"/>
      <c r="Z82" s="707"/>
      <c r="AA82" s="708"/>
      <c r="AB82" s="712"/>
      <c r="AC82" s="713"/>
      <c r="AD82" s="125"/>
      <c r="AE82" s="125"/>
      <c r="AF82" s="207"/>
    </row>
    <row r="83" spans="1:32" ht="17" thickBot="1">
      <c r="A83" s="757"/>
      <c r="B83" s="125"/>
      <c r="C83" s="125"/>
      <c r="D83" s="624"/>
      <c r="E83" s="624"/>
      <c r="F83" s="624"/>
      <c r="G83" s="624"/>
      <c r="H83" s="125"/>
      <c r="I83" s="671"/>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03"/>
      <c r="Y83" s="704"/>
      <c r="Z83" s="709"/>
      <c r="AA83" s="710"/>
      <c r="AB83" s="714"/>
      <c r="AC83" s="715"/>
      <c r="AD83" s="125"/>
      <c r="AE83" s="125"/>
      <c r="AF83" s="207"/>
    </row>
    <row r="84" spans="1:32" ht="18" thickTop="1" thickBot="1">
      <c r="A84" s="757"/>
      <c r="B84" s="125"/>
      <c r="C84" s="125"/>
      <c r="D84" s="125"/>
      <c r="E84" s="166"/>
      <c r="F84" s="125"/>
      <c r="G84" s="125"/>
      <c r="H84" s="125"/>
      <c r="I84" s="671"/>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757"/>
      <c r="B85" s="125"/>
      <c r="C85" s="125"/>
      <c r="D85" s="779" t="s">
        <v>1536</v>
      </c>
      <c r="E85" s="780"/>
      <c r="F85" s="780"/>
      <c r="G85" s="781"/>
      <c r="H85" s="125"/>
      <c r="I85" s="671"/>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757"/>
      <c r="B86" s="125"/>
      <c r="C86" s="125"/>
      <c r="D86" s="782"/>
      <c r="E86" s="783"/>
      <c r="F86" s="783"/>
      <c r="G86" s="784"/>
      <c r="H86" s="125"/>
      <c r="I86" s="671"/>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757"/>
      <c r="B87" s="125"/>
      <c r="C87" s="125"/>
      <c r="D87" s="665" t="s">
        <v>1547</v>
      </c>
      <c r="E87" s="679" t="s">
        <v>1534</v>
      </c>
      <c r="F87" s="667">
        <v>11</v>
      </c>
      <c r="G87" s="668"/>
      <c r="H87" s="125"/>
      <c r="I87" s="671"/>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757"/>
      <c r="B88" s="125"/>
      <c r="C88" s="125"/>
      <c r="D88" s="666"/>
      <c r="E88" s="681"/>
      <c r="F88" s="669"/>
      <c r="G88" s="670"/>
      <c r="H88" s="125"/>
      <c r="I88" s="671"/>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757"/>
      <c r="B89" s="125"/>
      <c r="C89" s="125"/>
      <c r="D89" s="684" t="s">
        <v>1548</v>
      </c>
      <c r="E89" s="679" t="s">
        <v>1535</v>
      </c>
      <c r="F89" s="667">
        <v>12</v>
      </c>
      <c r="G89" s="668"/>
      <c r="H89" s="125"/>
      <c r="I89" s="671"/>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757"/>
      <c r="B90" s="125"/>
      <c r="C90" s="125"/>
      <c r="D90" s="685"/>
      <c r="E90" s="680"/>
      <c r="F90" s="682"/>
      <c r="G90" s="683"/>
      <c r="H90" s="125"/>
      <c r="I90" s="671"/>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757"/>
      <c r="B91" s="125"/>
      <c r="C91" s="125"/>
      <c r="D91" s="685"/>
      <c r="E91" s="680" t="s">
        <v>1534</v>
      </c>
      <c r="F91" s="682">
        <v>31</v>
      </c>
      <c r="G91" s="683"/>
      <c r="H91" s="125"/>
      <c r="I91" s="671"/>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757"/>
      <c r="B92" s="125"/>
      <c r="C92" s="125"/>
      <c r="D92" s="686"/>
      <c r="E92" s="681"/>
      <c r="F92" s="669"/>
      <c r="G92" s="670"/>
      <c r="H92" s="125"/>
      <c r="I92" s="671"/>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757"/>
      <c r="B93" s="125"/>
      <c r="C93" s="125"/>
      <c r="D93" s="687" t="s">
        <v>1549</v>
      </c>
      <c r="E93" s="679" t="s">
        <v>1535</v>
      </c>
      <c r="F93" s="667">
        <v>32</v>
      </c>
      <c r="G93" s="668"/>
      <c r="H93" s="125"/>
      <c r="I93" s="671"/>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757"/>
      <c r="B94" s="125"/>
      <c r="C94" s="125"/>
      <c r="D94" s="688"/>
      <c r="E94" s="689"/>
      <c r="F94" s="690"/>
      <c r="G94" s="691"/>
      <c r="H94" s="125"/>
      <c r="I94" s="671"/>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757"/>
      <c r="B95" s="125"/>
      <c r="C95" s="125"/>
      <c r="D95" s="125"/>
      <c r="E95" s="166"/>
      <c r="F95" s="125"/>
      <c r="G95" s="125"/>
      <c r="H95" s="125"/>
      <c r="I95" s="671"/>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757"/>
      <c r="B96" s="125"/>
      <c r="C96" s="125"/>
      <c r="D96" s="212" t="s">
        <v>1997</v>
      </c>
      <c r="E96" s="166"/>
      <c r="F96" s="125"/>
      <c r="G96" s="125"/>
      <c r="H96" s="125"/>
      <c r="I96" s="672"/>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757"/>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757"/>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757"/>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757"/>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758"/>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731" priority="615" operator="greaterThanOrEqual">
      <formula>$F$93</formula>
    </cfRule>
    <cfRule type="cellIs" dxfId="730" priority="616" operator="between">
      <formula>$F$89</formula>
      <formula>$F$91</formula>
    </cfRule>
    <cfRule type="cellIs" dxfId="729" priority="617" operator="lessThanOrEqual">
      <formula>$F$87</formula>
    </cfRule>
  </conditionalFormatting>
  <conditionalFormatting sqref="J16:M19">
    <cfRule type="cellIs" dxfId="728" priority="12" operator="between">
      <formula>$J$23</formula>
      <formula>$J$24</formula>
    </cfRule>
    <cfRule type="cellIs" dxfId="727" priority="13" operator="lessThanOrEqual">
      <formula>$J$22</formula>
    </cfRule>
    <cfRule type="cellIs" dxfId="726" priority="14" operator="greaterThanOrEqual">
      <formula>$J$25</formula>
    </cfRule>
  </conditionalFormatting>
  <conditionalFormatting sqref="U60:W62">
    <cfRule type="cellIs" dxfId="725" priority="9" operator="between">
      <formula>$V$66</formula>
      <formula>$V$67</formula>
    </cfRule>
    <cfRule type="cellIs" dxfId="724" priority="10" operator="lessThanOrEqual">
      <formula>$V$65</formula>
    </cfRule>
    <cfRule type="cellIs" dxfId="723" priority="11" operator="greaterThanOrEqual">
      <formula>$V$68</formula>
    </cfRule>
  </conditionalFormatting>
  <conditionalFormatting sqref="J40:L44">
    <cfRule type="cellIs" dxfId="722" priority="3" operator="greaterThanOrEqual">
      <formula>$J$50</formula>
    </cfRule>
    <cfRule type="cellIs" dxfId="721" priority="4" operator="between">
      <formula>$J$48</formula>
      <formula>$J$49</formula>
    </cfRule>
    <cfRule type="cellIs" dxfId="720" priority="5" operator="lessThanOrEqual">
      <formula>$J$47</formula>
    </cfRule>
    <cfRule type="cellIs" dxfId="719" priority="6" operator="between">
      <formula>$E$15</formula>
      <formula>$E$16</formula>
    </cfRule>
    <cfRule type="cellIs" dxfId="718" priority="7" operator="greaterThanOrEqual">
      <formula>$E$17</formula>
    </cfRule>
    <cfRule type="cellIs" dxfId="717" priority="8" operator="lessThanOrEqual">
      <formula>$E$14</formula>
    </cfRule>
  </conditionalFormatting>
  <conditionalFormatting sqref="W40:X44 AE40:AE44">
    <cfRule type="containsErrors" dxfId="716" priority="2">
      <formula>ISERROR(W40)</formula>
    </cfRule>
  </conditionalFormatting>
  <conditionalFormatting sqref="Y58:AA62">
    <cfRule type="containsErrors" dxfId="71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heetViews>
  <sheetFormatPr baseColWidth="10" defaultColWidth="11" defaultRowHeight="16"/>
  <sheetData>
    <row r="1" spans="1:11">
      <c r="A1" s="158" t="s">
        <v>1931</v>
      </c>
      <c r="B1" s="159" t="s">
        <v>1932</v>
      </c>
      <c r="C1" s="160" t="s">
        <v>1938</v>
      </c>
      <c r="D1" s="161" t="s">
        <v>1941</v>
      </c>
      <c r="E1" s="329" t="s">
        <v>1942</v>
      </c>
      <c r="H1" s="80" t="s">
        <v>2071</v>
      </c>
    </row>
    <row r="2" spans="1:11">
      <c r="A2">
        <f t="array" ref="A2:A130">COUNTIFS(I$2,'VENDOR QUESTIONNAIRE'!$T$59:$T$182,I$3,'VENDOR QUESTIONNAIRE'!$L$59:$L$182)</f>
        <v>0</v>
      </c>
      <c r="B2">
        <f t="array" ref="B2:B130">MATCH(ROW('VENDOR QUESTIONNAIRE'!C59:C182),ROW('VENDOR QUESTIONNAIRE'!C59:C182))</f>
        <v>1</v>
      </c>
      <c r="C2" s="157" t="str">
        <f t="array" ref="C2:C130">IF(COUNTIFS(I$2,'VENDOR QUESTIONNAIRE'!$T$59:$T$182,I$3,'VENDOR QUESTIONNAIRE'!$L$59:$L$182),MATCH(ROW('VENDOR QUESTIONNAIRE'!C59:C182),ROW('VENDOR QUESTIONNAIRE'!C59:C182)),"")</f>
        <v/>
      </c>
      <c r="D2" s="157" t="e">
        <f t="array" ref="D2">SMALL(IF(COUNTIFS(I$2,'VENDOR QUESTIONNAIRE'!$T$59:$T$182,I$3,'VENDOR QUESTIONNAIRE'!$L$59:$L$182),MATCH(ROW('VENDOR QUESTIONNAIRE'!C59:C182),ROW('VENDOR QUESTIONNAIRE'!C59:C182)),""),ROWS('VENDOR QUESTIONNAIRE'!$L$59:L59))</f>
        <v>#NUM!</v>
      </c>
      <c r="E2" s="330" t="e">
        <f t="array" ref="E2">INDEX('VENDOR QUESTIONNAIRE'!$C$59:$C$182,SMALL(IF(COUNTIFS(I$2,'VENDOR QUESTIONNAIRE'!$T$59:$T$182,I$3,'VENDOR QUESTIONNAIRE'!$L$59:$L$182),MATCH(ROW('VENDOR QUESTIONNAIRE'!C59:C182),ROW('VENDOR QUESTIONNAIRE'!C59:C182)),""),ROWS('VENDOR QUESTIONNAIRE'!$L$59:L59)))</f>
        <v>#NUM!</v>
      </c>
      <c r="H2" s="156" t="s">
        <v>1929</v>
      </c>
      <c r="I2" s="94" t="s">
        <v>585</v>
      </c>
      <c r="J2" t="s">
        <v>2073</v>
      </c>
    </row>
    <row r="3" spans="1:11">
      <c r="A3">
        <v>0</v>
      </c>
      <c r="B3">
        <v>2</v>
      </c>
      <c r="C3" s="157" t="str">
        <v/>
      </c>
      <c r="D3" s="157" t="e">
        <f t="array" ref="D3">SMALL(IF(COUNTIFS(I$2,'VENDOR QUESTIONNAIRE'!$T$59:$T$182,I$3,'VENDOR QUESTIONNAIRE'!$L$59:$L$182),MATCH(ROW('VENDOR QUESTIONNAIRE'!C60:C183),ROW('VENDOR QUESTIONNAIRE'!C60:C183)),""),ROWS('VENDOR QUESTIONNAIRE'!$L$59:L60))</f>
        <v>#NUM!</v>
      </c>
      <c r="E3" s="330" t="e">
        <f t="array" ref="E3">INDEX('VENDOR QUESTIONNAIRE'!$C$59:$C$182,SMALL(IF(COUNTIFS(I$2,'VENDOR QUESTIONNAIRE'!$T$59:$T$182,I$3,'VENDOR QUESTIONNAIRE'!$L$59:$L$182),MATCH(ROW('VENDOR QUESTIONNAIRE'!C60:C183),ROW('VENDOR QUESTIONNAIRE'!C60:C183)),""),ROWS('VENDOR QUESTIONNAIRE'!$L$59:L60)))</f>
        <v>#NUM!</v>
      </c>
      <c r="H3" s="156" t="s">
        <v>1930</v>
      </c>
      <c r="I3" s="94" t="s">
        <v>2066</v>
      </c>
      <c r="K3" t="s">
        <v>2074</v>
      </c>
    </row>
    <row r="4" spans="1:11">
      <c r="A4">
        <v>0</v>
      </c>
      <c r="B4">
        <v>3</v>
      </c>
      <c r="C4" s="157" t="str">
        <v/>
      </c>
      <c r="D4" s="157" t="e">
        <f t="array" ref="D4">SMALL(IF(COUNTIFS(I$2,'VENDOR QUESTIONNAIRE'!$T$59:$T$182,I$3,'VENDOR QUESTIONNAIRE'!$L$59:$L$182),MATCH(ROW('VENDOR QUESTIONNAIRE'!C61:C184),ROW('VENDOR QUESTIONNAIRE'!C61:C184)),""),ROWS('VENDOR QUESTIONNAIRE'!$L$59:L61))</f>
        <v>#NUM!</v>
      </c>
      <c r="E4" s="330" t="e">
        <f t="array" ref="E4">INDEX('VENDOR QUESTIONNAIRE'!$C$59:$C$182,SMALL(IF(COUNTIFS(I$2,'VENDOR QUESTIONNAIRE'!$T$59:$T$182,I$3,'VENDOR QUESTIONNAIRE'!$L$59:$L$182),MATCH(ROW('VENDOR QUESTIONNAIRE'!C61:C184),ROW('VENDOR QUESTIONNAIRE'!C61:C184)),""),ROWS('VENDOR QUESTIONNAIRE'!$L$59:L61)))</f>
        <v>#NUM!</v>
      </c>
    </row>
    <row r="5" spans="1:11">
      <c r="A5">
        <v>0</v>
      </c>
      <c r="B5">
        <v>4</v>
      </c>
      <c r="C5" s="157" t="str">
        <v/>
      </c>
      <c r="D5" s="157" t="e">
        <f t="array" ref="D5">SMALL(IF(COUNTIFS(I$2,'VENDOR QUESTIONNAIRE'!$T$59:$T$182,I$3,'VENDOR QUESTIONNAIRE'!$L$59:$L$182),MATCH(ROW('VENDOR QUESTIONNAIRE'!C62:C185),ROW('VENDOR QUESTIONNAIRE'!C62:C185)),""),ROWS('VENDOR QUESTIONNAIRE'!$L$59:L62))</f>
        <v>#NUM!</v>
      </c>
      <c r="E5" s="330" t="e">
        <f t="array" ref="E5">INDEX('VENDOR QUESTIONNAIRE'!$C$59:$C$182,SMALL(IF(COUNTIFS(I$2,'VENDOR QUESTIONNAIRE'!$T$59:$T$182,I$3,'VENDOR QUESTIONNAIRE'!$L$59:$L$182),MATCH(ROW('VENDOR QUESTIONNAIRE'!C62:C185),ROW('VENDOR QUESTIONNAIRE'!C62:C185)),""),ROWS('VENDOR QUESTIONNAIRE'!$L$59:L62)))</f>
        <v>#NUM!</v>
      </c>
    </row>
    <row r="6" spans="1:11">
      <c r="A6">
        <v>0</v>
      </c>
      <c r="B6">
        <v>5</v>
      </c>
      <c r="C6" s="157" t="str">
        <v/>
      </c>
      <c r="D6" s="157" t="e">
        <f t="array" ref="D6">SMALL(IF(COUNTIFS(I$2,'VENDOR QUESTIONNAIRE'!$T$59:$T$182,I$3,'VENDOR QUESTIONNAIRE'!$L$59:$L$182),MATCH(ROW('VENDOR QUESTIONNAIRE'!C63:C186),ROW('VENDOR QUESTIONNAIRE'!C63:C186)),""),ROWS('VENDOR QUESTIONNAIRE'!$L$59:L63))</f>
        <v>#NUM!</v>
      </c>
      <c r="E6" s="330" t="e">
        <f t="array" ref="E6">INDEX('VENDOR QUESTIONNAIRE'!$C$59:$C$182,SMALL(IF(COUNTIFS(I$2,'VENDOR QUESTIONNAIRE'!$T$59:$T$182,I$3,'VENDOR QUESTIONNAIRE'!$L$59:$L$182),MATCH(ROW('VENDOR QUESTIONNAIRE'!C63:C186),ROW('VENDOR QUESTIONNAIRE'!C63:C186)),""),ROWS('VENDOR QUESTIONNAIRE'!$L$59:L63)))</f>
        <v>#NUM!</v>
      </c>
      <c r="H6" s="80" t="s">
        <v>1933</v>
      </c>
    </row>
    <row r="7" spans="1:11">
      <c r="A7">
        <v>0</v>
      </c>
      <c r="B7">
        <v>6</v>
      </c>
      <c r="C7" s="157" t="str">
        <v/>
      </c>
      <c r="D7" s="157" t="e">
        <f t="array" ref="D7">SMALL(IF(COUNTIFS(I$2,'VENDOR QUESTIONNAIRE'!$T$59:$T$182,I$3,'VENDOR QUESTIONNAIRE'!$L$59:$L$182),MATCH(ROW('VENDOR QUESTIONNAIRE'!C64:C187),ROW('VENDOR QUESTIONNAIRE'!C64:C187)),""),ROWS('VENDOR QUESTIONNAIRE'!$L$59:L64))</f>
        <v>#NUM!</v>
      </c>
      <c r="E7" s="330" t="e">
        <f t="array" ref="E7">INDEX('VENDOR QUESTIONNAIRE'!$C$59:$C$182,SMALL(IF(COUNTIFS(I$2,'VENDOR QUESTIONNAIRE'!$T$59:$T$182,I$3,'VENDOR QUESTIONNAIRE'!$L$59:$L$182),MATCH(ROW('VENDOR QUESTIONNAIRE'!C64:C187),ROW('VENDOR QUESTIONNAIRE'!C64:C187)),""),ROWS('VENDOR QUESTIONNAIRE'!$L$59:L64)))</f>
        <v>#NUM!</v>
      </c>
      <c r="H7" t="s">
        <v>1934</v>
      </c>
      <c r="I7" t="s">
        <v>2072</v>
      </c>
    </row>
    <row r="8" spans="1:11">
      <c r="A8">
        <v>0</v>
      </c>
      <c r="B8">
        <v>7</v>
      </c>
      <c r="C8" s="157" t="str">
        <v/>
      </c>
      <c r="D8" s="157" t="e">
        <f t="array" ref="D8">SMALL(IF(COUNTIFS(I$2,'VENDOR QUESTIONNAIRE'!$T$59:$T$182,I$3,'VENDOR QUESTIONNAIRE'!$L$59:$L$182),MATCH(ROW('VENDOR QUESTIONNAIRE'!C65:C188),ROW('VENDOR QUESTIONNAIRE'!C65:C188)),""),ROWS('VENDOR QUESTIONNAIRE'!$L$59:L65))</f>
        <v>#NUM!</v>
      </c>
      <c r="E8" s="330" t="e">
        <f t="array" ref="E8">INDEX('VENDOR QUESTIONNAIRE'!$C$59:$C$182,SMALL(IF(COUNTIFS(I$2,'VENDOR QUESTIONNAIRE'!$T$59:$T$182,I$3,'VENDOR QUESTIONNAIRE'!$L$59:$L$182),MATCH(ROW('VENDOR QUESTIONNAIRE'!C65:C188),ROW('VENDOR QUESTIONNAIRE'!C65:C188)),""),ROWS('VENDOR QUESTIONNAIRE'!$L$59:L65)))</f>
        <v>#NUM!</v>
      </c>
      <c r="H8" t="s">
        <v>1935</v>
      </c>
      <c r="I8" t="s">
        <v>1943</v>
      </c>
    </row>
    <row r="9" spans="1:11">
      <c r="A9">
        <v>0</v>
      </c>
      <c r="B9">
        <v>8</v>
      </c>
      <c r="C9" s="157" t="str">
        <v/>
      </c>
      <c r="D9" s="157" t="e">
        <f t="array" ref="D9">SMALL(IF(COUNTIFS(I$2,'VENDOR QUESTIONNAIRE'!$T$59:$T$182,I$3,'VENDOR QUESTIONNAIRE'!$L$59:$L$182),MATCH(ROW('VENDOR QUESTIONNAIRE'!C66:C189),ROW('VENDOR QUESTIONNAIRE'!C66:C189)),""),ROWS('VENDOR QUESTIONNAIRE'!$L$59:L66))</f>
        <v>#NUM!</v>
      </c>
      <c r="E9" s="330" t="e">
        <f t="array" ref="E9">INDEX('VENDOR QUESTIONNAIRE'!$C$59:$C$182,SMALL(IF(COUNTIFS(I$2,'VENDOR QUESTIONNAIRE'!$T$59:$T$182,I$3,'VENDOR QUESTIONNAIRE'!$L$59:$L$182),MATCH(ROW('VENDOR QUESTIONNAIRE'!C66:C189),ROW('VENDOR QUESTIONNAIRE'!C66:C189)),""),ROWS('VENDOR QUESTIONNAIRE'!$L$59:L66)))</f>
        <v>#NUM!</v>
      </c>
      <c r="H9" t="s">
        <v>1936</v>
      </c>
      <c r="I9" t="s">
        <v>1939</v>
      </c>
    </row>
    <row r="10" spans="1:11">
      <c r="A10">
        <v>0</v>
      </c>
      <c r="B10">
        <v>9</v>
      </c>
      <c r="C10" s="157" t="str">
        <v/>
      </c>
      <c r="D10" s="157" t="e">
        <f t="array" ref="D10">SMALL(IF(COUNTIFS(I$2,'VENDOR QUESTIONNAIRE'!$T$59:$T$182,I$3,'VENDOR QUESTIONNAIRE'!$L$59:$L$182),MATCH(ROW('VENDOR QUESTIONNAIRE'!C67:C190),ROW('VENDOR QUESTIONNAIRE'!C67:C190)),""),ROWS('VENDOR QUESTIONNAIRE'!$L$59:L67))</f>
        <v>#NUM!</v>
      </c>
      <c r="E10" s="330" t="e">
        <f t="array" ref="E10">INDEX('VENDOR QUESTIONNAIRE'!$C$59:$C$182,SMALL(IF(COUNTIFS(I$2,'VENDOR QUESTIONNAIRE'!$T$59:$T$182,I$3,'VENDOR QUESTIONNAIRE'!$L$59:$L$182),MATCH(ROW('VENDOR QUESTIONNAIRE'!C67:C190),ROW('VENDOR QUESTIONNAIRE'!C67:C190)),""),ROWS('VENDOR QUESTIONNAIRE'!$L$59:L67)))</f>
        <v>#NUM!</v>
      </c>
      <c r="H10" t="s">
        <v>1937</v>
      </c>
      <c r="I10" t="s">
        <v>1940</v>
      </c>
    </row>
    <row r="11" spans="1:11">
      <c r="A11">
        <v>0</v>
      </c>
      <c r="B11">
        <v>10</v>
      </c>
      <c r="C11" s="157" t="str">
        <v/>
      </c>
      <c r="D11" s="157" t="e">
        <f t="array" ref="D11">SMALL(IF(COUNTIFS(I$2,'VENDOR QUESTIONNAIRE'!$T$59:$T$182,I$3,'VENDOR QUESTIONNAIRE'!$L$59:$L$182),MATCH(ROW('VENDOR QUESTIONNAIRE'!C68:C191),ROW('VENDOR QUESTIONNAIRE'!C68:C191)),""),ROWS('VENDOR QUESTIONNAIRE'!$L$59:L68))</f>
        <v>#NUM!</v>
      </c>
      <c r="E11" s="330" t="e">
        <f t="array" ref="E11">INDEX('VENDOR QUESTIONNAIRE'!$C$59:$C$182,SMALL(IF(COUNTIFS(I$2,'VENDOR QUESTIONNAIRE'!$T$59:$T$182,I$3,'VENDOR QUESTIONNAIRE'!$L$59:$L$182),MATCH(ROW('VENDOR QUESTIONNAIRE'!C68:C191),ROW('VENDOR QUESTIONNAIRE'!C68:C191)),""),ROWS('VENDOR QUESTIONNAIRE'!$L$59:L68)))</f>
        <v>#NUM!</v>
      </c>
      <c r="H11" t="s">
        <v>1944</v>
      </c>
      <c r="I11" t="s">
        <v>1945</v>
      </c>
    </row>
    <row r="12" spans="1:11">
      <c r="A12">
        <v>0</v>
      </c>
      <c r="B12">
        <v>11</v>
      </c>
      <c r="C12" s="157" t="str">
        <v/>
      </c>
      <c r="D12" s="157" t="e">
        <f t="array" ref="D12">SMALL(IF(COUNTIFS(I$2,'VENDOR QUESTIONNAIRE'!$T$59:$T$182,I$3,'VENDOR QUESTIONNAIRE'!$L$59:$L$182),MATCH(ROW('VENDOR QUESTIONNAIRE'!C69:C192),ROW('VENDOR QUESTIONNAIRE'!C69:C192)),""),ROWS('VENDOR QUESTIONNAIRE'!$L$59:L69))</f>
        <v>#NUM!</v>
      </c>
      <c r="E12" s="330" t="e">
        <f t="array" ref="E12">INDEX('VENDOR QUESTIONNAIRE'!$C$59:$C$182,SMALL(IF(COUNTIFS(I$2,'VENDOR QUESTIONNAIRE'!$T$59:$T$182,I$3,'VENDOR QUESTIONNAIRE'!$L$59:$L$182),MATCH(ROW('VENDOR QUESTIONNAIRE'!C69:C192),ROW('VENDOR QUESTIONNAIRE'!C69:C192)),""),ROWS('VENDOR QUESTIONNAIRE'!$L$59:L69)))</f>
        <v>#NUM!</v>
      </c>
    </row>
    <row r="13" spans="1:11">
      <c r="A13">
        <v>0</v>
      </c>
      <c r="B13">
        <v>12</v>
      </c>
      <c r="C13" s="157" t="str">
        <v/>
      </c>
      <c r="D13" s="157" t="e">
        <f t="array" ref="D13">SMALL(IF(COUNTIFS(I$2,'VENDOR QUESTIONNAIRE'!$T$59:$T$182,I$3,'VENDOR QUESTIONNAIRE'!$L$59:$L$182),MATCH(ROW('VENDOR QUESTIONNAIRE'!C70:C193),ROW('VENDOR QUESTIONNAIRE'!C70:C193)),""),ROWS('VENDOR QUESTIONNAIRE'!$L$59:L70))</f>
        <v>#NUM!</v>
      </c>
      <c r="E13" s="330" t="e">
        <f t="array" ref="E13">INDEX('VENDOR QUESTIONNAIRE'!$C$59:$C$182,SMALL(IF(COUNTIFS(I$2,'VENDOR QUESTIONNAIRE'!$T$59:$T$182,I$3,'VENDOR QUESTIONNAIRE'!$L$59:$L$182),MATCH(ROW('VENDOR QUESTIONNAIRE'!C70:C193),ROW('VENDOR QUESTIONNAIRE'!C70:C193)),""),ROWS('VENDOR QUESTIONNAIRE'!$L$59:L70)))</f>
        <v>#NUM!</v>
      </c>
    </row>
    <row r="14" spans="1:11">
      <c r="A14">
        <v>0</v>
      </c>
      <c r="B14">
        <v>13</v>
      </c>
      <c r="C14" s="157" t="str">
        <v/>
      </c>
      <c r="D14" s="157" t="e">
        <f t="array" ref="D14">SMALL(IF(COUNTIFS(I$2,'VENDOR QUESTIONNAIRE'!$T$59:$T$182,I$3,'VENDOR QUESTIONNAIRE'!$L$59:$L$182),MATCH(ROW('VENDOR QUESTIONNAIRE'!C71:C194),ROW('VENDOR QUESTIONNAIRE'!C71:C194)),""),ROWS('VENDOR QUESTIONNAIRE'!$L$59:L71))</f>
        <v>#NUM!</v>
      </c>
      <c r="E14" s="330" t="e">
        <f t="array" ref="E14">INDEX('VENDOR QUESTIONNAIRE'!$C$59:$C$182,SMALL(IF(COUNTIFS(I$2,'VENDOR QUESTIONNAIRE'!$T$59:$T$182,I$3,'VENDOR QUESTIONNAIRE'!$L$59:$L$182),MATCH(ROW('VENDOR QUESTIONNAIRE'!C71:C194),ROW('VENDOR QUESTIONNAIRE'!C71:C194)),""),ROWS('VENDOR QUESTIONNAIRE'!$L$59:L71)))</f>
        <v>#NUM!</v>
      </c>
    </row>
    <row r="15" spans="1:11">
      <c r="A15">
        <v>0</v>
      </c>
      <c r="B15">
        <v>14</v>
      </c>
      <c r="C15" s="157" t="str">
        <v/>
      </c>
      <c r="D15" s="157" t="e">
        <f t="array" ref="D15">SMALL(IF(COUNTIFS(I$2,'VENDOR QUESTIONNAIRE'!$T$59:$T$182,I$3,'VENDOR QUESTIONNAIRE'!$L$59:$L$182),MATCH(ROW('VENDOR QUESTIONNAIRE'!C72:C195),ROW('VENDOR QUESTIONNAIRE'!C72:C195)),""),ROWS('VENDOR QUESTIONNAIRE'!$L$59:L72))</f>
        <v>#NUM!</v>
      </c>
      <c r="E15" s="330" t="e">
        <f t="array" ref="E15">INDEX('VENDOR QUESTIONNAIRE'!$C$59:$C$182,SMALL(IF(COUNTIFS(I$2,'VENDOR QUESTIONNAIRE'!$T$59:$T$182,I$3,'VENDOR QUESTIONNAIRE'!$L$59:$L$182),MATCH(ROW('VENDOR QUESTIONNAIRE'!C72:C195),ROW('VENDOR QUESTIONNAIRE'!C72:C195)),""),ROWS('VENDOR QUESTIONNAIRE'!$L$59:L72)))</f>
        <v>#NUM!</v>
      </c>
    </row>
    <row r="16" spans="1:11">
      <c r="A16">
        <v>0</v>
      </c>
      <c r="B16">
        <v>15</v>
      </c>
      <c r="C16" s="157" t="str">
        <v/>
      </c>
      <c r="D16" s="157" t="e">
        <f t="array" ref="D16">SMALL(IF(COUNTIFS(I$2,'VENDOR QUESTIONNAIRE'!$T$59:$T$182,I$3,'VENDOR QUESTIONNAIRE'!$L$59:$L$182),MATCH(ROW('VENDOR QUESTIONNAIRE'!C73:C196),ROW('VENDOR QUESTIONNAIRE'!C73:C196)),""),ROWS('VENDOR QUESTIONNAIRE'!$L$59:L73))</f>
        <v>#NUM!</v>
      </c>
      <c r="E16" s="330" t="e">
        <f t="array" ref="E16">INDEX('VENDOR QUESTIONNAIRE'!$C$59:$C$182,SMALL(IF(COUNTIFS(I$2,'VENDOR QUESTIONNAIRE'!$T$59:$T$182,I$3,'VENDOR QUESTIONNAIRE'!$L$59:$L$182),MATCH(ROW('VENDOR QUESTIONNAIRE'!C73:C196),ROW('VENDOR QUESTIONNAIRE'!C73:C196)),""),ROWS('VENDOR QUESTIONNAIRE'!$L$59:L73)))</f>
        <v>#NUM!</v>
      </c>
    </row>
    <row r="17" spans="1:5">
      <c r="A17">
        <v>0</v>
      </c>
      <c r="B17">
        <v>16</v>
      </c>
      <c r="C17" s="157" t="str">
        <v/>
      </c>
      <c r="D17" s="157" t="e">
        <f t="array" ref="D17">SMALL(IF(COUNTIFS(I$2,'VENDOR QUESTIONNAIRE'!$T$59:$T$182,I$3,'VENDOR QUESTIONNAIRE'!$L$59:$L$182),MATCH(ROW('VENDOR QUESTIONNAIRE'!C74:C197),ROW('VENDOR QUESTIONNAIRE'!C74:C197)),""),ROWS('VENDOR QUESTIONNAIRE'!$L$59:L74))</f>
        <v>#NUM!</v>
      </c>
      <c r="E17" s="330" t="e">
        <f t="array" ref="E17">INDEX('VENDOR QUESTIONNAIRE'!$C$59:$C$182,SMALL(IF(COUNTIFS(I$2,'VENDOR QUESTIONNAIRE'!$T$59:$T$182,I$3,'VENDOR QUESTIONNAIRE'!$L$59:$L$182),MATCH(ROW('VENDOR QUESTIONNAIRE'!C74:C197),ROW('VENDOR QUESTIONNAIRE'!C74:C197)),""),ROWS('VENDOR QUESTIONNAIRE'!$L$59:L74)))</f>
        <v>#NUM!</v>
      </c>
    </row>
    <row r="18" spans="1:5">
      <c r="A18">
        <v>0</v>
      </c>
      <c r="B18">
        <v>17</v>
      </c>
      <c r="C18" s="157" t="str">
        <v/>
      </c>
      <c r="D18" s="157" t="e">
        <f t="array" ref="D18">SMALL(IF(COUNTIFS(I$2,'VENDOR QUESTIONNAIRE'!$T$59:$T$182,I$3,'VENDOR QUESTIONNAIRE'!$L$59:$L$182),MATCH(ROW('VENDOR QUESTIONNAIRE'!C75:C198),ROW('VENDOR QUESTIONNAIRE'!C75:C198)),""),ROWS('VENDOR QUESTIONNAIRE'!$L$59:L75))</f>
        <v>#NUM!</v>
      </c>
      <c r="E18" s="330" t="e">
        <f t="array" ref="E18">INDEX('VENDOR QUESTIONNAIRE'!$C$59:$C$182,SMALL(IF(COUNTIFS(I$2,'VENDOR QUESTIONNAIRE'!$T$59:$T$182,I$3,'VENDOR QUESTIONNAIRE'!$L$59:$L$182),MATCH(ROW('VENDOR QUESTIONNAIRE'!C75:C198),ROW('VENDOR QUESTIONNAIRE'!C75:C198)),""),ROWS('VENDOR QUESTIONNAIRE'!$L$59:L75)))</f>
        <v>#NUM!</v>
      </c>
    </row>
    <row r="19" spans="1:5">
      <c r="A19">
        <v>0</v>
      </c>
      <c r="B19">
        <v>18</v>
      </c>
      <c r="C19" s="157" t="str">
        <v/>
      </c>
      <c r="D19" s="157" t="e">
        <f t="array" ref="D19">SMALL(IF(COUNTIFS(I$2,'VENDOR QUESTIONNAIRE'!$T$59:$T$182,I$3,'VENDOR QUESTIONNAIRE'!$L$59:$L$182),MATCH(ROW('VENDOR QUESTIONNAIRE'!C76:C199),ROW('VENDOR QUESTIONNAIRE'!C76:C199)),""),ROWS('VENDOR QUESTIONNAIRE'!$L$59:L76))</f>
        <v>#NUM!</v>
      </c>
      <c r="E19" s="330" t="e">
        <f t="array" ref="E19">INDEX('VENDOR QUESTIONNAIRE'!$C$59:$C$182,SMALL(IF(COUNTIFS(I$2,'VENDOR QUESTIONNAIRE'!$T$59:$T$182,I$3,'VENDOR QUESTIONNAIRE'!$L$59:$L$182),MATCH(ROW('VENDOR QUESTIONNAIRE'!C76:C199),ROW('VENDOR QUESTIONNAIRE'!C76:C199)),""),ROWS('VENDOR QUESTIONNAIRE'!$L$59:L76)))</f>
        <v>#NUM!</v>
      </c>
    </row>
    <row r="20" spans="1:5">
      <c r="A20">
        <v>0</v>
      </c>
      <c r="B20">
        <v>19</v>
      </c>
      <c r="C20" s="157" t="str">
        <v/>
      </c>
      <c r="D20" s="157" t="e">
        <f t="array" ref="D20">SMALL(IF(COUNTIFS(I$2,'VENDOR QUESTIONNAIRE'!$T$59:$T$182,I$3,'VENDOR QUESTIONNAIRE'!$L$59:$L$182),MATCH(ROW('VENDOR QUESTIONNAIRE'!C77:C200),ROW('VENDOR QUESTIONNAIRE'!C77:C200)),""),ROWS('VENDOR QUESTIONNAIRE'!$L$59:L77))</f>
        <v>#NUM!</v>
      </c>
      <c r="E20" s="330" t="e">
        <f t="array" ref="E20">INDEX('VENDOR QUESTIONNAIRE'!$C$59:$C$182,SMALL(IF(COUNTIFS(I$2,'VENDOR QUESTIONNAIRE'!$T$59:$T$182,I$3,'VENDOR QUESTIONNAIRE'!$L$59:$L$182),MATCH(ROW('VENDOR QUESTIONNAIRE'!C77:C200),ROW('VENDOR QUESTIONNAIRE'!C77:C200)),""),ROWS('VENDOR QUESTIONNAIRE'!$L$59:L77)))</f>
        <v>#NUM!</v>
      </c>
    </row>
    <row r="21" spans="1:5" ht="17" thickBot="1">
      <c r="A21">
        <v>0</v>
      </c>
      <c r="B21">
        <v>20</v>
      </c>
      <c r="C21" s="157" t="str">
        <v/>
      </c>
      <c r="D21" s="157" t="e">
        <f t="array" ref="D21">SMALL(IF(COUNTIFS(I$2,'VENDOR QUESTIONNAIRE'!$T$59:$T$182,I$3,'VENDOR QUESTIONNAIRE'!$L$59:$L$182),MATCH(ROW('VENDOR QUESTIONNAIRE'!C78:C201),ROW('VENDOR QUESTIONNAIRE'!C78:C201)),""),ROWS('VENDOR QUESTIONNAIRE'!$L$59:L78))</f>
        <v>#NUM!</v>
      </c>
      <c r="E21" s="331" t="e">
        <f t="array" ref="E21">INDEX('VENDOR QUESTIONNAIRE'!$C$59:$C$182,SMALL(IF(COUNTIFS(I$2,'VENDOR QUESTIONNAIRE'!$T$59:$T$182,I$3,'VENDOR QUESTIONNAIRE'!$L$59:$L$182),MATCH(ROW('VENDOR QUESTIONNAIRE'!C78:C201),ROW('VENDOR QUESTIONNAIRE'!C78:C201)),""),ROWS('VENDOR QUESTIONNAIRE'!$L$59:L78)))</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heetViews>
  <sheetFormatPr baseColWidth="10" defaultColWidth="11" defaultRowHeight="16"/>
  <sheetData>
    <row r="1" spans="1:11">
      <c r="A1" s="367" t="s">
        <v>1931</v>
      </c>
      <c r="B1" s="368" t="s">
        <v>1932</v>
      </c>
      <c r="C1" s="369" t="s">
        <v>1938</v>
      </c>
      <c r="D1" s="370" t="s">
        <v>1941</v>
      </c>
      <c r="E1" s="371" t="s">
        <v>1942</v>
      </c>
      <c r="H1" s="80" t="s">
        <v>2071</v>
      </c>
    </row>
    <row r="2" spans="1:11">
      <c r="A2">
        <f t="array" ref="A2:A130">COUNTIFS(I$2,'VENDOR QUESTIONNAIRE'!$T$59:$T$182,I$3,'VENDOR QUESTIONNAIRE'!$L$59:$L$182)</f>
        <v>0</v>
      </c>
      <c r="B2">
        <f t="array" ref="B2:B130">MATCH(ROW('VENDOR QUESTIONNAIRE'!C59:C182),ROW('VENDOR QUESTIONNAIRE'!C59:C182))</f>
        <v>1</v>
      </c>
      <c r="C2" s="157" t="str">
        <f t="array" ref="C2:C130">IF(COUNTIFS(I$2,'VENDOR QUESTIONNAIRE'!$T$59:$T$182,I$3,'VENDOR QUESTIONNAIRE'!$L$59:$L$182),MATCH(ROW('VENDOR QUESTIONNAIRE'!C59:C182),ROW('VENDOR QUESTIONNAIRE'!C59:C182)),"")</f>
        <v/>
      </c>
      <c r="D2" s="157" t="e">
        <f t="array" ref="D2">SMALL(IF(COUNTIFS(I$2,'VENDOR QUESTIONNAIRE'!$T$59:$T$182,I$3,'VENDOR QUESTIONNAIRE'!$L$59:$L$182),MATCH(ROW('VENDOR QUESTIONNAIRE'!C59:C182),ROW('VENDOR QUESTIONNAIRE'!C59:C182)),""),ROWS('VENDOR QUESTIONNAIRE'!$L$59:L59))</f>
        <v>#NUM!</v>
      </c>
      <c r="E2" s="330" t="e">
        <f t="array" ref="E2">INDEX('VENDOR QUESTIONNAIRE'!$C$59:$C$182,SMALL(IF(COUNTIFS(I$2,'VENDOR QUESTIONNAIRE'!$T$59:$T$182,I$3,'VENDOR QUESTIONNAIRE'!$L$59:$L$182),MATCH(ROW('VENDOR QUESTIONNAIRE'!C59:C182),ROW('VENDOR QUESTIONNAIRE'!C59:C182)),""),ROWS('VENDOR QUESTIONNAIRE'!$L$59:L59)))</f>
        <v>#NUM!</v>
      </c>
      <c r="H2" s="156" t="s">
        <v>1929</v>
      </c>
      <c r="I2" s="94" t="s">
        <v>585</v>
      </c>
      <c r="J2" t="s">
        <v>2073</v>
      </c>
    </row>
    <row r="3" spans="1:11">
      <c r="A3">
        <v>0</v>
      </c>
      <c r="B3">
        <v>2</v>
      </c>
      <c r="C3" s="157" t="str">
        <v/>
      </c>
      <c r="D3" s="157" t="e">
        <f t="array" ref="D3">SMALL(IF(COUNTIFS(I$2,'VENDOR QUESTIONNAIRE'!$T$59:$T$182,I$3,'VENDOR QUESTIONNAIRE'!$L$59:$L$182),MATCH(ROW('VENDOR QUESTIONNAIRE'!C60:C183),ROW('VENDOR QUESTIONNAIRE'!C60:C183)),""),ROWS('VENDOR QUESTIONNAIRE'!$L$59:L60))</f>
        <v>#NUM!</v>
      </c>
      <c r="E3" s="330" t="e">
        <f t="array" ref="E3">INDEX('VENDOR QUESTIONNAIRE'!$C$59:$C$182,SMALL(IF(COUNTIFS(I$2,'VENDOR QUESTIONNAIRE'!$T$59:$T$182,I$3,'VENDOR QUESTIONNAIRE'!$L$59:$L$182),MATCH(ROW('VENDOR QUESTIONNAIRE'!C60:C183),ROW('VENDOR QUESTIONNAIRE'!C60:C183)),""),ROWS('VENDOR QUESTIONNAIRE'!$L$59:L60)))</f>
        <v>#NUM!</v>
      </c>
      <c r="H3" s="156" t="s">
        <v>1930</v>
      </c>
      <c r="I3" s="94" t="s">
        <v>1532</v>
      </c>
      <c r="J3" t="s">
        <v>2074</v>
      </c>
      <c r="K3" t="s">
        <v>2074</v>
      </c>
    </row>
    <row r="4" spans="1:11">
      <c r="A4">
        <v>0</v>
      </c>
      <c r="B4">
        <v>3</v>
      </c>
      <c r="C4" s="157" t="str">
        <v/>
      </c>
      <c r="D4" s="157" t="e">
        <f t="array" ref="D4">SMALL(IF(COUNTIFS(I$2,'VENDOR QUESTIONNAIRE'!$T$59:$T$182,I$3,'VENDOR QUESTIONNAIRE'!$L$59:$L$182),MATCH(ROW('VENDOR QUESTIONNAIRE'!C61:C184),ROW('VENDOR QUESTIONNAIRE'!C61:C184)),""),ROWS('VENDOR QUESTIONNAIRE'!$L$59:L61))</f>
        <v>#NUM!</v>
      </c>
      <c r="E4" s="330" t="e">
        <f t="array" ref="E4">INDEX('VENDOR QUESTIONNAIRE'!$C$59:$C$182,SMALL(IF(COUNTIFS(I$2,'VENDOR QUESTIONNAIRE'!$T$59:$T$182,I$3,'VENDOR QUESTIONNAIRE'!$L$59:$L$182),MATCH(ROW('VENDOR QUESTIONNAIRE'!C61:C184),ROW('VENDOR QUESTIONNAIRE'!C61:C184)),""),ROWS('VENDOR QUESTIONNAIRE'!$L$59:L61)))</f>
        <v>#NUM!</v>
      </c>
    </row>
    <row r="5" spans="1:11">
      <c r="A5">
        <v>0</v>
      </c>
      <c r="B5">
        <v>4</v>
      </c>
      <c r="C5" s="157" t="str">
        <v/>
      </c>
      <c r="D5" s="157" t="e">
        <f t="array" ref="D5">SMALL(IF(COUNTIFS(I$2,'VENDOR QUESTIONNAIRE'!$T$59:$T$182,I$3,'VENDOR QUESTIONNAIRE'!$L$59:$L$182),MATCH(ROW('VENDOR QUESTIONNAIRE'!C62:C185),ROW('VENDOR QUESTIONNAIRE'!C62:C185)),""),ROWS('VENDOR QUESTIONNAIRE'!$L$59:L62))</f>
        <v>#NUM!</v>
      </c>
      <c r="E5" s="330" t="e">
        <f t="array" ref="E5">INDEX('VENDOR QUESTIONNAIRE'!$C$59:$C$182,SMALL(IF(COUNTIFS(I$2,'VENDOR QUESTIONNAIRE'!$T$59:$T$182,I$3,'VENDOR QUESTIONNAIRE'!$L$59:$L$182),MATCH(ROW('VENDOR QUESTIONNAIRE'!C62:C185),ROW('VENDOR QUESTIONNAIRE'!C62:C185)),""),ROWS('VENDOR QUESTIONNAIRE'!$L$59:L62)))</f>
        <v>#NUM!</v>
      </c>
    </row>
    <row r="6" spans="1:11">
      <c r="A6">
        <v>0</v>
      </c>
      <c r="B6">
        <v>5</v>
      </c>
      <c r="C6" s="157" t="str">
        <v/>
      </c>
      <c r="D6" s="157" t="e">
        <f t="array" ref="D6">SMALL(IF(COUNTIFS(I$2,'VENDOR QUESTIONNAIRE'!$T$59:$T$182,I$3,'VENDOR QUESTIONNAIRE'!$L$59:$L$182),MATCH(ROW('VENDOR QUESTIONNAIRE'!C63:C186),ROW('VENDOR QUESTIONNAIRE'!C63:C186)),""),ROWS('VENDOR QUESTIONNAIRE'!$L$59:L63))</f>
        <v>#NUM!</v>
      </c>
      <c r="E6" s="330" t="e">
        <f t="array" ref="E6">INDEX('VENDOR QUESTIONNAIRE'!$C$59:$C$182,SMALL(IF(COUNTIFS(I$2,'VENDOR QUESTIONNAIRE'!$T$59:$T$182,I$3,'VENDOR QUESTIONNAIRE'!$L$59:$L$182),MATCH(ROW('VENDOR QUESTIONNAIRE'!C63:C186),ROW('VENDOR QUESTIONNAIRE'!C63:C186)),""),ROWS('VENDOR QUESTIONNAIRE'!$L$59:L63)))</f>
        <v>#NUM!</v>
      </c>
      <c r="H6" s="80" t="s">
        <v>1933</v>
      </c>
    </row>
    <row r="7" spans="1:11">
      <c r="A7">
        <v>0</v>
      </c>
      <c r="B7">
        <v>6</v>
      </c>
      <c r="C7" s="157" t="str">
        <v/>
      </c>
      <c r="D7" s="157" t="e">
        <f t="array" ref="D7">SMALL(IF(COUNTIFS(I$2,'VENDOR QUESTIONNAIRE'!$T$59:$T$182,I$3,'VENDOR QUESTIONNAIRE'!$L$59:$L$182),MATCH(ROW('VENDOR QUESTIONNAIRE'!C64:C187),ROW('VENDOR QUESTIONNAIRE'!C64:C187)),""),ROWS('VENDOR QUESTIONNAIRE'!$L$59:L64))</f>
        <v>#NUM!</v>
      </c>
      <c r="E7" s="330" t="e">
        <f t="array" ref="E7">INDEX('VENDOR QUESTIONNAIRE'!$C$59:$C$182,SMALL(IF(COUNTIFS(I$2,'VENDOR QUESTIONNAIRE'!$T$59:$T$182,I$3,'VENDOR QUESTIONNAIRE'!$L$59:$L$182),MATCH(ROW('VENDOR QUESTIONNAIRE'!C64:C187),ROW('VENDOR QUESTIONNAIRE'!C64:C187)),""),ROWS('VENDOR QUESTIONNAIRE'!$L$59:L64)))</f>
        <v>#NUM!</v>
      </c>
      <c r="H7" t="s">
        <v>1934</v>
      </c>
      <c r="I7" t="s">
        <v>2072</v>
      </c>
    </row>
    <row r="8" spans="1:11">
      <c r="A8">
        <v>0</v>
      </c>
      <c r="B8">
        <v>7</v>
      </c>
      <c r="C8" s="157" t="str">
        <v/>
      </c>
      <c r="D8" s="157" t="e">
        <f t="array" ref="D8">SMALL(IF(COUNTIFS(I$2,'VENDOR QUESTIONNAIRE'!$T$59:$T$182,I$3,'VENDOR QUESTIONNAIRE'!$L$59:$L$182),MATCH(ROW('VENDOR QUESTIONNAIRE'!C65:C188),ROW('VENDOR QUESTIONNAIRE'!C65:C188)),""),ROWS('VENDOR QUESTIONNAIRE'!$L$59:L65))</f>
        <v>#NUM!</v>
      </c>
      <c r="E8" s="330" t="e">
        <f t="array" ref="E8">INDEX('VENDOR QUESTIONNAIRE'!$C$59:$C$182,SMALL(IF(COUNTIFS(I$2,'VENDOR QUESTIONNAIRE'!$T$59:$T$182,I$3,'VENDOR QUESTIONNAIRE'!$L$59:$L$182),MATCH(ROW('VENDOR QUESTIONNAIRE'!C65:C188),ROW('VENDOR QUESTIONNAIRE'!C65:C188)),""),ROWS('VENDOR QUESTIONNAIRE'!$L$59:L65)))</f>
        <v>#NUM!</v>
      </c>
      <c r="H8" t="s">
        <v>1935</v>
      </c>
      <c r="I8" t="s">
        <v>1943</v>
      </c>
    </row>
    <row r="9" spans="1:11">
      <c r="A9">
        <v>0</v>
      </c>
      <c r="B9">
        <v>8</v>
      </c>
      <c r="C9" s="157" t="str">
        <v/>
      </c>
      <c r="D9" s="157" t="e">
        <f t="array" ref="D9">SMALL(IF(COUNTIFS(I$2,'VENDOR QUESTIONNAIRE'!$T$59:$T$182,I$3,'VENDOR QUESTIONNAIRE'!$L$59:$L$182),MATCH(ROW('VENDOR QUESTIONNAIRE'!C66:C189),ROW('VENDOR QUESTIONNAIRE'!C66:C189)),""),ROWS('VENDOR QUESTIONNAIRE'!$L$59:L66))</f>
        <v>#NUM!</v>
      </c>
      <c r="E9" s="330" t="e">
        <f t="array" ref="E9">INDEX('VENDOR QUESTIONNAIRE'!$C$59:$C$182,SMALL(IF(COUNTIFS(I$2,'VENDOR QUESTIONNAIRE'!$T$59:$T$182,I$3,'VENDOR QUESTIONNAIRE'!$L$59:$L$182),MATCH(ROW('VENDOR QUESTIONNAIRE'!C66:C189),ROW('VENDOR QUESTIONNAIRE'!C66:C189)),""),ROWS('VENDOR QUESTIONNAIRE'!$L$59:L66)))</f>
        <v>#NUM!</v>
      </c>
      <c r="H9" t="s">
        <v>1936</v>
      </c>
      <c r="I9" t="s">
        <v>1939</v>
      </c>
    </row>
    <row r="10" spans="1:11">
      <c r="A10">
        <v>0</v>
      </c>
      <c r="B10">
        <v>9</v>
      </c>
      <c r="C10" s="157" t="str">
        <v/>
      </c>
      <c r="D10" s="157" t="e">
        <f t="array" ref="D10">SMALL(IF(COUNTIFS(I$2,'VENDOR QUESTIONNAIRE'!$T$59:$T$182,I$3,'VENDOR QUESTIONNAIRE'!$L$59:$L$182),MATCH(ROW('VENDOR QUESTIONNAIRE'!C67:C190),ROW('VENDOR QUESTIONNAIRE'!C67:C190)),""),ROWS('VENDOR QUESTIONNAIRE'!$L$59:L67))</f>
        <v>#NUM!</v>
      </c>
      <c r="E10" s="330" t="e">
        <f t="array" ref="E10">INDEX('VENDOR QUESTIONNAIRE'!$C$59:$C$182,SMALL(IF(COUNTIFS(I$2,'VENDOR QUESTIONNAIRE'!$T$59:$T$182,I$3,'VENDOR QUESTIONNAIRE'!$L$59:$L$182),MATCH(ROW('VENDOR QUESTIONNAIRE'!C67:C190),ROW('VENDOR QUESTIONNAIRE'!C67:C190)),""),ROWS('VENDOR QUESTIONNAIRE'!$L$59:L67)))</f>
        <v>#NUM!</v>
      </c>
      <c r="H10" t="s">
        <v>1937</v>
      </c>
      <c r="I10" t="s">
        <v>1940</v>
      </c>
    </row>
    <row r="11" spans="1:11">
      <c r="A11">
        <v>0</v>
      </c>
      <c r="B11">
        <v>10</v>
      </c>
      <c r="C11" s="157" t="str">
        <v/>
      </c>
      <c r="D11" s="157" t="e">
        <f t="array" ref="D11">SMALL(IF(COUNTIFS(I$2,'VENDOR QUESTIONNAIRE'!$T$59:$T$182,I$3,'VENDOR QUESTIONNAIRE'!$L$59:$L$182),MATCH(ROW('VENDOR QUESTIONNAIRE'!C68:C191),ROW('VENDOR QUESTIONNAIRE'!C68:C191)),""),ROWS('VENDOR QUESTIONNAIRE'!$L$59:L68))</f>
        <v>#NUM!</v>
      </c>
      <c r="E11" s="330" t="e">
        <f t="array" ref="E11">INDEX('VENDOR QUESTIONNAIRE'!$C$59:$C$182,SMALL(IF(COUNTIFS(I$2,'VENDOR QUESTIONNAIRE'!$T$59:$T$182,I$3,'VENDOR QUESTIONNAIRE'!$L$59:$L$182),MATCH(ROW('VENDOR QUESTIONNAIRE'!C68:C191),ROW('VENDOR QUESTIONNAIRE'!C68:C191)),""),ROWS('VENDOR QUESTIONNAIRE'!$L$59:L68)))</f>
        <v>#NUM!</v>
      </c>
      <c r="H11" t="s">
        <v>1944</v>
      </c>
      <c r="I11" t="s">
        <v>1945</v>
      </c>
    </row>
    <row r="12" spans="1:11">
      <c r="A12">
        <v>0</v>
      </c>
      <c r="B12">
        <v>11</v>
      </c>
      <c r="C12" s="157" t="str">
        <v/>
      </c>
      <c r="D12" s="157" t="e">
        <f t="array" ref="D12">SMALL(IF(COUNTIFS(I$2,'VENDOR QUESTIONNAIRE'!$T$59:$T$182,I$3,'VENDOR QUESTIONNAIRE'!$L$59:$L$182),MATCH(ROW('VENDOR QUESTIONNAIRE'!C69:C192),ROW('VENDOR QUESTIONNAIRE'!C69:C192)),""),ROWS('VENDOR QUESTIONNAIRE'!$L$59:L69))</f>
        <v>#NUM!</v>
      </c>
      <c r="E12" s="330" t="e">
        <f t="array" ref="E12">INDEX('VENDOR QUESTIONNAIRE'!$C$59:$C$182,SMALL(IF(COUNTIFS(I$2,'VENDOR QUESTIONNAIRE'!$T$59:$T$182,I$3,'VENDOR QUESTIONNAIRE'!$L$59:$L$182),MATCH(ROW('VENDOR QUESTIONNAIRE'!C69:C192),ROW('VENDOR QUESTIONNAIRE'!C69:C192)),""),ROWS('VENDOR QUESTIONNAIRE'!$L$59:L69)))</f>
        <v>#NUM!</v>
      </c>
    </row>
    <row r="13" spans="1:11">
      <c r="A13">
        <v>0</v>
      </c>
      <c r="B13">
        <v>12</v>
      </c>
      <c r="C13" s="157" t="str">
        <v/>
      </c>
      <c r="D13" s="157" t="e">
        <f t="array" ref="D13">SMALL(IF(COUNTIFS(I$2,'VENDOR QUESTIONNAIRE'!$T$59:$T$182,I$3,'VENDOR QUESTIONNAIRE'!$L$59:$L$182),MATCH(ROW('VENDOR QUESTIONNAIRE'!C70:C193),ROW('VENDOR QUESTIONNAIRE'!C70:C193)),""),ROWS('VENDOR QUESTIONNAIRE'!$L$59:L70))</f>
        <v>#NUM!</v>
      </c>
      <c r="E13" s="330" t="e">
        <f t="array" ref="E13">INDEX('VENDOR QUESTIONNAIRE'!$C$59:$C$182,SMALL(IF(COUNTIFS(I$2,'VENDOR QUESTIONNAIRE'!$T$59:$T$182,I$3,'VENDOR QUESTIONNAIRE'!$L$59:$L$182),MATCH(ROW('VENDOR QUESTIONNAIRE'!C70:C193),ROW('VENDOR QUESTIONNAIRE'!C70:C193)),""),ROWS('VENDOR QUESTIONNAIRE'!$L$59:L70)))</f>
        <v>#NUM!</v>
      </c>
    </row>
    <row r="14" spans="1:11">
      <c r="A14">
        <v>0</v>
      </c>
      <c r="B14">
        <v>13</v>
      </c>
      <c r="C14" s="157" t="str">
        <v/>
      </c>
      <c r="D14" s="157" t="e">
        <f t="array" ref="D14">SMALL(IF(COUNTIFS(I$2,'VENDOR QUESTIONNAIRE'!$T$59:$T$182,I$3,'VENDOR QUESTIONNAIRE'!$L$59:$L$182),MATCH(ROW('VENDOR QUESTIONNAIRE'!C71:C194),ROW('VENDOR QUESTIONNAIRE'!C71:C194)),""),ROWS('VENDOR QUESTIONNAIRE'!$L$59:L71))</f>
        <v>#NUM!</v>
      </c>
      <c r="E14" s="330" t="e">
        <f t="array" ref="E14">INDEX('VENDOR QUESTIONNAIRE'!$C$59:$C$182,SMALL(IF(COUNTIFS(I$2,'VENDOR QUESTIONNAIRE'!$T$59:$T$182,I$3,'VENDOR QUESTIONNAIRE'!$L$59:$L$182),MATCH(ROW('VENDOR QUESTIONNAIRE'!C71:C194),ROW('VENDOR QUESTIONNAIRE'!C71:C194)),""),ROWS('VENDOR QUESTIONNAIRE'!$L$59:L71)))</f>
        <v>#NUM!</v>
      </c>
    </row>
    <row r="15" spans="1:11">
      <c r="A15">
        <v>0</v>
      </c>
      <c r="B15">
        <v>14</v>
      </c>
      <c r="C15" s="157" t="str">
        <v/>
      </c>
      <c r="D15" s="157" t="e">
        <f t="array" ref="D15">SMALL(IF(COUNTIFS(I$2,'VENDOR QUESTIONNAIRE'!$T$59:$T$182,I$3,'VENDOR QUESTIONNAIRE'!$L$59:$L$182),MATCH(ROW('VENDOR QUESTIONNAIRE'!C72:C195),ROW('VENDOR QUESTIONNAIRE'!C72:C195)),""),ROWS('VENDOR QUESTIONNAIRE'!$L$59:L72))</f>
        <v>#NUM!</v>
      </c>
      <c r="E15" s="330" t="e">
        <f t="array" ref="E15">INDEX('VENDOR QUESTIONNAIRE'!$C$59:$C$182,SMALL(IF(COUNTIFS(I$2,'VENDOR QUESTIONNAIRE'!$T$59:$T$182,I$3,'VENDOR QUESTIONNAIRE'!$L$59:$L$182),MATCH(ROW('VENDOR QUESTIONNAIRE'!C72:C195),ROW('VENDOR QUESTIONNAIRE'!C72:C195)),""),ROWS('VENDOR QUESTIONNAIRE'!$L$59:L72)))</f>
        <v>#NUM!</v>
      </c>
    </row>
    <row r="16" spans="1:11">
      <c r="A16">
        <v>0</v>
      </c>
      <c r="B16">
        <v>15</v>
      </c>
      <c r="C16" s="157" t="str">
        <v/>
      </c>
      <c r="D16" s="157" t="e">
        <f t="array" ref="D16">SMALL(IF(COUNTIFS(I$2,'VENDOR QUESTIONNAIRE'!$T$59:$T$182,I$3,'VENDOR QUESTIONNAIRE'!$L$59:$L$182),MATCH(ROW('VENDOR QUESTIONNAIRE'!C73:C196),ROW('VENDOR QUESTIONNAIRE'!C73:C196)),""),ROWS('VENDOR QUESTIONNAIRE'!$L$59:L73))</f>
        <v>#NUM!</v>
      </c>
      <c r="E16" s="330" t="e">
        <f t="array" ref="E16">INDEX('VENDOR QUESTIONNAIRE'!$C$59:$C$182,SMALL(IF(COUNTIFS(I$2,'VENDOR QUESTIONNAIRE'!$T$59:$T$182,I$3,'VENDOR QUESTIONNAIRE'!$L$59:$L$182),MATCH(ROW('VENDOR QUESTIONNAIRE'!C73:C196),ROW('VENDOR QUESTIONNAIRE'!C73:C196)),""),ROWS('VENDOR QUESTIONNAIRE'!$L$59:L73)))</f>
        <v>#NUM!</v>
      </c>
    </row>
    <row r="17" spans="1:5">
      <c r="A17">
        <v>0</v>
      </c>
      <c r="B17">
        <v>16</v>
      </c>
      <c r="C17" s="157" t="str">
        <v/>
      </c>
      <c r="D17" s="157" t="e">
        <f t="array" ref="D17">SMALL(IF(COUNTIFS(I$2,'VENDOR QUESTIONNAIRE'!$T$59:$T$182,I$3,'VENDOR QUESTIONNAIRE'!$L$59:$L$182),MATCH(ROW('VENDOR QUESTIONNAIRE'!C74:C197),ROW('VENDOR QUESTIONNAIRE'!C74:C197)),""),ROWS('VENDOR QUESTIONNAIRE'!$L$59:L74))</f>
        <v>#NUM!</v>
      </c>
      <c r="E17" s="330" t="e">
        <f t="array" ref="E17">INDEX('VENDOR QUESTIONNAIRE'!$C$59:$C$182,SMALL(IF(COUNTIFS(I$2,'VENDOR QUESTIONNAIRE'!$T$59:$T$182,I$3,'VENDOR QUESTIONNAIRE'!$L$59:$L$182),MATCH(ROW('VENDOR QUESTIONNAIRE'!C74:C197),ROW('VENDOR QUESTIONNAIRE'!C74:C197)),""),ROWS('VENDOR QUESTIONNAIRE'!$L$59:L74)))</f>
        <v>#NUM!</v>
      </c>
    </row>
    <row r="18" spans="1:5">
      <c r="A18">
        <v>0</v>
      </c>
      <c r="B18">
        <v>17</v>
      </c>
      <c r="C18" s="157" t="str">
        <v/>
      </c>
      <c r="D18" s="157" t="e">
        <f t="array" ref="D18">SMALL(IF(COUNTIFS(I$2,'VENDOR QUESTIONNAIRE'!$T$59:$T$182,I$3,'VENDOR QUESTIONNAIRE'!$L$59:$L$182),MATCH(ROW('VENDOR QUESTIONNAIRE'!C75:C198),ROW('VENDOR QUESTIONNAIRE'!C75:C198)),""),ROWS('VENDOR QUESTIONNAIRE'!$L$59:L75))</f>
        <v>#NUM!</v>
      </c>
      <c r="E18" s="330" t="e">
        <f t="array" ref="E18">INDEX('VENDOR QUESTIONNAIRE'!$C$59:$C$182,SMALL(IF(COUNTIFS(I$2,'VENDOR QUESTIONNAIRE'!$T$59:$T$182,I$3,'VENDOR QUESTIONNAIRE'!$L$59:$L$182),MATCH(ROW('VENDOR QUESTIONNAIRE'!C75:C198),ROW('VENDOR QUESTIONNAIRE'!C75:C198)),""),ROWS('VENDOR QUESTIONNAIRE'!$L$59:L75)))</f>
        <v>#NUM!</v>
      </c>
    </row>
    <row r="19" spans="1:5">
      <c r="A19">
        <v>0</v>
      </c>
      <c r="B19">
        <v>18</v>
      </c>
      <c r="C19" s="157" t="str">
        <v/>
      </c>
      <c r="D19" s="157" t="e">
        <f t="array" ref="D19">SMALL(IF(COUNTIFS(I$2,'VENDOR QUESTIONNAIRE'!$T$59:$T$182,I$3,'VENDOR QUESTIONNAIRE'!$L$59:$L$182),MATCH(ROW('VENDOR QUESTIONNAIRE'!C76:C199),ROW('VENDOR QUESTIONNAIRE'!C76:C199)),""),ROWS('VENDOR QUESTIONNAIRE'!$L$59:L76))</f>
        <v>#NUM!</v>
      </c>
      <c r="E19" s="330" t="e">
        <f t="array" ref="E19">INDEX('VENDOR QUESTIONNAIRE'!$C$59:$C$182,SMALL(IF(COUNTIFS(I$2,'VENDOR QUESTIONNAIRE'!$T$59:$T$182,I$3,'VENDOR QUESTIONNAIRE'!$L$59:$L$182),MATCH(ROW('VENDOR QUESTIONNAIRE'!C76:C199),ROW('VENDOR QUESTIONNAIRE'!C76:C199)),""),ROWS('VENDOR QUESTIONNAIRE'!$L$59:L76)))</f>
        <v>#NUM!</v>
      </c>
    </row>
    <row r="20" spans="1:5">
      <c r="A20">
        <v>0</v>
      </c>
      <c r="B20">
        <v>19</v>
      </c>
      <c r="C20" s="157" t="str">
        <v/>
      </c>
      <c r="D20" s="157" t="e">
        <f t="array" ref="D20">SMALL(IF(COUNTIFS(I$2,'VENDOR QUESTIONNAIRE'!$T$59:$T$182,I$3,'VENDOR QUESTIONNAIRE'!$L$59:$L$182),MATCH(ROW('VENDOR QUESTIONNAIRE'!C77:C200),ROW('VENDOR QUESTIONNAIRE'!C77:C200)),""),ROWS('VENDOR QUESTIONNAIRE'!$L$59:L77))</f>
        <v>#NUM!</v>
      </c>
      <c r="E20" s="330" t="e">
        <f t="array" ref="E20">INDEX('VENDOR QUESTIONNAIRE'!$C$59:$C$182,SMALL(IF(COUNTIFS(I$2,'VENDOR QUESTIONNAIRE'!$T$59:$T$182,I$3,'VENDOR QUESTIONNAIRE'!$L$59:$L$182),MATCH(ROW('VENDOR QUESTIONNAIRE'!C77:C200),ROW('VENDOR QUESTIONNAIRE'!C77:C200)),""),ROWS('VENDOR QUESTIONNAIRE'!$L$59:L77)))</f>
        <v>#NUM!</v>
      </c>
    </row>
    <row r="21" spans="1:5" ht="17" thickBot="1">
      <c r="A21">
        <v>0</v>
      </c>
      <c r="B21">
        <v>20</v>
      </c>
      <c r="C21" s="157" t="str">
        <v/>
      </c>
      <c r="D21" s="157" t="e">
        <f t="array" ref="D21">SMALL(IF(COUNTIFS(I$2,'VENDOR QUESTIONNAIRE'!$T$59:$T$182,I$3,'VENDOR QUESTIONNAIRE'!$L$59:$L$182),MATCH(ROW('VENDOR QUESTIONNAIRE'!C78:C201),ROW('VENDOR QUESTIONNAIRE'!C78:C201)),""),ROWS('VENDOR QUESTIONNAIRE'!$L$59:L78))</f>
        <v>#NUM!</v>
      </c>
      <c r="E21" s="331" t="e">
        <f t="array" ref="E21">INDEX('VENDOR QUESTIONNAIRE'!$C$59:$C$182,SMALL(IF(COUNTIFS(I$2,'VENDOR QUESTIONNAIRE'!$T$59:$T$182,I$3,'VENDOR QUESTIONNAIRE'!$L$59:$L$182),MATCH(ROW('VENDOR QUESTIONNAIRE'!C78:C201),ROW('VENDOR QUESTIONNAIRE'!C78:C201)),""),ROWS('VENDOR QUESTIONNAIRE'!$L$59:L78)))</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714" priority="1" operator="containsText" text="Optional">
      <formula>NOT(ISERROR(SEARCH("Optional",E18)))</formula>
    </cfRule>
    <cfRule type="containsText" dxfId="713" priority="2" operator="containsText" text="Recommend">
      <formula>NOT(ISERROR(SEARCH("Recommend",E18)))</formula>
    </cfRule>
    <cfRule type="containsText" dxfId="71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682" priority="1" operator="containsText" text="ADDRESSABLE">
      <formula>NOT(ISERROR(SEARCH("ADDRESSABLE",C4)))</formula>
    </cfRule>
    <cfRule type="containsText" dxfId="68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32">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16">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32">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2020-10-21T03:33:07Z</dcterms:modified>
</cp:coreProperties>
</file>