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green3\Documents\EnergyBalance\"/>
    </mc:Choice>
  </mc:AlternateContent>
  <bookViews>
    <workbookView xWindow="0" yWindow="0" windowWidth="15345" windowHeight="4545" activeTab="1"/>
  </bookViews>
  <sheets>
    <sheet name="English" sheetId="1" r:id="rId1"/>
    <sheet name="Metric" sheetId="5" r:id="rId2"/>
  </sheets>
  <definedNames>
    <definedName name="_xlnm.Print_Area" localSheetId="0">English!$A$1:$O$93</definedName>
    <definedName name="_xlnm.Print_Area" localSheetId="1">Metric!$A$1:$O$93</definedName>
    <definedName name="_xlnm.Print_Titles" localSheetId="0">English!$1:$7</definedName>
    <definedName name="_xlnm.Print_Titles" localSheetId="1">Metric!$1:$7</definedName>
  </definedNames>
  <calcPr calcId="162913"/>
</workbook>
</file>

<file path=xl/calcChain.xml><?xml version="1.0" encoding="utf-8"?>
<calcChain xmlns="http://schemas.openxmlformats.org/spreadsheetml/2006/main">
  <c r="M21" i="5" l="1"/>
  <c r="E21" i="5"/>
  <c r="E64" i="5" l="1"/>
  <c r="E63" i="5"/>
  <c r="E62" i="5"/>
  <c r="E61" i="5"/>
  <c r="E60" i="5"/>
  <c r="E59" i="5"/>
  <c r="E58" i="5"/>
  <c r="E57" i="5"/>
  <c r="C64" i="5"/>
  <c r="C63" i="5"/>
  <c r="C62" i="5"/>
  <c r="C61" i="5"/>
  <c r="C60" i="5"/>
  <c r="C59" i="5"/>
  <c r="C58" i="5"/>
  <c r="C57" i="5"/>
  <c r="D64" i="5"/>
  <c r="D63" i="5"/>
  <c r="D62" i="5"/>
  <c r="D61" i="5"/>
  <c r="D60" i="5"/>
  <c r="D59" i="5"/>
  <c r="D58" i="5"/>
  <c r="D57" i="5"/>
  <c r="Y20" i="1" l="1"/>
  <c r="M32" i="5" l="1"/>
  <c r="E32" i="5"/>
  <c r="U105" i="5" l="1"/>
  <c r="U106" i="5" s="1"/>
  <c r="U107" i="5" s="1"/>
  <c r="U108" i="5" s="1"/>
  <c r="U109" i="5" s="1"/>
  <c r="E105" i="5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W52" i="5"/>
  <c r="AN51" i="5"/>
  <c r="AM51" i="5"/>
  <c r="AL51" i="5"/>
  <c r="AK51" i="5"/>
  <c r="AJ51" i="5"/>
  <c r="AI51" i="5"/>
  <c r="AH51" i="5"/>
  <c r="AG51" i="5"/>
  <c r="AF51" i="5"/>
  <c r="AE51" i="5"/>
  <c r="AD51" i="5"/>
  <c r="T30" i="5"/>
  <c r="T31" i="5" s="1"/>
  <c r="T32" i="5" s="1"/>
  <c r="S30" i="5"/>
  <c r="S31" i="5" s="1"/>
  <c r="S32" i="5" s="1"/>
  <c r="R30" i="5"/>
  <c r="R31" i="5" s="1"/>
  <c r="R32" i="5" s="1"/>
  <c r="T29" i="5"/>
  <c r="S29" i="5"/>
  <c r="R29" i="5"/>
  <c r="T28" i="5"/>
  <c r="S28" i="5"/>
  <c r="R28" i="5"/>
  <c r="T27" i="5"/>
  <c r="S27" i="5"/>
  <c r="R27" i="5"/>
  <c r="AN26" i="5"/>
  <c r="AM26" i="5"/>
  <c r="AL26" i="5"/>
  <c r="AK26" i="5"/>
  <c r="AJ26" i="5"/>
  <c r="AI26" i="5"/>
  <c r="AH26" i="5"/>
  <c r="AG26" i="5"/>
  <c r="AF26" i="5"/>
  <c r="AE26" i="5"/>
  <c r="AD26" i="5"/>
  <c r="T26" i="5"/>
  <c r="S26" i="5"/>
  <c r="R26" i="5"/>
  <c r="T25" i="5"/>
  <c r="S25" i="5"/>
  <c r="R25" i="5"/>
  <c r="T24" i="5"/>
  <c r="S24" i="5"/>
  <c r="R24" i="5"/>
  <c r="T23" i="5"/>
  <c r="S23" i="5"/>
  <c r="R23" i="5"/>
  <c r="Y20" i="5"/>
  <c r="Y22" i="5" s="1"/>
  <c r="W28" i="5" s="1"/>
  <c r="X6" i="5"/>
  <c r="T6" i="5"/>
  <c r="U110" i="5" l="1"/>
  <c r="U111" i="5" s="1"/>
  <c r="U112" i="5" s="1"/>
  <c r="U113" i="5" s="1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X5" i="5"/>
  <c r="X7" i="5" s="1"/>
  <c r="X8" i="5" s="1"/>
  <c r="T5" i="5"/>
  <c r="T7" i="5" s="1"/>
  <c r="T8" i="5" s="1"/>
  <c r="B31" i="5"/>
  <c r="W53" i="5"/>
  <c r="W29" i="5"/>
  <c r="J31" i="5"/>
  <c r="T9" i="5" l="1"/>
  <c r="X29" i="5" s="1"/>
  <c r="Y29" i="5" s="1"/>
  <c r="E30" i="5"/>
  <c r="X9" i="5"/>
  <c r="M30" i="5"/>
  <c r="W54" i="5"/>
  <c r="W30" i="5"/>
  <c r="N45" i="5"/>
  <c r="X12" i="5"/>
  <c r="X30" i="5" l="1"/>
  <c r="Y30" i="5" s="1"/>
  <c r="X10" i="5"/>
  <c r="X11" i="5" s="1"/>
  <c r="X52" i="5"/>
  <c r="Y52" i="5" s="1"/>
  <c r="AI52" i="5" s="1"/>
  <c r="X54" i="5"/>
  <c r="Y54" i="5" s="1"/>
  <c r="AL54" i="5" s="1"/>
  <c r="G40" i="5"/>
  <c r="G42" i="5"/>
  <c r="G44" i="5"/>
  <c r="G39" i="5"/>
  <c r="T12" i="5"/>
  <c r="X27" i="5"/>
  <c r="Y27" i="5" s="1"/>
  <c r="T10" i="5"/>
  <c r="T11" i="5" s="1"/>
  <c r="X28" i="5"/>
  <c r="Y28" i="5" s="1"/>
  <c r="O42" i="5"/>
  <c r="O43" i="5"/>
  <c r="O39" i="5"/>
  <c r="O44" i="5"/>
  <c r="O40" i="5"/>
  <c r="X53" i="5"/>
  <c r="Y53" i="5" s="1"/>
  <c r="AM52" i="5"/>
  <c r="AA52" i="5"/>
  <c r="AF52" i="5"/>
  <c r="AD52" i="5"/>
  <c r="AL29" i="5"/>
  <c r="AH29" i="5"/>
  <c r="AD29" i="5"/>
  <c r="Z29" i="5"/>
  <c r="AK29" i="5"/>
  <c r="AF29" i="5"/>
  <c r="AJ29" i="5"/>
  <c r="AE29" i="5"/>
  <c r="AN29" i="5"/>
  <c r="AI29" i="5"/>
  <c r="AM29" i="5"/>
  <c r="AG29" i="5"/>
  <c r="AA29" i="5"/>
  <c r="M47" i="5"/>
  <c r="O45" i="5" s="1"/>
  <c r="W55" i="5"/>
  <c r="X55" i="5" s="1"/>
  <c r="Y55" i="5" s="1"/>
  <c r="W31" i="5"/>
  <c r="X31" i="5" s="1"/>
  <c r="Y31" i="5" s="1"/>
  <c r="AM53" i="5"/>
  <c r="AI53" i="5"/>
  <c r="AE53" i="5"/>
  <c r="AA53" i="5"/>
  <c r="AL53" i="5"/>
  <c r="AG53" i="5"/>
  <c r="AF53" i="5"/>
  <c r="AK53" i="5"/>
  <c r="AD53" i="5"/>
  <c r="AJ53" i="5"/>
  <c r="AH53" i="5"/>
  <c r="Z53" i="5"/>
  <c r="AA54" i="5" l="1"/>
  <c r="AK52" i="5"/>
  <c r="AH52" i="5"/>
  <c r="AK54" i="5"/>
  <c r="Z54" i="5"/>
  <c r="AD28" i="5"/>
  <c r="AF28" i="5"/>
  <c r="AN28" i="5"/>
  <c r="Z28" i="5"/>
  <c r="AM28" i="5"/>
  <c r="AA28" i="5"/>
  <c r="AB28" i="5" s="1"/>
  <c r="AC28" i="5" s="1"/>
  <c r="AI28" i="5"/>
  <c r="AL28" i="5"/>
  <c r="AG28" i="5"/>
  <c r="AJ28" i="5"/>
  <c r="AH28" i="5"/>
  <c r="AK28" i="5"/>
  <c r="AE28" i="5"/>
  <c r="AI54" i="5"/>
  <c r="AF54" i="5"/>
  <c r="AD54" i="5"/>
  <c r="AJ54" i="5"/>
  <c r="AG54" i="5"/>
  <c r="AH54" i="5"/>
  <c r="AJ52" i="5"/>
  <c r="AG52" i="5"/>
  <c r="AE52" i="5"/>
  <c r="AK27" i="5"/>
  <c r="AI27" i="5"/>
  <c r="AM27" i="5"/>
  <c r="Z27" i="5"/>
  <c r="AN27" i="5"/>
  <c r="AE27" i="5"/>
  <c r="AG27" i="5"/>
  <c r="AJ27" i="5"/>
  <c r="AD27" i="5"/>
  <c r="AA27" i="5"/>
  <c r="AF27" i="5"/>
  <c r="AL27" i="5"/>
  <c r="AH27" i="5"/>
  <c r="E47" i="5"/>
  <c r="AE54" i="5"/>
  <c r="AM54" i="5"/>
  <c r="Z52" i="5"/>
  <c r="AB52" i="5" s="1"/>
  <c r="AC52" i="5" s="1"/>
  <c r="AL52" i="5"/>
  <c r="AB29" i="5"/>
  <c r="AC29" i="5" s="1"/>
  <c r="AB54" i="5"/>
  <c r="AC54" i="5" s="1"/>
  <c r="AB53" i="5"/>
  <c r="AC53" i="5" s="1"/>
  <c r="AO53" i="5"/>
  <c r="AP53" i="5" s="1"/>
  <c r="AN30" i="5"/>
  <c r="AJ30" i="5"/>
  <c r="AF30" i="5"/>
  <c r="AL30" i="5"/>
  <c r="AA30" i="5"/>
  <c r="AK30" i="5"/>
  <c r="AE30" i="5"/>
  <c r="Z30" i="5"/>
  <c r="AI30" i="5"/>
  <c r="AD30" i="5"/>
  <c r="AM30" i="5"/>
  <c r="AH30" i="5"/>
  <c r="AG30" i="5"/>
  <c r="AK55" i="5"/>
  <c r="AG55" i="5"/>
  <c r="AM55" i="5"/>
  <c r="AH55" i="5"/>
  <c r="AI55" i="5"/>
  <c r="AA55" i="5"/>
  <c r="AF55" i="5"/>
  <c r="Z55" i="5"/>
  <c r="AL55" i="5"/>
  <c r="AE55" i="5"/>
  <c r="AJ55" i="5"/>
  <c r="AD55" i="5"/>
  <c r="M48" i="5"/>
  <c r="X13" i="5"/>
  <c r="X14" i="5"/>
  <c r="AO29" i="5"/>
  <c r="AP29" i="5" s="1"/>
  <c r="W56" i="5"/>
  <c r="X56" i="5" s="1"/>
  <c r="Y56" i="5" s="1"/>
  <c r="W32" i="5"/>
  <c r="X32" i="5" s="1"/>
  <c r="Y32" i="5" s="1"/>
  <c r="E48" i="5"/>
  <c r="T14" i="5"/>
  <c r="T13" i="5"/>
  <c r="T15" i="5" l="1"/>
  <c r="AO54" i="5"/>
  <c r="AP54" i="5" s="1"/>
  <c r="AQ54" i="5" s="1"/>
  <c r="AR29" i="5" s="1"/>
  <c r="AS29" i="5" s="1"/>
  <c r="AO52" i="5"/>
  <c r="AP52" i="5" s="1"/>
  <c r="AQ52" i="5" s="1"/>
  <c r="AQ53" i="5"/>
  <c r="AQ29" i="5"/>
  <c r="AO27" i="5"/>
  <c r="AP27" i="5" s="1"/>
  <c r="AB27" i="5"/>
  <c r="AC27" i="5" s="1"/>
  <c r="AO28" i="5"/>
  <c r="AP28" i="5" s="1"/>
  <c r="AQ28" i="5" s="1"/>
  <c r="N41" i="5"/>
  <c r="O41" i="5" s="1"/>
  <c r="N37" i="5"/>
  <c r="O37" i="5" s="1"/>
  <c r="N44" i="5"/>
  <c r="N36" i="5"/>
  <c r="O36" i="5" s="1"/>
  <c r="N43" i="5"/>
  <c r="N39" i="5"/>
  <c r="N35" i="5"/>
  <c r="O35" i="5" s="1"/>
  <c r="N42" i="5"/>
  <c r="N38" i="5"/>
  <c r="O38" i="5" s="1"/>
  <c r="N40" i="5"/>
  <c r="T16" i="5"/>
  <c r="E49" i="5" s="1"/>
  <c r="F44" i="5"/>
  <c r="F40" i="5"/>
  <c r="F36" i="5"/>
  <c r="G36" i="5" s="1"/>
  <c r="F43" i="5"/>
  <c r="G43" i="5" s="1"/>
  <c r="F38" i="5"/>
  <c r="G38" i="5" s="1"/>
  <c r="F45" i="5"/>
  <c r="G45" i="5" s="1"/>
  <c r="F41" i="5"/>
  <c r="G41" i="5" s="1"/>
  <c r="F37" i="5"/>
  <c r="G37" i="5" s="1"/>
  <c r="F39" i="5"/>
  <c r="F35" i="5"/>
  <c r="G35" i="5" s="1"/>
  <c r="F42" i="5"/>
  <c r="X15" i="5"/>
  <c r="AB55" i="5"/>
  <c r="AC55" i="5" s="1"/>
  <c r="AO55" i="5"/>
  <c r="AP55" i="5" s="1"/>
  <c r="AB30" i="5"/>
  <c r="AC30" i="5" s="1"/>
  <c r="W57" i="5"/>
  <c r="X57" i="5" s="1"/>
  <c r="Y57" i="5" s="1"/>
  <c r="W33" i="5"/>
  <c r="X33" i="5" s="1"/>
  <c r="Y33" i="5" s="1"/>
  <c r="AJ56" i="5"/>
  <c r="AF56" i="5"/>
  <c r="AM56" i="5"/>
  <c r="AH56" i="5"/>
  <c r="AI56" i="5"/>
  <c r="AA56" i="5"/>
  <c r="AG56" i="5"/>
  <c r="Z56" i="5"/>
  <c r="AL56" i="5"/>
  <c r="AE56" i="5"/>
  <c r="AK56" i="5"/>
  <c r="AD56" i="5"/>
  <c r="AO30" i="5"/>
  <c r="AP30" i="5" s="1"/>
  <c r="AQ30" i="5" s="1"/>
  <c r="AL31" i="5"/>
  <c r="AH31" i="5"/>
  <c r="AD31" i="5"/>
  <c r="Z31" i="5"/>
  <c r="AI31" i="5"/>
  <c r="AM31" i="5"/>
  <c r="AG31" i="5"/>
  <c r="AK31" i="5"/>
  <c r="AF31" i="5"/>
  <c r="AA31" i="5"/>
  <c r="AJ31" i="5"/>
  <c r="AE31" i="5"/>
  <c r="AN31" i="5"/>
  <c r="AR28" i="5" l="1"/>
  <c r="AS28" i="5" s="1"/>
  <c r="AQ55" i="5"/>
  <c r="AQ27" i="5"/>
  <c r="AR27" i="5" s="1"/>
  <c r="AS27" i="5" s="1"/>
  <c r="X16" i="5"/>
  <c r="M49" i="5" s="1"/>
  <c r="AB56" i="5"/>
  <c r="AC56" i="5" s="1"/>
  <c r="AB31" i="5"/>
  <c r="AC31" i="5" s="1"/>
  <c r="AO56" i="5"/>
  <c r="AP56" i="5" s="1"/>
  <c r="G46" i="5"/>
  <c r="AO31" i="5"/>
  <c r="AP31" i="5" s="1"/>
  <c r="AQ31" i="5" s="1"/>
  <c r="O46" i="5"/>
  <c r="AL32" i="5"/>
  <c r="AH32" i="5"/>
  <c r="AD32" i="5"/>
  <c r="Z32" i="5"/>
  <c r="AG32" i="5"/>
  <c r="AK32" i="5"/>
  <c r="AF32" i="5"/>
  <c r="AA32" i="5"/>
  <c r="AJ32" i="5"/>
  <c r="AE32" i="5"/>
  <c r="AN32" i="5"/>
  <c r="AI32" i="5"/>
  <c r="AM32" i="5"/>
  <c r="W58" i="5"/>
  <c r="X58" i="5" s="1"/>
  <c r="Y58" i="5" s="1"/>
  <c r="W34" i="5"/>
  <c r="X34" i="5" s="1"/>
  <c r="Y34" i="5" s="1"/>
  <c r="AR30" i="5"/>
  <c r="AS30" i="5" s="1"/>
  <c r="AM57" i="5"/>
  <c r="AI57" i="5"/>
  <c r="AE57" i="5"/>
  <c r="AA57" i="5"/>
  <c r="AJ57" i="5"/>
  <c r="AD57" i="5"/>
  <c r="AL57" i="5"/>
  <c r="AG57" i="5"/>
  <c r="AF57" i="5"/>
  <c r="AK57" i="5"/>
  <c r="Z57" i="5"/>
  <c r="AH57" i="5"/>
  <c r="AQ56" i="5" l="1"/>
  <c r="X17" i="5"/>
  <c r="M50" i="5" s="1"/>
  <c r="T17" i="5"/>
  <c r="E50" i="5" s="1"/>
  <c r="E18" i="5" s="1"/>
  <c r="AB57" i="5"/>
  <c r="AC57" i="5" s="1"/>
  <c r="AB32" i="5"/>
  <c r="AC32" i="5" s="1"/>
  <c r="AO57" i="5"/>
  <c r="AP57" i="5" s="1"/>
  <c r="AK33" i="5"/>
  <c r="AG33" i="5"/>
  <c r="AN33" i="5"/>
  <c r="AI33" i="5"/>
  <c r="AD33" i="5"/>
  <c r="AM33" i="5"/>
  <c r="AH33" i="5"/>
  <c r="AL33" i="5"/>
  <c r="AF33" i="5"/>
  <c r="AA33" i="5"/>
  <c r="AJ33" i="5"/>
  <c r="AE33" i="5"/>
  <c r="Z33" i="5"/>
  <c r="W59" i="5"/>
  <c r="X59" i="5" s="1"/>
  <c r="Y59" i="5" s="1"/>
  <c r="W35" i="5"/>
  <c r="X35" i="5" s="1"/>
  <c r="Y35" i="5" s="1"/>
  <c r="AK58" i="5"/>
  <c r="AG58" i="5"/>
  <c r="AI58" i="5"/>
  <c r="AD58" i="5"/>
  <c r="AL58" i="5"/>
  <c r="AF58" i="5"/>
  <c r="AA58" i="5"/>
  <c r="AE58" i="5"/>
  <c r="AM58" i="5"/>
  <c r="AJ58" i="5"/>
  <c r="Z58" i="5"/>
  <c r="AB58" i="5" s="1"/>
  <c r="AC58" i="5" s="1"/>
  <c r="AH58" i="5"/>
  <c r="AO32" i="5"/>
  <c r="AP32" i="5" s="1"/>
  <c r="AQ32" i="5" s="1"/>
  <c r="AR31" i="5"/>
  <c r="AS31" i="5" s="1"/>
  <c r="AQ57" i="5" l="1"/>
  <c r="AR32" i="5" s="1"/>
  <c r="AS32" i="5" s="1"/>
  <c r="E15" i="5"/>
  <c r="E16" i="5" s="1"/>
  <c r="E17" i="5" s="1"/>
  <c r="AB33" i="5"/>
  <c r="AC33" i="5" s="1"/>
  <c r="AM59" i="5"/>
  <c r="AI59" i="5"/>
  <c r="AE59" i="5"/>
  <c r="AA59" i="5"/>
  <c r="AH59" i="5"/>
  <c r="AL59" i="5"/>
  <c r="AG59" i="5"/>
  <c r="AK59" i="5"/>
  <c r="AF59" i="5"/>
  <c r="Z59" i="5"/>
  <c r="AD59" i="5"/>
  <c r="AJ59" i="5"/>
  <c r="W60" i="5"/>
  <c r="X60" i="5" s="1"/>
  <c r="Y60" i="5" s="1"/>
  <c r="W36" i="5"/>
  <c r="X36" i="5" s="1"/>
  <c r="Y36" i="5" s="1"/>
  <c r="AO33" i="5"/>
  <c r="AP33" i="5" s="1"/>
  <c r="AO58" i="5"/>
  <c r="AP58" i="5" s="1"/>
  <c r="AQ58" i="5" s="1"/>
  <c r="AL34" i="5"/>
  <c r="AH34" i="5"/>
  <c r="AD34" i="5"/>
  <c r="Z34" i="5"/>
  <c r="AN34" i="5"/>
  <c r="AI34" i="5"/>
  <c r="AG34" i="5"/>
  <c r="AA34" i="5"/>
  <c r="AM34" i="5"/>
  <c r="AF34" i="5"/>
  <c r="AK34" i="5"/>
  <c r="AE34" i="5"/>
  <c r="AJ34" i="5"/>
  <c r="AQ33" i="5" l="1"/>
  <c r="AR33" i="5" s="1"/>
  <c r="AS33" i="5" s="1"/>
  <c r="AB59" i="5"/>
  <c r="AC59" i="5" s="1"/>
  <c r="AB34" i="5"/>
  <c r="AC34" i="5" s="1"/>
  <c r="AK35" i="5"/>
  <c r="AG35" i="5"/>
  <c r="AL35" i="5"/>
  <c r="AF35" i="5"/>
  <c r="AA35" i="5"/>
  <c r="AN35" i="5"/>
  <c r="AM35" i="5"/>
  <c r="AE35" i="5"/>
  <c r="AJ35" i="5"/>
  <c r="AD35" i="5"/>
  <c r="AI35" i="5"/>
  <c r="AH35" i="5"/>
  <c r="Z35" i="5"/>
  <c r="AB35" i="5" s="1"/>
  <c r="AC35" i="5" s="1"/>
  <c r="AO59" i="5"/>
  <c r="AP59" i="5" s="1"/>
  <c r="AQ59" i="5" s="1"/>
  <c r="W61" i="5"/>
  <c r="X61" i="5" s="1"/>
  <c r="Y61" i="5" s="1"/>
  <c r="W37" i="5"/>
  <c r="X37" i="5" s="1"/>
  <c r="Y37" i="5" s="1"/>
  <c r="AM60" i="5"/>
  <c r="AI60" i="5"/>
  <c r="AL60" i="5"/>
  <c r="AG60" i="5"/>
  <c r="AH60" i="5"/>
  <c r="AF60" i="5"/>
  <c r="AA60" i="5"/>
  <c r="AK60" i="5"/>
  <c r="AE60" i="5"/>
  <c r="Z60" i="5"/>
  <c r="AJ60" i="5"/>
  <c r="AD60" i="5"/>
  <c r="AO34" i="5"/>
  <c r="AP34" i="5" s="1"/>
  <c r="AQ34" i="5" s="1"/>
  <c r="AO60" i="5" l="1"/>
  <c r="AP60" i="5" s="1"/>
  <c r="AB60" i="5"/>
  <c r="AC60" i="5" s="1"/>
  <c r="AR34" i="5"/>
  <c r="AS34" i="5" s="1"/>
  <c r="AK61" i="5"/>
  <c r="AG61" i="5"/>
  <c r="AL61" i="5"/>
  <c r="AF61" i="5"/>
  <c r="AA61" i="5"/>
  <c r="AH61" i="5"/>
  <c r="Z61" i="5"/>
  <c r="AM61" i="5"/>
  <c r="AE61" i="5"/>
  <c r="AJ61" i="5"/>
  <c r="AD61" i="5"/>
  <c r="AI61" i="5"/>
  <c r="AO35" i="5"/>
  <c r="AP35" i="5" s="1"/>
  <c r="AQ35" i="5" s="1"/>
  <c r="AN36" i="5"/>
  <c r="AJ36" i="5"/>
  <c r="AF36" i="5"/>
  <c r="AI36" i="5"/>
  <c r="AD36" i="5"/>
  <c r="AG36" i="5"/>
  <c r="AL36" i="5"/>
  <c r="AE36" i="5"/>
  <c r="AK36" i="5"/>
  <c r="AH36" i="5"/>
  <c r="AA36" i="5"/>
  <c r="AM36" i="5"/>
  <c r="Z36" i="5"/>
  <c r="W62" i="5"/>
  <c r="X62" i="5" s="1"/>
  <c r="Y62" i="5" s="1"/>
  <c r="W38" i="5"/>
  <c r="X38" i="5" s="1"/>
  <c r="Y38" i="5" s="1"/>
  <c r="AB61" i="5" l="1"/>
  <c r="AC61" i="5" s="1"/>
  <c r="AQ60" i="5"/>
  <c r="AR35" i="5" s="1"/>
  <c r="AS35" i="5" s="1"/>
  <c r="AB36" i="5"/>
  <c r="AC36" i="5" s="1"/>
  <c r="AM37" i="5"/>
  <c r="AI37" i="5"/>
  <c r="AE37" i="5"/>
  <c r="AA37" i="5"/>
  <c r="AL37" i="5"/>
  <c r="AG37" i="5"/>
  <c r="AK37" i="5"/>
  <c r="AD37" i="5"/>
  <c r="AJ37" i="5"/>
  <c r="AH37" i="5"/>
  <c r="Z37" i="5"/>
  <c r="AN37" i="5"/>
  <c r="AF37" i="5"/>
  <c r="W63" i="5"/>
  <c r="X63" i="5" s="1"/>
  <c r="Y63" i="5" s="1"/>
  <c r="W39" i="5"/>
  <c r="X39" i="5" s="1"/>
  <c r="Y39" i="5" s="1"/>
  <c r="AO61" i="5"/>
  <c r="AP61" i="5" s="1"/>
  <c r="AQ61" i="5" s="1"/>
  <c r="AM62" i="5"/>
  <c r="AI62" i="5"/>
  <c r="AE62" i="5"/>
  <c r="AA62" i="5"/>
  <c r="AK62" i="5"/>
  <c r="AF62" i="5"/>
  <c r="Z62" i="5"/>
  <c r="AG62" i="5"/>
  <c r="AL62" i="5"/>
  <c r="AD62" i="5"/>
  <c r="AJ62" i="5"/>
  <c r="AH62" i="5"/>
  <c r="AO36" i="5"/>
  <c r="AP36" i="5" s="1"/>
  <c r="AQ36" i="5" s="1"/>
  <c r="AB37" i="5" l="1"/>
  <c r="AC37" i="5" s="1"/>
  <c r="AO62" i="5"/>
  <c r="AP62" i="5" s="1"/>
  <c r="AB62" i="5"/>
  <c r="AC62" i="5" s="1"/>
  <c r="W64" i="5"/>
  <c r="X64" i="5" s="1"/>
  <c r="Y64" i="5" s="1"/>
  <c r="W40" i="5"/>
  <c r="X40" i="5" s="1"/>
  <c r="Y40" i="5" s="1"/>
  <c r="AL63" i="5"/>
  <c r="AH63" i="5"/>
  <c r="AD63" i="5"/>
  <c r="Z63" i="5"/>
  <c r="AK63" i="5"/>
  <c r="AF63" i="5"/>
  <c r="AA63" i="5"/>
  <c r="AG63" i="5"/>
  <c r="AM63" i="5"/>
  <c r="AE63" i="5"/>
  <c r="AJ63" i="5"/>
  <c r="AI63" i="5"/>
  <c r="AR36" i="5"/>
  <c r="AS36" i="5" s="1"/>
  <c r="AL38" i="5"/>
  <c r="AH38" i="5"/>
  <c r="AD38" i="5"/>
  <c r="Z38" i="5"/>
  <c r="AK38" i="5"/>
  <c r="AF38" i="5"/>
  <c r="AA38" i="5"/>
  <c r="AJ38" i="5"/>
  <c r="AE38" i="5"/>
  <c r="AI38" i="5"/>
  <c r="AG38" i="5"/>
  <c r="AN38" i="5"/>
  <c r="AM38" i="5"/>
  <c r="AO37" i="5"/>
  <c r="AP37" i="5" s="1"/>
  <c r="AQ37" i="5" s="1"/>
  <c r="AQ62" i="5" l="1"/>
  <c r="AR37" i="5" s="1"/>
  <c r="AS37" i="5" s="1"/>
  <c r="AB63" i="5"/>
  <c r="AC63" i="5" s="1"/>
  <c r="AB38" i="5"/>
  <c r="AC38" i="5" s="1"/>
  <c r="W65" i="5"/>
  <c r="X65" i="5" s="1"/>
  <c r="Y65" i="5" s="1"/>
  <c r="W41" i="5"/>
  <c r="X41" i="5" s="1"/>
  <c r="Y41" i="5" s="1"/>
  <c r="AO63" i="5"/>
  <c r="AP63" i="5" s="1"/>
  <c r="AQ63" i="5" s="1"/>
  <c r="AK39" i="5"/>
  <c r="AG39" i="5"/>
  <c r="AN39" i="5"/>
  <c r="AI39" i="5"/>
  <c r="AD39" i="5"/>
  <c r="AM39" i="5"/>
  <c r="AH39" i="5"/>
  <c r="AL39" i="5"/>
  <c r="AA39" i="5"/>
  <c r="AJ39" i="5"/>
  <c r="Z39" i="5"/>
  <c r="AF39" i="5"/>
  <c r="AE39" i="5"/>
  <c r="AK64" i="5"/>
  <c r="AG64" i="5"/>
  <c r="AL64" i="5"/>
  <c r="AF64" i="5"/>
  <c r="AA64" i="5"/>
  <c r="AH64" i="5"/>
  <c r="Z64" i="5"/>
  <c r="AM64" i="5"/>
  <c r="AE64" i="5"/>
  <c r="AJ64" i="5"/>
  <c r="AD64" i="5"/>
  <c r="AI64" i="5"/>
  <c r="AO38" i="5"/>
  <c r="AP38" i="5" s="1"/>
  <c r="AQ38" i="5" s="1"/>
  <c r="AB64" i="5" l="1"/>
  <c r="AC64" i="5" s="1"/>
  <c r="AB39" i="5"/>
  <c r="AC39" i="5" s="1"/>
  <c r="AR38" i="5"/>
  <c r="AS38" i="5" s="1"/>
  <c r="AN40" i="5"/>
  <c r="AJ40" i="5"/>
  <c r="AF40" i="5"/>
  <c r="AL40" i="5"/>
  <c r="AG40" i="5"/>
  <c r="AA40" i="5"/>
  <c r="AK40" i="5"/>
  <c r="AE40" i="5"/>
  <c r="Z40" i="5"/>
  <c r="AD40" i="5"/>
  <c r="AM40" i="5"/>
  <c r="AI40" i="5"/>
  <c r="AH40" i="5"/>
  <c r="W66" i="5"/>
  <c r="X66" i="5" s="1"/>
  <c r="Y66" i="5" s="1"/>
  <c r="W42" i="5"/>
  <c r="X42" i="5" s="1"/>
  <c r="Y42" i="5" s="1"/>
  <c r="AO64" i="5"/>
  <c r="AP64" i="5" s="1"/>
  <c r="AQ64" i="5" s="1"/>
  <c r="AO39" i="5"/>
  <c r="AP39" i="5" s="1"/>
  <c r="AQ39" i="5" s="1"/>
  <c r="AJ65" i="5"/>
  <c r="AF65" i="5"/>
  <c r="AL65" i="5"/>
  <c r="AG65" i="5"/>
  <c r="AA65" i="5"/>
  <c r="AH65" i="5"/>
  <c r="Z65" i="5"/>
  <c r="AM65" i="5"/>
  <c r="AE65" i="5"/>
  <c r="AK65" i="5"/>
  <c r="AD65" i="5"/>
  <c r="AI65" i="5"/>
  <c r="AR39" i="5" l="1"/>
  <c r="AS39" i="5" s="1"/>
  <c r="AO65" i="5"/>
  <c r="AP65" i="5" s="1"/>
  <c r="AB65" i="5"/>
  <c r="AC65" i="5" s="1"/>
  <c r="AB40" i="5"/>
  <c r="AC40" i="5" s="1"/>
  <c r="AO40" i="5"/>
  <c r="AP40" i="5" s="1"/>
  <c r="AM66" i="5"/>
  <c r="AI66" i="5"/>
  <c r="AE66" i="5"/>
  <c r="AA66" i="5"/>
  <c r="AK66" i="5"/>
  <c r="AF66" i="5"/>
  <c r="Z66" i="5"/>
  <c r="AG66" i="5"/>
  <c r="AL66" i="5"/>
  <c r="AD66" i="5"/>
  <c r="AJ66" i="5"/>
  <c r="AH66" i="5"/>
  <c r="AM41" i="5"/>
  <c r="AI41" i="5"/>
  <c r="AE41" i="5"/>
  <c r="AA41" i="5"/>
  <c r="AK41" i="5"/>
  <c r="AJ41" i="5"/>
  <c r="AD41" i="5"/>
  <c r="AN41" i="5"/>
  <c r="AH41" i="5"/>
  <c r="AF41" i="5"/>
  <c r="AL41" i="5"/>
  <c r="Z41" i="5"/>
  <c r="AB41" i="5" s="1"/>
  <c r="AC41" i="5" s="1"/>
  <c r="AG41" i="5"/>
  <c r="W67" i="5"/>
  <c r="X67" i="5" s="1"/>
  <c r="Y67" i="5" s="1"/>
  <c r="W43" i="5"/>
  <c r="X43" i="5" s="1"/>
  <c r="Y43" i="5" s="1"/>
  <c r="AQ65" i="5" l="1"/>
  <c r="AQ40" i="5"/>
  <c r="AB66" i="5"/>
  <c r="AC66" i="5" s="1"/>
  <c r="AL42" i="5"/>
  <c r="AH42" i="5"/>
  <c r="AD42" i="5"/>
  <c r="Z42" i="5"/>
  <c r="AN42" i="5"/>
  <c r="AI42" i="5"/>
  <c r="AM42" i="5"/>
  <c r="AG42" i="5"/>
  <c r="AK42" i="5"/>
  <c r="AF42" i="5"/>
  <c r="AA42" i="5"/>
  <c r="AJ42" i="5"/>
  <c r="AE42" i="5"/>
  <c r="AO41" i="5"/>
  <c r="AP41" i="5" s="1"/>
  <c r="AQ41" i="5" s="1"/>
  <c r="AL67" i="5"/>
  <c r="AH67" i="5"/>
  <c r="AD67" i="5"/>
  <c r="Z67" i="5"/>
  <c r="AK67" i="5"/>
  <c r="AF67" i="5"/>
  <c r="AA67" i="5"/>
  <c r="AG67" i="5"/>
  <c r="AM67" i="5"/>
  <c r="AE67" i="5"/>
  <c r="AJ67" i="5"/>
  <c r="AI67" i="5"/>
  <c r="W68" i="5"/>
  <c r="X68" i="5" s="1"/>
  <c r="Y68" i="5" s="1"/>
  <c r="W44" i="5"/>
  <c r="X44" i="5" s="1"/>
  <c r="Y44" i="5" s="1"/>
  <c r="AO66" i="5"/>
  <c r="AP66" i="5" s="1"/>
  <c r="AQ66" i="5" s="1"/>
  <c r="AR40" i="5" l="1"/>
  <c r="AS40" i="5" s="1"/>
  <c r="AB67" i="5"/>
  <c r="AC67" i="5" s="1"/>
  <c r="AR41" i="5"/>
  <c r="AS41" i="5" s="1"/>
  <c r="AB42" i="5"/>
  <c r="AC42" i="5" s="1"/>
  <c r="AO42" i="5"/>
  <c r="AP42" i="5" s="1"/>
  <c r="AK43" i="5"/>
  <c r="AG43" i="5"/>
  <c r="AL43" i="5"/>
  <c r="AF43" i="5"/>
  <c r="AA43" i="5"/>
  <c r="AJ43" i="5"/>
  <c r="AE43" i="5"/>
  <c r="Z43" i="5"/>
  <c r="AN43" i="5"/>
  <c r="AI43" i="5"/>
  <c r="AD43" i="5"/>
  <c r="AH43" i="5"/>
  <c r="AM43" i="5"/>
  <c r="W69" i="5"/>
  <c r="X69" i="5" s="1"/>
  <c r="Y69" i="5" s="1"/>
  <c r="W45" i="5"/>
  <c r="X45" i="5" s="1"/>
  <c r="Y45" i="5" s="1"/>
  <c r="AO67" i="5"/>
  <c r="AP67" i="5" s="1"/>
  <c r="AK68" i="5"/>
  <c r="AG68" i="5"/>
  <c r="AL68" i="5"/>
  <c r="AF68" i="5"/>
  <c r="AA68" i="5"/>
  <c r="AH68" i="5"/>
  <c r="Z68" i="5"/>
  <c r="AB68" i="5" s="1"/>
  <c r="AC68" i="5" s="1"/>
  <c r="AM68" i="5"/>
  <c r="AE68" i="5"/>
  <c r="AJ68" i="5"/>
  <c r="AD68" i="5"/>
  <c r="AI68" i="5"/>
  <c r="AQ67" i="5" l="1"/>
  <c r="AQ42" i="5"/>
  <c r="AR42" i="5"/>
  <c r="AS42" i="5" s="1"/>
  <c r="AB43" i="5"/>
  <c r="AC43" i="5" s="1"/>
  <c r="AJ69" i="5"/>
  <c r="AF69" i="5"/>
  <c r="AL69" i="5"/>
  <c r="AG69" i="5"/>
  <c r="AA69" i="5"/>
  <c r="AH69" i="5"/>
  <c r="Z69" i="5"/>
  <c r="AM69" i="5"/>
  <c r="AE69" i="5"/>
  <c r="AK69" i="5"/>
  <c r="AD69" i="5"/>
  <c r="AI69" i="5"/>
  <c r="AO43" i="5"/>
  <c r="AP43" i="5" s="1"/>
  <c r="AO68" i="5"/>
  <c r="AP68" i="5" s="1"/>
  <c r="AQ68" i="5" s="1"/>
  <c r="AN44" i="5"/>
  <c r="AJ44" i="5"/>
  <c r="AF44" i="5"/>
  <c r="AI44" i="5"/>
  <c r="AD44" i="5"/>
  <c r="AM44" i="5"/>
  <c r="AH44" i="5"/>
  <c r="AL44" i="5"/>
  <c r="AG44" i="5"/>
  <c r="AA44" i="5"/>
  <c r="AE44" i="5"/>
  <c r="Z44" i="5"/>
  <c r="AK44" i="5"/>
  <c r="W70" i="5"/>
  <c r="X70" i="5" s="1"/>
  <c r="Y70" i="5" s="1"/>
  <c r="W46" i="5"/>
  <c r="X46" i="5" s="1"/>
  <c r="Y46" i="5" s="1"/>
  <c r="AQ43" i="5" l="1"/>
  <c r="AR43" i="5" s="1"/>
  <c r="AS43" i="5" s="1"/>
  <c r="AB44" i="5"/>
  <c r="AC44" i="5" s="1"/>
  <c r="AB69" i="5"/>
  <c r="AC69" i="5" s="1"/>
  <c r="AM45" i="5"/>
  <c r="AI45" i="5"/>
  <c r="AE45" i="5"/>
  <c r="AA45" i="5"/>
  <c r="AL45" i="5"/>
  <c r="AG45" i="5"/>
  <c r="AK45" i="5"/>
  <c r="AF45" i="5"/>
  <c r="Z45" i="5"/>
  <c r="AJ45" i="5"/>
  <c r="AD45" i="5"/>
  <c r="AN45" i="5"/>
  <c r="AH45" i="5"/>
  <c r="AO69" i="5"/>
  <c r="AP69" i="5" s="1"/>
  <c r="AQ69" i="5" s="1"/>
  <c r="W71" i="5"/>
  <c r="X71" i="5" s="1"/>
  <c r="Y71" i="5" s="1"/>
  <c r="W47" i="5"/>
  <c r="X47" i="5" s="1"/>
  <c r="Y47" i="5" s="1"/>
  <c r="AM70" i="5"/>
  <c r="AI70" i="5"/>
  <c r="AE70" i="5"/>
  <c r="AA70" i="5"/>
  <c r="AK70" i="5"/>
  <c r="AF70" i="5"/>
  <c r="Z70" i="5"/>
  <c r="AG70" i="5"/>
  <c r="AL70" i="5"/>
  <c r="AD70" i="5"/>
  <c r="AJ70" i="5"/>
  <c r="AH70" i="5"/>
  <c r="AO44" i="5"/>
  <c r="AP44" i="5" s="1"/>
  <c r="AQ44" i="5" s="1"/>
  <c r="AB70" i="5" l="1"/>
  <c r="AC70" i="5" s="1"/>
  <c r="AO70" i="5"/>
  <c r="AP70" i="5" s="1"/>
  <c r="AQ70" i="5" s="1"/>
  <c r="AO45" i="5"/>
  <c r="AP45" i="5" s="1"/>
  <c r="AB45" i="5"/>
  <c r="AC45" i="5" s="1"/>
  <c r="AR44" i="5"/>
  <c r="AS44" i="5" s="1"/>
  <c r="AL71" i="5"/>
  <c r="AH71" i="5"/>
  <c r="AD71" i="5"/>
  <c r="Z71" i="5"/>
  <c r="AM71" i="5"/>
  <c r="AI71" i="5"/>
  <c r="AE71" i="5"/>
  <c r="AA71" i="5"/>
  <c r="AK71" i="5"/>
  <c r="AF71" i="5"/>
  <c r="AJ71" i="5"/>
  <c r="AG71" i="5"/>
  <c r="W72" i="5"/>
  <c r="X72" i="5" s="1"/>
  <c r="Y72" i="5" s="1"/>
  <c r="AN46" i="5"/>
  <c r="AJ46" i="5"/>
  <c r="AF46" i="5"/>
  <c r="AL46" i="5"/>
  <c r="AG46" i="5"/>
  <c r="AA46" i="5"/>
  <c r="AK46" i="5"/>
  <c r="AE46" i="5"/>
  <c r="Z46" i="5"/>
  <c r="AI46" i="5"/>
  <c r="AD46" i="5"/>
  <c r="AH46" i="5"/>
  <c r="AM46" i="5"/>
  <c r="AQ45" i="5" l="1"/>
  <c r="AR45" i="5" s="1"/>
  <c r="AS45" i="5" s="1"/>
  <c r="AB71" i="5"/>
  <c r="AC71" i="5" s="1"/>
  <c r="AO46" i="5"/>
  <c r="AP46" i="5" s="1"/>
  <c r="AB46" i="5"/>
  <c r="AC46" i="5" s="1"/>
  <c r="AO71" i="5"/>
  <c r="AP71" i="5" s="1"/>
  <c r="AK47" i="5"/>
  <c r="AG47" i="5"/>
  <c r="AL47" i="5"/>
  <c r="AF47" i="5"/>
  <c r="AA47" i="5"/>
  <c r="AJ47" i="5"/>
  <c r="AE47" i="5"/>
  <c r="Z47" i="5"/>
  <c r="AN47" i="5"/>
  <c r="AI47" i="5"/>
  <c r="AD47" i="5"/>
  <c r="AH47" i="5"/>
  <c r="AM47" i="5"/>
  <c r="AK72" i="5"/>
  <c r="AG72" i="5"/>
  <c r="AJ72" i="5"/>
  <c r="AF72" i="5"/>
  <c r="AM72" i="5"/>
  <c r="AI72" i="5"/>
  <c r="AL72" i="5"/>
  <c r="AH72" i="5"/>
  <c r="AD72" i="5"/>
  <c r="Z72" i="5"/>
  <c r="AE72" i="5"/>
  <c r="AA72" i="5"/>
  <c r="AQ46" i="5" l="1"/>
  <c r="AQ71" i="5"/>
  <c r="AR46" i="5" s="1"/>
  <c r="AS46" i="5" s="1"/>
  <c r="AB47" i="5"/>
  <c r="AC47" i="5" s="1"/>
  <c r="AB72" i="5"/>
  <c r="AC72" i="5" s="1"/>
  <c r="AO47" i="5"/>
  <c r="AP47" i="5" s="1"/>
  <c r="AO72" i="5"/>
  <c r="AP72" i="5" s="1"/>
  <c r="AQ47" i="5" l="1"/>
  <c r="AQ72" i="5"/>
  <c r="AR47" i="5" l="1"/>
  <c r="AS47" i="5" s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52" i="1"/>
  <c r="AN51" i="1"/>
  <c r="AM51" i="1"/>
  <c r="AL51" i="1"/>
  <c r="AK51" i="1"/>
  <c r="AJ51" i="1"/>
  <c r="AI51" i="1"/>
  <c r="AH51" i="1"/>
  <c r="AG51" i="1"/>
  <c r="AF51" i="1"/>
  <c r="AE51" i="1"/>
  <c r="AD51" i="1"/>
  <c r="W52" i="1"/>
  <c r="AN26" i="1"/>
  <c r="AM26" i="1"/>
  <c r="AL26" i="1"/>
  <c r="AK26" i="1"/>
  <c r="AJ26" i="1"/>
  <c r="AI26" i="1"/>
  <c r="AH26" i="1"/>
  <c r="AG26" i="1"/>
  <c r="AF26" i="1"/>
  <c r="AE26" i="1"/>
  <c r="AD26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R31" i="1" s="1"/>
  <c r="R32" i="1" s="1"/>
  <c r="S30" i="1"/>
  <c r="S31" i="1" s="1"/>
  <c r="S32" i="1" s="1"/>
  <c r="T30" i="1"/>
  <c r="T31" i="1" s="1"/>
  <c r="T32" i="1" s="1"/>
  <c r="T24" i="1"/>
  <c r="S24" i="1"/>
  <c r="R24" i="1"/>
  <c r="S23" i="1"/>
  <c r="T23" i="1"/>
  <c r="R23" i="1"/>
  <c r="Y22" i="1" l="1"/>
  <c r="W28" i="1" s="1"/>
  <c r="AA4" i="1" a="1"/>
  <c r="AB4" i="1" s="1"/>
  <c r="W53" i="1" l="1"/>
  <c r="W29" i="1"/>
  <c r="AA4" i="1"/>
  <c r="AA5" i="1"/>
  <c r="AC5" i="1"/>
  <c r="AB6" i="1"/>
  <c r="AA6" i="1"/>
  <c r="AC6" i="1"/>
  <c r="AC4" i="1"/>
  <c r="AB5" i="1"/>
  <c r="W54" i="1" l="1"/>
  <c r="AT28" i="1"/>
  <c r="AT27" i="1"/>
  <c r="AT29" i="1"/>
  <c r="W30" i="1"/>
  <c r="W55" i="1" l="1"/>
  <c r="AT30" i="1"/>
  <c r="W31" i="1"/>
  <c r="W56" i="1" l="1"/>
  <c r="AT31" i="1"/>
  <c r="W32" i="1"/>
  <c r="W57" i="1" l="1"/>
  <c r="AT32" i="1"/>
  <c r="W33" i="1"/>
  <c r="W58" i="1" l="1"/>
  <c r="AT33" i="1"/>
  <c r="W34" i="1"/>
  <c r="W59" i="1" l="1"/>
  <c r="AT34" i="1"/>
  <c r="W35" i="1"/>
  <c r="W60" i="1" l="1"/>
  <c r="AT35" i="1"/>
  <c r="W36" i="1"/>
  <c r="W61" i="1" l="1"/>
  <c r="AT36" i="1"/>
  <c r="W37" i="1"/>
  <c r="W62" i="1" l="1"/>
  <c r="AT37" i="1"/>
  <c r="W38" i="1"/>
  <c r="W63" i="1" l="1"/>
  <c r="AT38" i="1"/>
  <c r="W39" i="1"/>
  <c r="W64" i="1" l="1"/>
  <c r="AT39" i="1"/>
  <c r="W40" i="1"/>
  <c r="W65" i="1" l="1"/>
  <c r="AT40" i="1"/>
  <c r="W41" i="1"/>
  <c r="W66" i="1" l="1"/>
  <c r="AT41" i="1"/>
  <c r="W42" i="1"/>
  <c r="W67" i="1" l="1"/>
  <c r="AT42" i="1"/>
  <c r="W43" i="1"/>
  <c r="W68" i="1" l="1"/>
  <c r="AT43" i="1"/>
  <c r="W44" i="1"/>
  <c r="W69" i="1" l="1"/>
  <c r="AT44" i="1"/>
  <c r="W45" i="1"/>
  <c r="W70" i="1" l="1"/>
  <c r="AT45" i="1"/>
  <c r="W46" i="1"/>
  <c r="W47" i="1" s="1"/>
  <c r="W71" i="1" l="1"/>
  <c r="AT46" i="1"/>
  <c r="W72" i="1" l="1"/>
  <c r="AT47" i="1"/>
  <c r="X6" i="1"/>
  <c r="T6" i="1"/>
  <c r="U105" i="1" l="1"/>
  <c r="U106" i="1" s="1"/>
  <c r="U107" i="1" s="1"/>
  <c r="U108" i="1" s="1"/>
  <c r="U109" i="1" s="1"/>
  <c r="E105" i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U110" i="1" l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X5" i="1"/>
  <c r="X7" i="1" s="1"/>
  <c r="X8" i="1" s="1"/>
  <c r="T5" i="1"/>
  <c r="T7" i="1" s="1"/>
  <c r="T8" i="1" s="1"/>
  <c r="E30" i="1" l="1"/>
  <c r="B31" i="1"/>
  <c r="T9" i="1"/>
  <c r="M30" i="1"/>
  <c r="X9" i="1"/>
  <c r="J31" i="1"/>
  <c r="N45" i="1" l="1"/>
  <c r="O39" i="1"/>
  <c r="X10" i="1"/>
  <c r="M47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T10" i="1"/>
  <c r="E47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G39" i="1"/>
  <c r="G40" i="1"/>
  <c r="G44" i="1"/>
  <c r="G42" i="1"/>
  <c r="T12" i="1"/>
  <c r="O42" i="1"/>
  <c r="O44" i="1"/>
  <c r="O45" i="1"/>
  <c r="O40" i="1"/>
  <c r="X12" i="1"/>
  <c r="T11" i="1"/>
  <c r="X11" i="1"/>
  <c r="AD72" i="1" l="1"/>
  <c r="AM72" i="1"/>
  <c r="AA72" i="1"/>
  <c r="AE72" i="1"/>
  <c r="AH72" i="1"/>
  <c r="AF72" i="1"/>
  <c r="AL72" i="1"/>
  <c r="AJ72" i="1"/>
  <c r="AK72" i="1"/>
  <c r="Z72" i="1"/>
  <c r="AG72" i="1"/>
  <c r="AI72" i="1"/>
  <c r="AH68" i="1"/>
  <c r="AM68" i="1"/>
  <c r="Z68" i="1"/>
  <c r="AG68" i="1"/>
  <c r="AL68" i="1"/>
  <c r="AF68" i="1"/>
  <c r="AK68" i="1"/>
  <c r="AE68" i="1"/>
  <c r="AJ68" i="1"/>
  <c r="AI68" i="1"/>
  <c r="AD68" i="1"/>
  <c r="AA68" i="1"/>
  <c r="AD64" i="1"/>
  <c r="AI64" i="1"/>
  <c r="Z64" i="1"/>
  <c r="AH64" i="1"/>
  <c r="AM64" i="1"/>
  <c r="AA64" i="1"/>
  <c r="AL64" i="1"/>
  <c r="AF64" i="1"/>
  <c r="AE64" i="1"/>
  <c r="AG64" i="1"/>
  <c r="AJ64" i="1"/>
  <c r="AK64" i="1"/>
  <c r="AD60" i="1"/>
  <c r="AI60" i="1"/>
  <c r="AA60" i="1"/>
  <c r="AH60" i="1"/>
  <c r="AM60" i="1"/>
  <c r="Z60" i="1"/>
  <c r="AL60" i="1"/>
  <c r="AF60" i="1"/>
  <c r="AJ60" i="1"/>
  <c r="AG60" i="1"/>
  <c r="AE60" i="1"/>
  <c r="AK60" i="1"/>
  <c r="AG56" i="1"/>
  <c r="AL56" i="1"/>
  <c r="AF56" i="1"/>
  <c r="AK56" i="1"/>
  <c r="AE56" i="1"/>
  <c r="AJ56" i="1"/>
  <c r="AD56" i="1"/>
  <c r="AI56" i="1"/>
  <c r="AH56" i="1"/>
  <c r="Z56" i="1"/>
  <c r="AB56" i="1" s="1"/>
  <c r="AC56" i="1" s="1"/>
  <c r="AM56" i="1"/>
  <c r="AA56" i="1"/>
  <c r="AK52" i="1"/>
  <c r="AG52" i="1"/>
  <c r="AD52" i="1"/>
  <c r="AJ52" i="1"/>
  <c r="AF52" i="1"/>
  <c r="AA52" i="1"/>
  <c r="AH52" i="1"/>
  <c r="AM52" i="1"/>
  <c r="AI52" i="1"/>
  <c r="AE52" i="1"/>
  <c r="Z52" i="1"/>
  <c r="AL52" i="1"/>
  <c r="AJ71" i="1"/>
  <c r="AH71" i="1"/>
  <c r="AM71" i="1"/>
  <c r="AG71" i="1"/>
  <c r="AL71" i="1"/>
  <c r="Z71" i="1"/>
  <c r="AB71" i="1" s="1"/>
  <c r="AC71" i="1" s="1"/>
  <c r="AK71" i="1"/>
  <c r="AE71" i="1"/>
  <c r="AA71" i="1"/>
  <c r="AI71" i="1"/>
  <c r="AF71" i="1"/>
  <c r="AD71" i="1"/>
  <c r="AG67" i="1"/>
  <c r="AL67" i="1"/>
  <c r="AA67" i="1"/>
  <c r="AK67" i="1"/>
  <c r="Z67" i="1"/>
  <c r="AF67" i="1"/>
  <c r="AI67" i="1"/>
  <c r="AE67" i="1"/>
  <c r="AH67" i="1"/>
  <c r="AD67" i="1"/>
  <c r="AM67" i="1"/>
  <c r="AJ67" i="1"/>
  <c r="AK63" i="1"/>
  <c r="AE63" i="1"/>
  <c r="AA63" i="1"/>
  <c r="AF63" i="1"/>
  <c r="AI63" i="1"/>
  <c r="AL63" i="1"/>
  <c r="AD63" i="1"/>
  <c r="AJ63" i="1"/>
  <c r="AH63" i="1"/>
  <c r="AM63" i="1"/>
  <c r="AG63" i="1"/>
  <c r="Z63" i="1"/>
  <c r="AG59" i="1"/>
  <c r="AL59" i="1"/>
  <c r="AA59" i="1"/>
  <c r="AE59" i="1"/>
  <c r="AF59" i="1"/>
  <c r="AI59" i="1"/>
  <c r="AJ59" i="1"/>
  <c r="AM59" i="1"/>
  <c r="AK59" i="1"/>
  <c r="Z59" i="1"/>
  <c r="AD59" i="1"/>
  <c r="AH59" i="1"/>
  <c r="AJ55" i="1"/>
  <c r="AA55" i="1"/>
  <c r="AH55" i="1"/>
  <c r="AL55" i="1"/>
  <c r="AF55" i="1"/>
  <c r="AG55" i="1"/>
  <c r="AM55" i="1"/>
  <c r="Z55" i="1"/>
  <c r="AD55" i="1"/>
  <c r="AK55" i="1"/>
  <c r="AE55" i="1"/>
  <c r="AI55" i="1"/>
  <c r="AM70" i="1"/>
  <c r="AK70" i="1"/>
  <c r="AA70" i="1"/>
  <c r="AF70" i="1"/>
  <c r="AD70" i="1"/>
  <c r="Z70" i="1"/>
  <c r="AB70" i="1" s="1"/>
  <c r="AC70" i="1" s="1"/>
  <c r="AJ70" i="1"/>
  <c r="AI70" i="1"/>
  <c r="AE70" i="1"/>
  <c r="AH70" i="1"/>
  <c r="AG70" i="1"/>
  <c r="AL70" i="1"/>
  <c r="AF66" i="1"/>
  <c r="AD66" i="1"/>
  <c r="AA66" i="1"/>
  <c r="AJ66" i="1"/>
  <c r="AL66" i="1"/>
  <c r="AK66" i="1"/>
  <c r="AE66" i="1"/>
  <c r="AH66" i="1"/>
  <c r="AG66" i="1"/>
  <c r="AM66" i="1"/>
  <c r="Z66" i="1"/>
  <c r="AB66" i="1" s="1"/>
  <c r="AC66" i="1" s="1"/>
  <c r="AI66" i="1"/>
  <c r="AE62" i="1"/>
  <c r="AJ62" i="1"/>
  <c r="AH62" i="1"/>
  <c r="AI62" i="1"/>
  <c r="AG62" i="1"/>
  <c r="AL62" i="1"/>
  <c r="AM62" i="1"/>
  <c r="AK62" i="1"/>
  <c r="Z62" i="1"/>
  <c r="AF62" i="1"/>
  <c r="AA62" i="1"/>
  <c r="AD62" i="1"/>
  <c r="AF58" i="1"/>
  <c r="AD58" i="1"/>
  <c r="AA58" i="1"/>
  <c r="AE58" i="1"/>
  <c r="AH58" i="1"/>
  <c r="AI58" i="1"/>
  <c r="AJ58" i="1"/>
  <c r="AG58" i="1"/>
  <c r="AM58" i="1"/>
  <c r="Z58" i="1"/>
  <c r="AB58" i="1" s="1"/>
  <c r="AC58" i="1" s="1"/>
  <c r="AL58" i="1"/>
  <c r="AK58" i="1"/>
  <c r="AE54" i="1"/>
  <c r="AA54" i="1"/>
  <c r="AF54" i="1"/>
  <c r="AG54" i="1"/>
  <c r="AD54" i="1"/>
  <c r="AK54" i="1"/>
  <c r="AH54" i="1"/>
  <c r="AI54" i="1"/>
  <c r="AM54" i="1"/>
  <c r="AL54" i="1"/>
  <c r="AJ54" i="1"/>
  <c r="Z54" i="1"/>
  <c r="AL69" i="1"/>
  <c r="AF69" i="1"/>
  <c r="Z69" i="1"/>
  <c r="AE69" i="1"/>
  <c r="AJ69" i="1"/>
  <c r="AA69" i="1"/>
  <c r="AD69" i="1"/>
  <c r="AG69" i="1"/>
  <c r="AH69" i="1"/>
  <c r="AI69" i="1"/>
  <c r="AM69" i="1"/>
  <c r="AK69" i="1"/>
  <c r="AL65" i="1"/>
  <c r="AF65" i="1"/>
  <c r="Z65" i="1"/>
  <c r="AE65" i="1"/>
  <c r="AJ65" i="1"/>
  <c r="AA65" i="1"/>
  <c r="AD65" i="1"/>
  <c r="AI65" i="1"/>
  <c r="AG65" i="1"/>
  <c r="AH65" i="1"/>
  <c r="AK65" i="1"/>
  <c r="AM65" i="1"/>
  <c r="AE61" i="1"/>
  <c r="AJ61" i="1"/>
  <c r="Z61" i="1"/>
  <c r="AD61" i="1"/>
  <c r="AG61" i="1"/>
  <c r="AI61" i="1"/>
  <c r="AM61" i="1"/>
  <c r="AK61" i="1"/>
  <c r="AA61" i="1"/>
  <c r="AH61" i="1"/>
  <c r="AF61" i="1"/>
  <c r="AL61" i="1"/>
  <c r="AH57" i="1"/>
  <c r="AM57" i="1"/>
  <c r="AK57" i="1"/>
  <c r="AL57" i="1"/>
  <c r="AF57" i="1"/>
  <c r="Z57" i="1"/>
  <c r="AJ57" i="1"/>
  <c r="AA57" i="1"/>
  <c r="AG57" i="1"/>
  <c r="AE57" i="1"/>
  <c r="AI57" i="1"/>
  <c r="AD57" i="1"/>
  <c r="AD53" i="1"/>
  <c r="AI53" i="1"/>
  <c r="AG53" i="1"/>
  <c r="AK53" i="1"/>
  <c r="AF53" i="1"/>
  <c r="AA53" i="1"/>
  <c r="AM53" i="1"/>
  <c r="AJ53" i="1"/>
  <c r="AL53" i="1"/>
  <c r="Z53" i="1"/>
  <c r="AB53" i="1" s="1"/>
  <c r="AC53" i="1" s="1"/>
  <c r="AE53" i="1"/>
  <c r="AH53" i="1"/>
  <c r="T13" i="1"/>
  <c r="T15" i="1" s="1"/>
  <c r="AF47" i="1"/>
  <c r="AJ47" i="1"/>
  <c r="AN47" i="1"/>
  <c r="AE47" i="1"/>
  <c r="Z47" i="1"/>
  <c r="AD47" i="1"/>
  <c r="AG47" i="1"/>
  <c r="AL47" i="1"/>
  <c r="AH47" i="1"/>
  <c r="AM47" i="1"/>
  <c r="AI47" i="1"/>
  <c r="AK47" i="1"/>
  <c r="AA47" i="1"/>
  <c r="AF43" i="1"/>
  <c r="AJ43" i="1"/>
  <c r="AN43" i="1"/>
  <c r="AL43" i="1"/>
  <c r="AH43" i="1"/>
  <c r="AA43" i="1"/>
  <c r="AI43" i="1"/>
  <c r="Z43" i="1"/>
  <c r="AE43" i="1"/>
  <c r="AK43" i="1"/>
  <c r="AD43" i="1"/>
  <c r="AG43" i="1"/>
  <c r="AM43" i="1"/>
  <c r="AF39" i="1"/>
  <c r="AJ39" i="1"/>
  <c r="AN39" i="1"/>
  <c r="AK39" i="1"/>
  <c r="AG39" i="1"/>
  <c r="AL39" i="1"/>
  <c r="AH39" i="1"/>
  <c r="AM39" i="1"/>
  <c r="AI39" i="1"/>
  <c r="AD39" i="1"/>
  <c r="AE39" i="1"/>
  <c r="AA39" i="1"/>
  <c r="Z39" i="1"/>
  <c r="AF35" i="1"/>
  <c r="AJ35" i="1"/>
  <c r="AN35" i="1"/>
  <c r="AH35" i="1"/>
  <c r="AI35" i="1"/>
  <c r="AE35" i="1"/>
  <c r="AK35" i="1"/>
  <c r="AG35" i="1"/>
  <c r="AL35" i="1"/>
  <c r="AM35" i="1"/>
  <c r="AD35" i="1"/>
  <c r="AA35" i="1"/>
  <c r="Z35" i="1"/>
  <c r="AF31" i="1"/>
  <c r="AJ31" i="1"/>
  <c r="AN31" i="1"/>
  <c r="AK31" i="1"/>
  <c r="AD31" i="1"/>
  <c r="Z31" i="1"/>
  <c r="AE31" i="1"/>
  <c r="AA31" i="1"/>
  <c r="AG31" i="1"/>
  <c r="AL31" i="1"/>
  <c r="AH31" i="1"/>
  <c r="AM31" i="1"/>
  <c r="AI31" i="1"/>
  <c r="AD27" i="1"/>
  <c r="AK27" i="1"/>
  <c r="AG27" i="1"/>
  <c r="AH27" i="1"/>
  <c r="AA27" i="1"/>
  <c r="AL27" i="1"/>
  <c r="AF27" i="1"/>
  <c r="AJ27" i="1"/>
  <c r="AE27" i="1"/>
  <c r="Z27" i="1"/>
  <c r="AN27" i="1"/>
  <c r="AI27" i="1"/>
  <c r="AM27" i="1"/>
  <c r="AH42" i="1"/>
  <c r="AL42" i="1"/>
  <c r="Z42" i="1"/>
  <c r="AG42" i="1"/>
  <c r="AI42" i="1"/>
  <c r="AN42" i="1"/>
  <c r="AD42" i="1"/>
  <c r="AE42" i="1"/>
  <c r="AJ42" i="1"/>
  <c r="AF42" i="1"/>
  <c r="AK42" i="1"/>
  <c r="AA42" i="1"/>
  <c r="AM42" i="1"/>
  <c r="AH38" i="1"/>
  <c r="AL38" i="1"/>
  <c r="AJ38" i="1"/>
  <c r="AF38" i="1"/>
  <c r="AK38" i="1"/>
  <c r="AG38" i="1"/>
  <c r="AM38" i="1"/>
  <c r="AD38" i="1"/>
  <c r="AI38" i="1"/>
  <c r="AN38" i="1"/>
  <c r="AA38" i="1"/>
  <c r="AE38" i="1"/>
  <c r="Z38" i="1"/>
  <c r="AH34" i="1"/>
  <c r="AL34" i="1"/>
  <c r="AA34" i="1"/>
  <c r="Z34" i="1"/>
  <c r="AI34" i="1"/>
  <c r="AN34" i="1"/>
  <c r="AE34" i="1"/>
  <c r="AJ34" i="1"/>
  <c r="AF34" i="1"/>
  <c r="AK34" i="1"/>
  <c r="AD34" i="1"/>
  <c r="AG34" i="1"/>
  <c r="AM34" i="1"/>
  <c r="AH30" i="1"/>
  <c r="AL30" i="1"/>
  <c r="AE30" i="1"/>
  <c r="AD30" i="1"/>
  <c r="Z30" i="1"/>
  <c r="AF30" i="1"/>
  <c r="AK30" i="1"/>
  <c r="AG30" i="1"/>
  <c r="AM30" i="1"/>
  <c r="AI30" i="1"/>
  <c r="AN30" i="1"/>
  <c r="AA30" i="1"/>
  <c r="AJ30" i="1"/>
  <c r="AH46" i="1"/>
  <c r="AL46" i="1"/>
  <c r="AN46" i="1"/>
  <c r="AJ46" i="1"/>
  <c r="AF46" i="1"/>
  <c r="AK46" i="1"/>
  <c r="AG46" i="1"/>
  <c r="AM46" i="1"/>
  <c r="AI46" i="1"/>
  <c r="AA46" i="1"/>
  <c r="AE46" i="1"/>
  <c r="AD46" i="1"/>
  <c r="Z46" i="1"/>
  <c r="AF45" i="1"/>
  <c r="AJ45" i="1"/>
  <c r="AN45" i="1"/>
  <c r="AD45" i="1"/>
  <c r="AE45" i="1"/>
  <c r="AK45" i="1"/>
  <c r="AG45" i="1"/>
  <c r="AL45" i="1"/>
  <c r="AA45" i="1"/>
  <c r="AH45" i="1"/>
  <c r="AM45" i="1"/>
  <c r="Z45" i="1"/>
  <c r="AI45" i="1"/>
  <c r="AF41" i="1"/>
  <c r="AJ41" i="1"/>
  <c r="AN41" i="1"/>
  <c r="AD41" i="1"/>
  <c r="AL41" i="1"/>
  <c r="AH41" i="1"/>
  <c r="AM41" i="1"/>
  <c r="AI41" i="1"/>
  <c r="AA41" i="1"/>
  <c r="AE41" i="1"/>
  <c r="AK41" i="1"/>
  <c r="Z41" i="1"/>
  <c r="AG41" i="1"/>
  <c r="AF37" i="1"/>
  <c r="AJ37" i="1"/>
  <c r="AN37" i="1"/>
  <c r="AD37" i="1"/>
  <c r="AM37" i="1"/>
  <c r="AI37" i="1"/>
  <c r="AE37" i="1"/>
  <c r="AK37" i="1"/>
  <c r="AG37" i="1"/>
  <c r="AL37" i="1"/>
  <c r="AA37" i="1"/>
  <c r="AH37" i="1"/>
  <c r="Z37" i="1"/>
  <c r="AF33" i="1"/>
  <c r="AJ33" i="1"/>
  <c r="AN33" i="1"/>
  <c r="AD33" i="1"/>
  <c r="Z33" i="1"/>
  <c r="AL33" i="1"/>
  <c r="AH33" i="1"/>
  <c r="AM33" i="1"/>
  <c r="AI33" i="1"/>
  <c r="AA33" i="1"/>
  <c r="AE33" i="1"/>
  <c r="AK33" i="1"/>
  <c r="AG33" i="1"/>
  <c r="AF29" i="1"/>
  <c r="AJ29" i="1"/>
  <c r="AN29" i="1"/>
  <c r="AD29" i="1"/>
  <c r="AI29" i="1"/>
  <c r="AE29" i="1"/>
  <c r="AK29" i="1"/>
  <c r="AG29" i="1"/>
  <c r="AL29" i="1"/>
  <c r="AA29" i="1"/>
  <c r="AH29" i="1"/>
  <c r="AM29" i="1"/>
  <c r="Z29" i="1"/>
  <c r="AH44" i="1"/>
  <c r="AL44" i="1"/>
  <c r="AN44" i="1"/>
  <c r="AI44" i="1"/>
  <c r="AE44" i="1"/>
  <c r="AJ44" i="1"/>
  <c r="AF44" i="1"/>
  <c r="AK44" i="1"/>
  <c r="Z44" i="1"/>
  <c r="AG44" i="1"/>
  <c r="AM44" i="1"/>
  <c r="AD44" i="1"/>
  <c r="AA44" i="1"/>
  <c r="AH40" i="1"/>
  <c r="AL40" i="1"/>
  <c r="AF40" i="1"/>
  <c r="AD40" i="1"/>
  <c r="AA40" i="1"/>
  <c r="AG40" i="1"/>
  <c r="AM40" i="1"/>
  <c r="AI40" i="1"/>
  <c r="AN40" i="1"/>
  <c r="Z40" i="1"/>
  <c r="AE40" i="1"/>
  <c r="AJ40" i="1"/>
  <c r="AK40" i="1"/>
  <c r="AH36" i="1"/>
  <c r="AL36" i="1"/>
  <c r="AI36" i="1"/>
  <c r="AE36" i="1"/>
  <c r="AJ36" i="1"/>
  <c r="AF36" i="1"/>
  <c r="AK36" i="1"/>
  <c r="Z36" i="1"/>
  <c r="AG36" i="1"/>
  <c r="AM36" i="1"/>
  <c r="AN36" i="1"/>
  <c r="AD36" i="1"/>
  <c r="AA36" i="1"/>
  <c r="AH32" i="1"/>
  <c r="AL32" i="1"/>
  <c r="AF32" i="1"/>
  <c r="AK32" i="1"/>
  <c r="AG32" i="1"/>
  <c r="AM32" i="1"/>
  <c r="AA32" i="1"/>
  <c r="AI32" i="1"/>
  <c r="AN32" i="1"/>
  <c r="AD32" i="1"/>
  <c r="Z32" i="1"/>
  <c r="AB32" i="1" s="1"/>
  <c r="AC32" i="1" s="1"/>
  <c r="AE32" i="1"/>
  <c r="AJ32" i="1"/>
  <c r="AH28" i="1"/>
  <c r="AL28" i="1"/>
  <c r="AG28" i="1"/>
  <c r="AD28" i="1"/>
  <c r="AA28" i="1"/>
  <c r="AI28" i="1"/>
  <c r="AN28" i="1"/>
  <c r="AE28" i="1"/>
  <c r="AJ28" i="1"/>
  <c r="AF28" i="1"/>
  <c r="AK28" i="1"/>
  <c r="Z28" i="1"/>
  <c r="AM28" i="1"/>
  <c r="X14" i="1"/>
  <c r="M48" i="1"/>
  <c r="X13" i="1"/>
  <c r="E48" i="1"/>
  <c r="F35" i="1" s="1"/>
  <c r="G35" i="1" s="1"/>
  <c r="T14" i="1"/>
  <c r="AB44" i="1" l="1"/>
  <c r="AC44" i="1" s="1"/>
  <c r="AB27" i="1"/>
  <c r="AC27" i="1" s="1"/>
  <c r="AB52" i="1"/>
  <c r="AC52" i="1" s="1"/>
  <c r="X15" i="1"/>
  <c r="X16" i="1" s="1"/>
  <c r="M49" i="1" s="1"/>
  <c r="AB34" i="1"/>
  <c r="AC34" i="1" s="1"/>
  <c r="AB72" i="1"/>
  <c r="AC72" i="1" s="1"/>
  <c r="AB60" i="1"/>
  <c r="AC60" i="1" s="1"/>
  <c r="AB64" i="1"/>
  <c r="AC64" i="1" s="1"/>
  <c r="AB69" i="1"/>
  <c r="AC69" i="1" s="1"/>
  <c r="AB68" i="1"/>
  <c r="AC68" i="1" s="1"/>
  <c r="AB31" i="1"/>
  <c r="AC31" i="1" s="1"/>
  <c r="AB61" i="1"/>
  <c r="AC61" i="1" s="1"/>
  <c r="AB65" i="1"/>
  <c r="AC65" i="1" s="1"/>
  <c r="AB54" i="1"/>
  <c r="AC54" i="1" s="1"/>
  <c r="AB40" i="1"/>
  <c r="AC40" i="1" s="1"/>
  <c r="AB39" i="1"/>
  <c r="AC39" i="1" s="1"/>
  <c r="AB57" i="1"/>
  <c r="AC57" i="1" s="1"/>
  <c r="AB62" i="1"/>
  <c r="AC62" i="1" s="1"/>
  <c r="AB55" i="1"/>
  <c r="AC55" i="1" s="1"/>
  <c r="AO59" i="1"/>
  <c r="AP59" i="1" s="1"/>
  <c r="AB59" i="1"/>
  <c r="AC59" i="1" s="1"/>
  <c r="AB67" i="1"/>
  <c r="AC67" i="1" s="1"/>
  <c r="AO65" i="1"/>
  <c r="AP65" i="1" s="1"/>
  <c r="AO71" i="1"/>
  <c r="AP71" i="1" s="1"/>
  <c r="AQ71" i="1" s="1"/>
  <c r="AO68" i="1"/>
  <c r="AP68" i="1" s="1"/>
  <c r="AO57" i="1"/>
  <c r="AP57" i="1" s="1"/>
  <c r="AO69" i="1"/>
  <c r="AP69" i="1" s="1"/>
  <c r="AO66" i="1"/>
  <c r="AP66" i="1" s="1"/>
  <c r="AQ66" i="1" s="1"/>
  <c r="AO55" i="1"/>
  <c r="AP55" i="1" s="1"/>
  <c r="AO67" i="1"/>
  <c r="AP67" i="1" s="1"/>
  <c r="AQ67" i="1" s="1"/>
  <c r="AO52" i="1"/>
  <c r="AP52" i="1" s="1"/>
  <c r="AQ52" i="1" s="1"/>
  <c r="AO60" i="1"/>
  <c r="AP60" i="1" s="1"/>
  <c r="AO64" i="1"/>
  <c r="AP64" i="1" s="1"/>
  <c r="AO61" i="1"/>
  <c r="AP61" i="1" s="1"/>
  <c r="AO62" i="1"/>
  <c r="AP62" i="1" s="1"/>
  <c r="AB63" i="1"/>
  <c r="AC63" i="1" s="1"/>
  <c r="AO56" i="1"/>
  <c r="AP56" i="1" s="1"/>
  <c r="AQ56" i="1" s="1"/>
  <c r="AO53" i="1"/>
  <c r="AP53" i="1" s="1"/>
  <c r="AQ53" i="1" s="1"/>
  <c r="AO54" i="1"/>
  <c r="AP54" i="1" s="1"/>
  <c r="AQ54" i="1" s="1"/>
  <c r="AO58" i="1"/>
  <c r="AP58" i="1" s="1"/>
  <c r="AQ58" i="1" s="1"/>
  <c r="AO70" i="1"/>
  <c r="AP70" i="1" s="1"/>
  <c r="AQ70" i="1" s="1"/>
  <c r="AO63" i="1"/>
  <c r="AP63" i="1" s="1"/>
  <c r="AO72" i="1"/>
  <c r="AP72" i="1" s="1"/>
  <c r="AQ72" i="1" s="1"/>
  <c r="AB42" i="1"/>
  <c r="AC42" i="1" s="1"/>
  <c r="AB28" i="1"/>
  <c r="AC28" i="1" s="1"/>
  <c r="AB43" i="1"/>
  <c r="AC43" i="1" s="1"/>
  <c r="AO35" i="1"/>
  <c r="AP35" i="1" s="1"/>
  <c r="AB29" i="1"/>
  <c r="AC29" i="1" s="1"/>
  <c r="AB36" i="1"/>
  <c r="AC36" i="1" s="1"/>
  <c r="AB33" i="1"/>
  <c r="AC33" i="1" s="1"/>
  <c r="AB45" i="1"/>
  <c r="AC45" i="1" s="1"/>
  <c r="AB46" i="1"/>
  <c r="AC46" i="1" s="1"/>
  <c r="AB35" i="1"/>
  <c r="AC35" i="1" s="1"/>
  <c r="AB30" i="1"/>
  <c r="AC30" i="1" s="1"/>
  <c r="AB38" i="1"/>
  <c r="AC38" i="1" s="1"/>
  <c r="AB47" i="1"/>
  <c r="AC47" i="1" s="1"/>
  <c r="AB37" i="1"/>
  <c r="AC37" i="1" s="1"/>
  <c r="AB41" i="1"/>
  <c r="AC41" i="1" s="1"/>
  <c r="T16" i="1"/>
  <c r="E49" i="1" s="1"/>
  <c r="AO29" i="1"/>
  <c r="AP29" i="1" s="1"/>
  <c r="AQ29" i="1" s="1"/>
  <c r="AO37" i="1"/>
  <c r="AP37" i="1" s="1"/>
  <c r="AQ37" i="1" s="1"/>
  <c r="AO45" i="1"/>
  <c r="AP45" i="1" s="1"/>
  <c r="AO30" i="1"/>
  <c r="AP30" i="1" s="1"/>
  <c r="AO47" i="1"/>
  <c r="AP47" i="1" s="1"/>
  <c r="AQ47" i="1" s="1"/>
  <c r="AO40" i="1"/>
  <c r="AP40" i="1" s="1"/>
  <c r="AQ40" i="1" s="1"/>
  <c r="AO36" i="1"/>
  <c r="AP36" i="1" s="1"/>
  <c r="AO46" i="1"/>
  <c r="AP46" i="1" s="1"/>
  <c r="AO31" i="1"/>
  <c r="AP31" i="1" s="1"/>
  <c r="AQ31" i="1" s="1"/>
  <c r="AO43" i="1"/>
  <c r="AP43" i="1" s="1"/>
  <c r="AO32" i="1"/>
  <c r="AP32" i="1" s="1"/>
  <c r="AQ32" i="1" s="1"/>
  <c r="AO44" i="1"/>
  <c r="AP44" i="1" s="1"/>
  <c r="AQ44" i="1" s="1"/>
  <c r="AO33" i="1"/>
  <c r="AP33" i="1" s="1"/>
  <c r="AO41" i="1"/>
  <c r="AP41" i="1" s="1"/>
  <c r="AO28" i="1"/>
  <c r="AP28" i="1" s="1"/>
  <c r="AO34" i="1"/>
  <c r="AP34" i="1" s="1"/>
  <c r="AQ34" i="1" s="1"/>
  <c r="AO38" i="1"/>
  <c r="AP38" i="1" s="1"/>
  <c r="AO42" i="1"/>
  <c r="AP42" i="1" s="1"/>
  <c r="AO27" i="1"/>
  <c r="AP27" i="1" s="1"/>
  <c r="AO39" i="1"/>
  <c r="AP39" i="1" s="1"/>
  <c r="N35" i="1"/>
  <c r="O35" i="1" s="1"/>
  <c r="N42" i="1"/>
  <c r="N37" i="1"/>
  <c r="O37" i="1" s="1"/>
  <c r="N43" i="1"/>
  <c r="O43" i="1" s="1"/>
  <c r="N39" i="1"/>
  <c r="N36" i="1"/>
  <c r="O36" i="1" s="1"/>
  <c r="N41" i="1"/>
  <c r="O41" i="1" s="1"/>
  <c r="N40" i="1"/>
  <c r="N44" i="1"/>
  <c r="N38" i="1"/>
  <c r="O38" i="1" s="1"/>
  <c r="F37" i="1"/>
  <c r="G37" i="1" s="1"/>
  <c r="F36" i="1"/>
  <c r="G36" i="1" s="1"/>
  <c r="F44" i="1"/>
  <c r="F41" i="1"/>
  <c r="G41" i="1" s="1"/>
  <c r="F42" i="1"/>
  <c r="F38" i="1"/>
  <c r="G38" i="1" s="1"/>
  <c r="F40" i="1"/>
  <c r="F39" i="1"/>
  <c r="F43" i="1"/>
  <c r="G43" i="1" s="1"/>
  <c r="F45" i="1"/>
  <c r="G45" i="1" s="1"/>
  <c r="AQ27" i="1" l="1"/>
  <c r="AR27" i="1" s="1"/>
  <c r="AS27" i="1" s="1"/>
  <c r="AQ39" i="1"/>
  <c r="AQ64" i="1"/>
  <c r="AQ69" i="1"/>
  <c r="AR44" i="1" s="1"/>
  <c r="AS44" i="1" s="1"/>
  <c r="AQ46" i="1"/>
  <c r="AR46" i="1" s="1"/>
  <c r="AS46" i="1" s="1"/>
  <c r="AQ28" i="1"/>
  <c r="AR28" i="1" s="1"/>
  <c r="AS28" i="1" s="1"/>
  <c r="AQ36" i="1"/>
  <c r="AQ63" i="1"/>
  <c r="AQ55" i="1"/>
  <c r="AQ68" i="1"/>
  <c r="AQ60" i="1"/>
  <c r="AQ62" i="1"/>
  <c r="AR37" i="1" s="1"/>
  <c r="AS37" i="1" s="1"/>
  <c r="AQ38" i="1"/>
  <c r="AQ33" i="1"/>
  <c r="AR33" i="1" s="1"/>
  <c r="AS33" i="1" s="1"/>
  <c r="AR31" i="1"/>
  <c r="AS31" i="1" s="1"/>
  <c r="AQ59" i="1"/>
  <c r="AR34" i="1" s="1"/>
  <c r="AS34" i="1" s="1"/>
  <c r="AQ65" i="1"/>
  <c r="AR40" i="1" s="1"/>
  <c r="AS40" i="1" s="1"/>
  <c r="AQ42" i="1"/>
  <c r="AR42" i="1" s="1"/>
  <c r="AS42" i="1" s="1"/>
  <c r="AQ41" i="1"/>
  <c r="AR41" i="1" s="1"/>
  <c r="AS41" i="1" s="1"/>
  <c r="AQ43" i="1"/>
  <c r="AQ61" i="1"/>
  <c r="AQ57" i="1"/>
  <c r="AR32" i="1" s="1"/>
  <c r="AS32" i="1" s="1"/>
  <c r="AQ45" i="1"/>
  <c r="AR45" i="1" s="1"/>
  <c r="AS45" i="1" s="1"/>
  <c r="AR29" i="1"/>
  <c r="AS29" i="1" s="1"/>
  <c r="O46" i="1"/>
  <c r="AR47" i="1"/>
  <c r="AS47" i="1" s="1"/>
  <c r="AQ35" i="1"/>
  <c r="AQ30" i="1"/>
  <c r="G46" i="1"/>
  <c r="AR39" i="1" l="1"/>
  <c r="AS39" i="1" s="1"/>
  <c r="AR30" i="1"/>
  <c r="AS30" i="1" s="1"/>
  <c r="AR43" i="1"/>
  <c r="AS43" i="1" s="1"/>
  <c r="AR36" i="1"/>
  <c r="AS36" i="1" s="1"/>
  <c r="AR38" i="1"/>
  <c r="AS38" i="1" s="1"/>
  <c r="AR35" i="1"/>
  <c r="AS35" i="1" s="1"/>
  <c r="X17" i="1"/>
  <c r="M50" i="1" s="1"/>
  <c r="T17" i="1"/>
  <c r="E50" i="1" s="1"/>
  <c r="E18" i="1" l="1"/>
  <c r="E15" i="1"/>
  <c r="E16" i="1" s="1"/>
  <c r="E17" i="1" s="1"/>
  <c r="AA9" i="1" l="1" a="1"/>
  <c r="AB10" i="1" s="1"/>
  <c r="AC11" i="1" l="1"/>
  <c r="AC10" i="1"/>
  <c r="AB9" i="1"/>
  <c r="AA9" i="1"/>
  <c r="AB11" i="1"/>
  <c r="AA11" i="1"/>
  <c r="AA10" i="1"/>
  <c r="AC9" i="1"/>
  <c r="AU27" i="1" l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A14" i="1" a="1"/>
  <c r="AC16" i="1" s="1"/>
  <c r="AC14" i="1" l="1"/>
  <c r="AC19" i="1" s="1"/>
  <c r="AB14" i="1"/>
  <c r="AB19" i="1" s="1"/>
  <c r="AC15" i="1"/>
  <c r="AB15" i="1"/>
  <c r="AB16" i="1"/>
  <c r="AA15" i="1"/>
  <c r="AA14" i="1"/>
  <c r="AA16" i="1"/>
  <c r="AA19" i="1" l="1"/>
  <c r="AC21" i="1" s="1"/>
  <c r="AD21" i="1" l="1"/>
  <c r="AE21" i="1"/>
  <c r="AD22" i="1" l="1"/>
  <c r="AC22" i="1"/>
  <c r="AC23" i="1" s="1"/>
  <c r="M58" i="1" l="1"/>
  <c r="AH22" i="1" l="1"/>
  <c r="AF23" i="1"/>
  <c r="M59" i="1" s="1"/>
  <c r="M61" i="1" s="1"/>
  <c r="AH23" i="1"/>
  <c r="AH18" i="1"/>
  <c r="M60" i="1" s="1"/>
  <c r="M62" i="1" l="1"/>
  <c r="AI23" i="1"/>
  <c r="AA14" i="5" a="1"/>
  <c r="AB16" i="5" s="1"/>
  <c r="AA9" i="5" a="1"/>
  <c r="AA11" i="5" s="1"/>
  <c r="AA4" i="5" a="1"/>
  <c r="AB4" i="5" s="1"/>
  <c r="AC5" i="5" l="1"/>
  <c r="AB5" i="5"/>
  <c r="AB11" i="5"/>
  <c r="AA6" i="5"/>
  <c r="AB6" i="5"/>
  <c r="AA4" i="5"/>
  <c r="AA19" i="5" s="1"/>
  <c r="AB9" i="5"/>
  <c r="AA10" i="5"/>
  <c r="AC10" i="5"/>
  <c r="AC4" i="5"/>
  <c r="AC19" i="5" s="1"/>
  <c r="AC11" i="5"/>
  <c r="AC6" i="5"/>
  <c r="AA5" i="5"/>
  <c r="AA9" i="5"/>
  <c r="AC9" i="5"/>
  <c r="AB10" i="5"/>
  <c r="AA14" i="5"/>
  <c r="AB15" i="5"/>
  <c r="AA15" i="5"/>
  <c r="AC15" i="5"/>
  <c r="AC14" i="5"/>
  <c r="AB14" i="5"/>
  <c r="AB19" i="5" s="1"/>
  <c r="AC16" i="5"/>
  <c r="AA16" i="5"/>
  <c r="AC21" i="5" l="1"/>
  <c r="AE21" i="5" s="1"/>
  <c r="AD22" i="5" s="1"/>
  <c r="AT27" i="5"/>
  <c r="AU33" i="5"/>
  <c r="AU30" i="5"/>
  <c r="AU32" i="5"/>
  <c r="AU34" i="5"/>
  <c r="AU40" i="5"/>
  <c r="AU37" i="5"/>
  <c r="AU36" i="5"/>
  <c r="AU29" i="5"/>
  <c r="AU45" i="5"/>
  <c r="AU47" i="5"/>
  <c r="AU28" i="5"/>
  <c r="AU27" i="5"/>
  <c r="AU39" i="5"/>
  <c r="AU43" i="5"/>
  <c r="AU41" i="5"/>
  <c r="AU35" i="5"/>
  <c r="AU31" i="5"/>
  <c r="AU44" i="5"/>
  <c r="AU46" i="5"/>
  <c r="AU38" i="5"/>
  <c r="AU42" i="5"/>
  <c r="AT35" i="5"/>
  <c r="AT28" i="5"/>
  <c r="AT36" i="5"/>
  <c r="AT47" i="5"/>
  <c r="AT34" i="5"/>
  <c r="AT43" i="5"/>
  <c r="AT38" i="5"/>
  <c r="AT30" i="5"/>
  <c r="AT31" i="5"/>
  <c r="AT41" i="5"/>
  <c r="AT44" i="5"/>
  <c r="AT33" i="5"/>
  <c r="AT29" i="5"/>
  <c r="AT39" i="5"/>
  <c r="AT37" i="5"/>
  <c r="AT45" i="5"/>
  <c r="AT42" i="5"/>
  <c r="AT40" i="5"/>
  <c r="AT32" i="5"/>
  <c r="AT46" i="5"/>
  <c r="AD21" i="5" l="1"/>
  <c r="AC22" i="5" l="1"/>
  <c r="AC23" i="5" s="1"/>
  <c r="M58" i="5" s="1"/>
  <c r="AH18" i="5" l="1"/>
  <c r="M60" i="5" s="1"/>
  <c r="AF23" i="5"/>
  <c r="M59" i="5" s="1"/>
  <c r="AH22" i="5"/>
  <c r="AH23" i="5"/>
  <c r="AI23" i="5" l="1"/>
  <c r="M61" i="5"/>
  <c r="M62" i="5" s="1"/>
</calcChain>
</file>

<file path=xl/sharedStrings.xml><?xml version="1.0" encoding="utf-8"?>
<sst xmlns="http://schemas.openxmlformats.org/spreadsheetml/2006/main" count="511" uniqueCount="145">
  <si>
    <t>Tag No.</t>
  </si>
  <si>
    <t>Description</t>
  </si>
  <si>
    <t>Date</t>
  </si>
  <si>
    <t xml:space="preserve">User Input </t>
  </si>
  <si>
    <t>By</t>
  </si>
  <si>
    <t>P-101</t>
  </si>
  <si>
    <t>Feed Pump</t>
  </si>
  <si>
    <t>PUMP SIZING CALCULATION</t>
  </si>
  <si>
    <t>Flowrate</t>
  </si>
  <si>
    <t>gpm</t>
  </si>
  <si>
    <t>US gpm</t>
  </si>
  <si>
    <t>Density</t>
  </si>
  <si>
    <t>lb/ft3</t>
  </si>
  <si>
    <t>Viscosity</t>
  </si>
  <si>
    <t>cP</t>
  </si>
  <si>
    <t>Vapor Pressure</t>
  </si>
  <si>
    <t>psia</t>
  </si>
  <si>
    <t>Pressure</t>
  </si>
  <si>
    <t>Static Head</t>
  </si>
  <si>
    <t>ft</t>
  </si>
  <si>
    <t>Equipment DP</t>
  </si>
  <si>
    <t>Misc DP</t>
  </si>
  <si>
    <t>psi</t>
  </si>
  <si>
    <t>Piping</t>
  </si>
  <si>
    <t>Length</t>
  </si>
  <si>
    <t>Sch/ Thick</t>
  </si>
  <si>
    <t>Pipe ID Selected</t>
  </si>
  <si>
    <t>Pipe ID</t>
  </si>
  <si>
    <t>Pipe Diameter</t>
  </si>
  <si>
    <t>inch</t>
  </si>
  <si>
    <t>Fittings</t>
  </si>
  <si>
    <t>Elbows, 45LR</t>
  </si>
  <si>
    <t>Elbows, 90LR</t>
  </si>
  <si>
    <t>Tees, Thru</t>
  </si>
  <si>
    <t>Tees, Branch</t>
  </si>
  <si>
    <t>Ball Valves</t>
  </si>
  <si>
    <t>Butterfly Valves</t>
  </si>
  <si>
    <t>Gate Valves</t>
  </si>
  <si>
    <t>Globe Valves</t>
  </si>
  <si>
    <t>Check Valves</t>
  </si>
  <si>
    <t>Plug Valves</t>
  </si>
  <si>
    <t>Pipe Entrance</t>
  </si>
  <si>
    <t>No.</t>
  </si>
  <si>
    <t>K</t>
  </si>
  <si>
    <t>DP</t>
  </si>
  <si>
    <t>Velocity</t>
  </si>
  <si>
    <t>Reynold's No.</t>
  </si>
  <si>
    <t>Pipe DP</t>
  </si>
  <si>
    <t>Suction Pressure</t>
  </si>
  <si>
    <t>psi/100ft</t>
  </si>
  <si>
    <t>ft/s</t>
  </si>
  <si>
    <t>Pipe Exit</t>
  </si>
  <si>
    <t>Hydraulic power</t>
  </si>
  <si>
    <t>NPSH available</t>
  </si>
  <si>
    <t>bhp</t>
  </si>
  <si>
    <t>Flow</t>
  </si>
  <si>
    <t>Head</t>
  </si>
  <si>
    <t>%</t>
  </si>
  <si>
    <t>Roughness</t>
  </si>
  <si>
    <t>Piping Inside Diameter, Inches</t>
  </si>
  <si>
    <t>Sch / Thickness</t>
  </si>
  <si>
    <t>Nominal Pipe Size</t>
  </si>
  <si>
    <t>OD</t>
  </si>
  <si>
    <t>Suction Calculations</t>
  </si>
  <si>
    <t>Selected ID</t>
  </si>
  <si>
    <t>Selected Schedule</t>
  </si>
  <si>
    <t>Outlet Calculations</t>
  </si>
  <si>
    <t>Area</t>
  </si>
  <si>
    <t>ft2</t>
  </si>
  <si>
    <t>Re</t>
  </si>
  <si>
    <t>e/D</t>
  </si>
  <si>
    <t>A</t>
  </si>
  <si>
    <t>B</t>
  </si>
  <si>
    <t>f</t>
  </si>
  <si>
    <t>DP1</t>
  </si>
  <si>
    <t>Suction Condition</t>
  </si>
  <si>
    <t>Discharge Condition</t>
  </si>
  <si>
    <t>Discharge Pressure</t>
  </si>
  <si>
    <t>Curve Fitting</t>
  </si>
  <si>
    <t>Efficiency</t>
  </si>
  <si>
    <t>Head Equation (2nd Order Curve Fitting)</t>
  </si>
  <si>
    <t>Efficiency Equation (2nd Order Curve Fitting)</t>
  </si>
  <si>
    <t>Maximum Flow</t>
  </si>
  <si>
    <t>Division</t>
  </si>
  <si>
    <t>Increment</t>
  </si>
  <si>
    <t>Suction Pipe</t>
  </si>
  <si>
    <t>GPM</t>
  </si>
  <si>
    <t>Reynold</t>
  </si>
  <si>
    <t>Elb, 90LR</t>
  </si>
  <si>
    <t>Elb, 45LR</t>
  </si>
  <si>
    <t>Tees, Bran</t>
  </si>
  <si>
    <t>Ball</t>
  </si>
  <si>
    <t>Butterfly</t>
  </si>
  <si>
    <t>Gate</t>
  </si>
  <si>
    <t>Globe</t>
  </si>
  <si>
    <t>Check</t>
  </si>
  <si>
    <t>Plug</t>
  </si>
  <si>
    <t>Pipe</t>
  </si>
  <si>
    <t>Sum K</t>
  </si>
  <si>
    <t>Suct P</t>
  </si>
  <si>
    <t>Discharge Conditions</t>
  </si>
  <si>
    <t>Disch P</t>
  </si>
  <si>
    <t>Diff P</t>
  </si>
  <si>
    <t>Differential Head</t>
  </si>
  <si>
    <t>Differential DP</t>
  </si>
  <si>
    <t>Pump Head</t>
  </si>
  <si>
    <t>System Curve (2nd Order Curve Fitting)</t>
  </si>
  <si>
    <t>Solution of System &amp; Head Curve</t>
  </si>
  <si>
    <t>Determinant</t>
  </si>
  <si>
    <t>Roots</t>
  </si>
  <si>
    <t>Selected Flow</t>
  </si>
  <si>
    <t>X</t>
  </si>
  <si>
    <t>Y</t>
  </si>
  <si>
    <t>System Curve</t>
  </si>
  <si>
    <t>Efficiency %</t>
  </si>
  <si>
    <t>Pump Manufacturer's Curve</t>
  </si>
  <si>
    <t>Operating Conditions</t>
  </si>
  <si>
    <t>are calculated</t>
  </si>
  <si>
    <t xml:space="preserve">Flow value till which System and Head Curve </t>
  </si>
  <si>
    <t>Hydraulic Power</t>
  </si>
  <si>
    <t>Rated Power</t>
  </si>
  <si>
    <t>P1</t>
  </si>
  <si>
    <t>P2</t>
  </si>
  <si>
    <t>L1</t>
  </si>
  <si>
    <t>L2</t>
  </si>
  <si>
    <t>ID2</t>
  </si>
  <si>
    <t>ID1</t>
  </si>
  <si>
    <t>h1</t>
  </si>
  <si>
    <t>h2</t>
  </si>
  <si>
    <r>
      <t>m</t>
    </r>
    <r>
      <rPr>
        <sz val="11"/>
        <color rgb="FF7030A0"/>
        <rFont val="Calibri"/>
        <family val="2"/>
      </rPr>
      <t>³/h</t>
    </r>
  </si>
  <si>
    <r>
      <t>kg/m</t>
    </r>
    <r>
      <rPr>
        <sz val="11"/>
        <color rgb="FF7030A0"/>
        <rFont val="Calibri"/>
        <family val="2"/>
      </rPr>
      <t>³</t>
    </r>
  </si>
  <si>
    <t>bar</t>
  </si>
  <si>
    <t>bar abs</t>
  </si>
  <si>
    <t>m</t>
  </si>
  <si>
    <t>mm</t>
  </si>
  <si>
    <t>m2</t>
  </si>
  <si>
    <t>m/s</t>
  </si>
  <si>
    <t>bar/100m</t>
  </si>
  <si>
    <t>kw</t>
  </si>
  <si>
    <t>m3/h</t>
  </si>
  <si>
    <t>kW</t>
  </si>
  <si>
    <t>06-May-2017</t>
  </si>
  <si>
    <t>CheGuide</t>
  </si>
  <si>
    <t>CheGuide.com</t>
  </si>
  <si>
    <t>Chemical Engineer's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</si>
</sst>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[$-14009]dd/mm/yy;@"/>
    <numFmt numFmtId="166" formatCode="0.0"/>
    <numFmt numFmtId="167" formatCode="0.0000"/>
    <numFmt numFmtId="168" formatCode="0.000E+00"/>
    <numFmt numFmtId="169" formatCode="0.0E+00"/>
    <numFmt numFmtId="170" formatCode="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name val="Helvetica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7030A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9" tint="0.39988402966399123"/>
      </left>
      <right/>
      <top style="thin">
        <color theme="9" tint="0.39988402966399123"/>
      </top>
      <bottom style="thin">
        <color theme="9" tint="0.39985351115451523"/>
      </bottom>
      <diagonal/>
    </border>
    <border>
      <left/>
      <right/>
      <top style="thin">
        <color theme="9" tint="0.39988402966399123"/>
      </top>
      <bottom style="thin">
        <color theme="9" tint="0.39985351115451523"/>
      </bottom>
      <diagonal/>
    </border>
    <border>
      <left/>
      <right style="thin">
        <color theme="9" tint="0.39991454817346722"/>
      </right>
      <top style="thin">
        <color theme="9" tint="0.39988402966399123"/>
      </top>
      <bottom style="thin">
        <color theme="9" tint="0.39985351115451523"/>
      </bottom>
      <diagonal/>
    </border>
    <border>
      <left style="thin">
        <color theme="9" tint="0.39988402966399123"/>
      </left>
      <right/>
      <top style="thin">
        <color theme="9" tint="0.39985351115451523"/>
      </top>
      <bottom style="thin">
        <color theme="9" tint="0.39988402966399123"/>
      </bottom>
      <diagonal/>
    </border>
    <border>
      <left/>
      <right/>
      <top style="thin">
        <color theme="9" tint="0.39985351115451523"/>
      </top>
      <bottom style="thin">
        <color theme="9" tint="0.39988402966399123"/>
      </bottom>
      <diagonal/>
    </border>
    <border>
      <left/>
      <right style="thin">
        <color theme="9" tint="0.39991454817346722"/>
      </right>
      <top style="thin">
        <color theme="9" tint="0.39985351115451523"/>
      </top>
      <bottom style="thin">
        <color theme="9" tint="0.39988402966399123"/>
      </bottom>
      <diagonal/>
    </border>
    <border>
      <left style="thin">
        <color theme="9" tint="0.39991454817346722"/>
      </left>
      <right/>
      <top style="thin">
        <color theme="9" tint="0.39988402966399123"/>
      </top>
      <bottom style="thin">
        <color theme="9" tint="0.39994506668294322"/>
      </bottom>
      <diagonal/>
    </border>
    <border>
      <left/>
      <right/>
      <top style="thin">
        <color theme="9" tint="0.39988402966399123"/>
      </top>
      <bottom style="thin">
        <color theme="9" tint="0.39994506668294322"/>
      </bottom>
      <diagonal/>
    </border>
    <border>
      <left/>
      <right style="thin">
        <color theme="9" tint="0.39991454817346722"/>
      </right>
      <top style="thin">
        <color theme="9" tint="0.39988402966399123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9" tint="0.39994506668294322"/>
      </left>
      <right style="thin">
        <color theme="9" tint="0.399914548173467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hair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hair">
        <color theme="6" tint="-0.24994659260841701"/>
      </top>
      <bottom style="hair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hair">
        <color theme="6" tint="-0.24994659260841701"/>
      </top>
      <bottom style="thin">
        <color theme="6" tint="-0.24994659260841701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 style="hair">
        <color theme="6" tint="-0.24994659260841701"/>
      </bottom>
      <diagonal/>
    </border>
    <border>
      <left style="thin">
        <color theme="6" tint="-0.24994659260841701"/>
      </left>
      <right/>
      <top style="hair">
        <color theme="6" tint="-0.24994659260841701"/>
      </top>
      <bottom style="hair">
        <color theme="6" tint="-0.24994659260841701"/>
      </bottom>
      <diagonal/>
    </border>
    <border>
      <left style="thin">
        <color theme="6" tint="-0.24994659260841701"/>
      </left>
      <right/>
      <top style="hair">
        <color theme="6" tint="-0.24994659260841701"/>
      </top>
      <bottom style="thin">
        <color theme="6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77">
    <xf numFmtId="0" fontId="0" fillId="0" borderId="0" xfId="0"/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164" fontId="2" fillId="0" borderId="0" xfId="0" applyNumberFormat="1" applyFont="1" applyAlignment="1" applyProtection="1">
      <alignment vertical="center"/>
    </xf>
    <xf numFmtId="1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64" fontId="5" fillId="0" borderId="0" xfId="0" applyNumberFormat="1" applyFont="1" applyBorder="1" applyProtection="1"/>
    <xf numFmtId="164" fontId="6" fillId="0" borderId="0" xfId="0" applyNumberFormat="1" applyFont="1" applyProtection="1"/>
    <xf numFmtId="0" fontId="5" fillId="0" borderId="0" xfId="0" applyFont="1"/>
    <xf numFmtId="164" fontId="7" fillId="0" borderId="0" xfId="0" applyNumberFormat="1" applyFont="1" applyAlignment="1">
      <alignment horizontal="left"/>
    </xf>
    <xf numFmtId="0" fontId="0" fillId="3" borderId="0" xfId="0" applyFill="1"/>
    <xf numFmtId="0" fontId="9" fillId="0" borderId="0" xfId="2" applyFont="1"/>
    <xf numFmtId="0" fontId="9" fillId="0" borderId="0" xfId="2" applyFont="1" applyAlignment="1">
      <alignment horizontal="centerContinuous"/>
    </xf>
    <xf numFmtId="0" fontId="9" fillId="0" borderId="0" xfId="2" applyFont="1" applyAlignment="1">
      <alignment horizontal="center"/>
    </xf>
    <xf numFmtId="166" fontId="9" fillId="0" borderId="0" xfId="2" applyNumberFormat="1" applyFont="1" applyAlignment="1">
      <alignment horizontal="center"/>
    </xf>
    <xf numFmtId="0" fontId="0" fillId="2" borderId="12" xfId="0" applyFill="1" applyBorder="1" applyProtection="1">
      <protection locked="0"/>
    </xf>
    <xf numFmtId="1" fontId="0" fillId="4" borderId="16" xfId="0" applyNumberFormat="1" applyFill="1" applyBorder="1"/>
    <xf numFmtId="0" fontId="0" fillId="2" borderId="18" xfId="0" applyFill="1" applyBorder="1" applyProtection="1">
      <protection locked="0"/>
    </xf>
    <xf numFmtId="2" fontId="0" fillId="2" borderId="12" xfId="0" applyNumberFormat="1" applyFill="1" applyBorder="1" applyProtection="1">
      <protection locked="0"/>
    </xf>
    <xf numFmtId="166" fontId="0" fillId="2" borderId="12" xfId="0" applyNumberFormat="1" applyFill="1" applyBorder="1" applyProtection="1"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1" fillId="0" borderId="0" xfId="0" applyFont="1"/>
    <xf numFmtId="0" fontId="0" fillId="2" borderId="12" xfId="0" applyFont="1" applyFill="1" applyBorder="1" applyProtection="1">
      <protection locked="0"/>
    </xf>
    <xf numFmtId="0" fontId="10" fillId="0" borderId="0" xfId="0" applyFont="1" applyBorder="1" applyAlignment="1">
      <alignment horizontal="left"/>
    </xf>
    <xf numFmtId="0" fontId="0" fillId="0" borderId="0" xfId="0" applyFill="1"/>
    <xf numFmtId="0" fontId="11" fillId="3" borderId="0" xfId="0" applyFont="1" applyFill="1"/>
    <xf numFmtId="166" fontId="0" fillId="4" borderId="16" xfId="0" applyNumberFormat="1" applyFill="1" applyBorder="1"/>
    <xf numFmtId="2" fontId="0" fillId="4" borderId="16" xfId="0" applyNumberFormat="1" applyFill="1" applyBorder="1"/>
    <xf numFmtId="164" fontId="0" fillId="4" borderId="16" xfId="0" applyNumberFormat="1" applyFill="1" applyBorder="1"/>
    <xf numFmtId="2" fontId="0" fillId="4" borderId="15" xfId="0" applyNumberFormat="1" applyFill="1" applyBorder="1"/>
    <xf numFmtId="2" fontId="0" fillId="0" borderId="0" xfId="0" applyNumberFormat="1"/>
    <xf numFmtId="2" fontId="0" fillId="4" borderId="13" xfId="0" applyNumberFormat="1" applyFill="1" applyBorder="1"/>
    <xf numFmtId="166" fontId="0" fillId="4" borderId="17" xfId="0" applyNumberFormat="1" applyFill="1" applyBorder="1"/>
    <xf numFmtId="2" fontId="0" fillId="4" borderId="17" xfId="0" applyNumberFormat="1" applyFill="1" applyBorder="1"/>
    <xf numFmtId="0" fontId="12" fillId="0" borderId="0" xfId="0" applyFont="1"/>
    <xf numFmtId="166" fontId="0" fillId="0" borderId="0" xfId="0" applyNumberFormat="1"/>
    <xf numFmtId="0" fontId="13" fillId="0" borderId="0" xfId="0" applyFont="1"/>
    <xf numFmtId="0" fontId="0" fillId="0" borderId="0" xfId="0" applyAlignment="1">
      <alignment horizontal="center"/>
    </xf>
    <xf numFmtId="0" fontId="0" fillId="2" borderId="12" xfId="0" applyFill="1" applyBorder="1" applyAlignment="1" applyProtection="1">
      <alignment horizontal="center"/>
      <protection locked="0"/>
    </xf>
    <xf numFmtId="166" fontId="0" fillId="2" borderId="12" xfId="0" applyNumberForma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2" fontId="0" fillId="4" borderId="19" xfId="0" applyNumberFormat="1" applyFill="1" applyBorder="1"/>
    <xf numFmtId="2" fontId="0" fillId="4" borderId="20" xfId="0" applyNumberFormat="1" applyFill="1" applyBorder="1"/>
    <xf numFmtId="2" fontId="0" fillId="4" borderId="21" xfId="0" applyNumberFormat="1" applyFill="1" applyBorder="1"/>
    <xf numFmtId="0" fontId="0" fillId="5" borderId="0" xfId="0" applyFill="1"/>
    <xf numFmtId="167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11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1" fontId="0" fillId="2" borderId="12" xfId="0" applyNumberFormat="1" applyFill="1" applyBorder="1" applyProtection="1">
      <protection locked="0"/>
    </xf>
    <xf numFmtId="167" fontId="0" fillId="0" borderId="0" xfId="0" applyNumberFormat="1"/>
    <xf numFmtId="168" fontId="0" fillId="0" borderId="0" xfId="0" applyNumberFormat="1"/>
    <xf numFmtId="164" fontId="0" fillId="4" borderId="13" xfId="0" applyNumberFormat="1" applyFill="1" applyBorder="1"/>
    <xf numFmtId="164" fontId="0" fillId="4" borderId="15" xfId="0" applyNumberFormat="1" applyFill="1" applyBorder="1"/>
    <xf numFmtId="169" fontId="0" fillId="0" borderId="0" xfId="0" applyNumberFormat="1"/>
    <xf numFmtId="170" fontId="0" fillId="0" borderId="0" xfId="0" applyNumberFormat="1"/>
    <xf numFmtId="1" fontId="0" fillId="2" borderId="14" xfId="0" applyNumberFormat="1" applyFill="1" applyBorder="1" applyAlignment="1" applyProtection="1">
      <alignment horizontal="center"/>
      <protection locked="0"/>
    </xf>
    <xf numFmtId="0" fontId="10" fillId="0" borderId="0" xfId="0" applyFont="1" applyBorder="1" applyAlignment="1">
      <alignment horizontal="center"/>
    </xf>
    <xf numFmtId="166" fontId="0" fillId="4" borderId="15" xfId="0" applyNumberFormat="1" applyFill="1" applyBorder="1"/>
    <xf numFmtId="164" fontId="3" fillId="0" borderId="0" xfId="1" applyNumberFormat="1" applyFont="1" applyProtection="1"/>
    <xf numFmtId="164" fontId="5" fillId="2" borderId="10" xfId="0" applyNumberFormat="1" applyFont="1" applyFill="1" applyBorder="1" applyAlignment="1" applyProtection="1">
      <alignment horizontal="center"/>
      <protection locked="0"/>
    </xf>
    <xf numFmtId="164" fontId="5" fillId="2" borderId="11" xfId="0" applyNumberFormat="1" applyFont="1" applyFill="1" applyBorder="1" applyAlignment="1" applyProtection="1">
      <alignment horizontal="center"/>
      <protection locked="0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165" fontId="5" fillId="2" borderId="8" xfId="0" applyNumberFormat="1" applyFont="1" applyFill="1" applyBorder="1" applyAlignment="1" applyProtection="1">
      <alignment horizontal="center"/>
      <protection locked="0"/>
    </xf>
    <xf numFmtId="165" fontId="5" fillId="2" borderId="9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5" fillId="2" borderId="1" xfId="0" applyNumberFormat="1" applyFont="1" applyFill="1" applyBorder="1" applyAlignment="1" applyProtection="1">
      <alignment horizontal="center" vertical="top"/>
      <protection locked="0"/>
    </xf>
    <xf numFmtId="164" fontId="5" fillId="2" borderId="2" xfId="0" applyNumberFormat="1" applyFont="1" applyFill="1" applyBorder="1" applyAlignment="1" applyProtection="1">
      <alignment horizontal="center" vertical="top"/>
      <protection locked="0"/>
    </xf>
    <xf numFmtId="164" fontId="5" fillId="2" borderId="3" xfId="0" applyNumberFormat="1" applyFont="1" applyFill="1" applyBorder="1" applyAlignment="1" applyProtection="1">
      <alignment horizontal="center" vertical="top"/>
      <protection locked="0"/>
    </xf>
    <xf numFmtId="164" fontId="5" fillId="2" borderId="4" xfId="0" applyNumberFormat="1" applyFont="1" applyFill="1" applyBorder="1" applyAlignment="1" applyProtection="1">
      <alignment horizontal="center" vertical="top"/>
      <protection locked="0"/>
    </xf>
    <xf numFmtId="164" fontId="5" fillId="2" borderId="5" xfId="0" applyNumberFormat="1" applyFont="1" applyFill="1" applyBorder="1" applyAlignment="1" applyProtection="1">
      <alignment horizontal="center" vertical="top"/>
      <protection locked="0"/>
    </xf>
    <xf numFmtId="164" fontId="5" fillId="2" borderId="6" xfId="0" applyNumberFormat="1" applyFont="1" applyFill="1" applyBorder="1" applyAlignment="1" applyProtection="1">
      <alignment horizontal="center" vertical="top"/>
      <protection locked="0"/>
    </xf>
    <xf numFmtId="165" fontId="5" fillId="2" borderId="7" xfId="0" quotePrefix="1" applyNumberFormat="1" applyFont="1" applyFill="1" applyBorder="1" applyAlignment="1" applyProtection="1">
      <alignment horizontal="center"/>
      <protection locked="0"/>
    </xf>
  </cellXfs>
  <cellStyles count="3">
    <cellStyle name="Hyperlink" xfId="1" builtinId="8"/>
    <cellStyle name="Normal" xfId="0" builtinId="0"/>
    <cellStyle name="Normal_2 Phase Look-Up Lists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4638955014345"/>
          <c:y val="0.12791885169813066"/>
          <c:w val="0.74613353563362717"/>
          <c:h val="0.745743854090960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English!$AT$25</c:f>
              <c:strCache>
                <c:ptCount val="1"/>
                <c:pt idx="0">
                  <c:v>Pump Head</c:v>
                </c:pt>
              </c:strCache>
            </c:strRef>
          </c:tx>
          <c:marker>
            <c:symbol val="none"/>
          </c:marker>
          <c:xVal>
            <c:numRef>
              <c:f>English!$W$27:$W$47</c:f>
              <c:numCache>
                <c:formatCode>0.0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numCache>
            </c:numRef>
          </c:xVal>
          <c:yVal>
            <c:numRef>
              <c:f>English!$AT$27:$AT$47</c:f>
              <c:numCache>
                <c:formatCode>0.0</c:formatCode>
                <c:ptCount val="21"/>
                <c:pt idx="0">
                  <c:v>149.93479632873499</c:v>
                </c:pt>
                <c:pt idx="1">
                  <c:v>148.8671996409048</c:v>
                </c:pt>
                <c:pt idx="2">
                  <c:v>147.47629640332497</c:v>
                </c:pt>
                <c:pt idx="3">
                  <c:v>145.76208661599551</c:v>
                </c:pt>
                <c:pt idx="4">
                  <c:v>143.72457027891642</c:v>
                </c:pt>
                <c:pt idx="5">
                  <c:v>141.3637473920877</c:v>
                </c:pt>
                <c:pt idx="6">
                  <c:v>138.67961795550934</c:v>
                </c:pt>
                <c:pt idx="7">
                  <c:v>135.67218196918134</c:v>
                </c:pt>
                <c:pt idx="8">
                  <c:v>132.34143943310374</c:v>
                </c:pt>
                <c:pt idx="9">
                  <c:v>128.68739034727648</c:v>
                </c:pt>
                <c:pt idx="10">
                  <c:v>124.71003471169961</c:v>
                </c:pt>
                <c:pt idx="11">
                  <c:v>120.40937252637309</c:v>
                </c:pt>
                <c:pt idx="12">
                  <c:v>115.78540379129696</c:v>
                </c:pt>
                <c:pt idx="13">
                  <c:v>110.83812850647118</c:v>
                </c:pt>
                <c:pt idx="14">
                  <c:v>105.56754667189577</c:v>
                </c:pt>
                <c:pt idx="15">
                  <c:v>99.973658287570743</c:v>
                </c:pt>
                <c:pt idx="16">
                  <c:v>94.056463353496071</c:v>
                </c:pt>
                <c:pt idx="17">
                  <c:v>87.815961869671781</c:v>
                </c:pt>
                <c:pt idx="18">
                  <c:v>81.252153836097847</c:v>
                </c:pt>
                <c:pt idx="19">
                  <c:v>74.365039252774295</c:v>
                </c:pt>
                <c:pt idx="20">
                  <c:v>67.154618119701098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F9-4866-95D3-EA5011E09873}"/>
            </c:ext>
          </c:extLst>
        </c:ser>
        <c:ser>
          <c:idx val="1"/>
          <c:order val="1"/>
          <c:tx>
            <c:strRef>
              <c:f>English!$AS$25</c:f>
              <c:strCache>
                <c:ptCount val="1"/>
                <c:pt idx="0">
                  <c:v>System Curve</c:v>
                </c:pt>
              </c:strCache>
            </c:strRef>
          </c:tx>
          <c:marker>
            <c:symbol val="none"/>
          </c:marker>
          <c:xVal>
            <c:numRef>
              <c:f>English!$W$27:$W$47</c:f>
              <c:numCache>
                <c:formatCode>0.0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numCache>
            </c:numRef>
          </c:xVal>
          <c:yVal>
            <c:numRef>
              <c:f>English!$AS$27:$AS$47</c:f>
              <c:numCache>
                <c:formatCode>0.0</c:formatCode>
                <c:ptCount val="21"/>
                <c:pt idx="0">
                  <c:v>100.85</c:v>
                </c:pt>
                <c:pt idx="1">
                  <c:v>100.99811776801037</c:v>
                </c:pt>
                <c:pt idx="2">
                  <c:v>101.36186080244345</c:v>
                </c:pt>
                <c:pt idx="3">
                  <c:v>101.92092504364648</c:v>
                </c:pt>
                <c:pt idx="4">
                  <c:v>102.66831359928834</c:v>
                </c:pt>
                <c:pt idx="5">
                  <c:v>103.60026786605867</c:v>
                </c:pt>
                <c:pt idx="6">
                  <c:v>104.71443906189329</c:v>
                </c:pt>
                <c:pt idx="7">
                  <c:v>106.00922824561262</c:v>
                </c:pt>
                <c:pt idx="8">
                  <c:v>107.4834834617492</c:v>
                </c:pt>
                <c:pt idx="9">
                  <c:v>109.13634012956673</c:v>
                </c:pt>
                <c:pt idx="10">
                  <c:v>110.9671287776379</c:v>
                </c:pt>
                <c:pt idx="11">
                  <c:v>112.97531801677309</c:v>
                </c:pt>
                <c:pt idx="12">
                  <c:v>115.16047744597925</c:v>
                </c:pt>
                <c:pt idx="13">
                  <c:v>117.52225252775366</c:v>
                </c:pt>
                <c:pt idx="14">
                  <c:v>120.06034699995972</c:v>
                </c:pt>
                <c:pt idx="15">
                  <c:v>122.77451022061959</c:v>
                </c:pt>
                <c:pt idx="16">
                  <c:v>125.66452784748191</c:v>
                </c:pt>
                <c:pt idx="17">
                  <c:v>128.73021483465297</c:v>
                </c:pt>
                <c:pt idx="18">
                  <c:v>131.97141007761763</c:v>
                </c:pt>
                <c:pt idx="19">
                  <c:v>135.3879722553057</c:v>
                </c:pt>
                <c:pt idx="20">
                  <c:v>138.97977655731151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F9-4866-95D3-EA5011E09873}"/>
            </c:ext>
          </c:extLst>
        </c:ser>
        <c:ser>
          <c:idx val="2"/>
          <c:order val="2"/>
          <c:spPr>
            <a:ln w="22225">
              <a:solidFill>
                <a:schemeClr val="accent4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English!$AH$22:$AH$23</c:f>
              <c:numCache>
                <c:formatCode>0.000</c:formatCode>
                <c:ptCount val="2"/>
                <c:pt idx="0">
                  <c:v>108.82060732034779</c:v>
                </c:pt>
                <c:pt idx="1">
                  <c:v>108.82060732034779</c:v>
                </c:pt>
              </c:numCache>
            </c:numRef>
          </c:xVal>
          <c:yVal>
            <c:numRef>
              <c:f>English!$AI$22:$AI$23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115.34771360841758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F9-4866-95D3-EA5011E09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22528"/>
        <c:axId val="147641088"/>
      </c:scatterChart>
      <c:scatterChart>
        <c:scatterStyle val="smoothMarker"/>
        <c:varyColors val="0"/>
        <c:ser>
          <c:idx val="3"/>
          <c:order val="3"/>
          <c:tx>
            <c:strRef>
              <c:f>English!$AU$25</c:f>
              <c:strCache>
                <c:ptCount val="1"/>
                <c:pt idx="0">
                  <c:v>Efficiency %</c:v>
                </c:pt>
              </c:strCache>
            </c:strRef>
          </c:tx>
          <c:marker>
            <c:symbol val="none"/>
          </c:marker>
          <c:xVal>
            <c:numRef>
              <c:f>English!$W$27:$W$47</c:f>
              <c:numCache>
                <c:formatCode>0.0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numCache>
            </c:numRef>
          </c:xVal>
          <c:yVal>
            <c:numRef>
              <c:f>English!$AU$27:$AU$47</c:f>
              <c:numCache>
                <c:formatCode>0.00</c:formatCode>
                <c:ptCount val="21"/>
                <c:pt idx="0">
                  <c:v>20.13677892065661</c:v>
                </c:pt>
                <c:pt idx="1">
                  <c:v>23.806404023980132</c:v>
                </c:pt>
                <c:pt idx="2">
                  <c:v>27.193207365422978</c:v>
                </c:pt>
                <c:pt idx="3">
                  <c:v>30.297188944985137</c:v>
                </c:pt>
                <c:pt idx="4">
                  <c:v>33.118348762666621</c:v>
                </c:pt>
                <c:pt idx="5">
                  <c:v>35.656686818467421</c:v>
                </c:pt>
                <c:pt idx="6">
                  <c:v>37.912203112387544</c:v>
                </c:pt>
                <c:pt idx="7">
                  <c:v>39.884897644426985</c:v>
                </c:pt>
                <c:pt idx="8">
                  <c:v>41.574770414585743</c:v>
                </c:pt>
                <c:pt idx="9">
                  <c:v>42.981821422863824</c:v>
                </c:pt>
                <c:pt idx="10">
                  <c:v>44.106050669261215</c:v>
                </c:pt>
                <c:pt idx="11">
                  <c:v>44.947458153777937</c:v>
                </c:pt>
                <c:pt idx="12">
                  <c:v>45.506043876413969</c:v>
                </c:pt>
                <c:pt idx="13">
                  <c:v>45.781807837169325</c:v>
                </c:pt>
                <c:pt idx="14">
                  <c:v>45.774750036043997</c:v>
                </c:pt>
                <c:pt idx="15">
                  <c:v>45.484870473038001</c:v>
                </c:pt>
                <c:pt idx="16">
                  <c:v>44.912169148151307</c:v>
                </c:pt>
                <c:pt idx="17">
                  <c:v>44.056646061383944</c:v>
                </c:pt>
                <c:pt idx="18">
                  <c:v>42.918301212735905</c:v>
                </c:pt>
                <c:pt idx="19">
                  <c:v>41.497134602207169</c:v>
                </c:pt>
                <c:pt idx="20">
                  <c:v>39.793146229797763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F9-4866-95D3-EA5011E09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45184"/>
        <c:axId val="147643008"/>
      </c:scatterChart>
      <c:valAx>
        <c:axId val="1476225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Flow (US gpm)</a:t>
                </a:r>
              </a:p>
            </c:rich>
          </c:tx>
          <c:layout>
            <c:manualLayout>
              <c:xMode val="edge"/>
              <c:yMode val="edge"/>
              <c:x val="0.42910124606517208"/>
              <c:y val="0.9376011800658267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147641088"/>
        <c:crosses val="autoZero"/>
        <c:crossBetween val="midCat"/>
      </c:valAx>
      <c:valAx>
        <c:axId val="14764108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Head  (ft)</a:t>
                </a:r>
              </a:p>
            </c:rich>
          </c:tx>
          <c:layout>
            <c:manualLayout>
              <c:xMode val="edge"/>
              <c:yMode val="edge"/>
              <c:x val="1.9457625936292845E-2"/>
              <c:y val="0.4498128555184151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47622528"/>
        <c:crosses val="autoZero"/>
        <c:crossBetween val="midCat"/>
      </c:valAx>
      <c:valAx>
        <c:axId val="1476430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algn="ctr" rtl="0"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Efficiency (%)</a:t>
                </a:r>
              </a:p>
            </c:rich>
          </c:tx>
          <c:layout>
            <c:manualLayout>
              <c:xMode val="edge"/>
              <c:yMode val="edge"/>
              <c:x val="0.93221915141402023"/>
              <c:y val="0.4110996163686964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47645184"/>
        <c:crosses val="max"/>
        <c:crossBetween val="midCat"/>
      </c:valAx>
      <c:valAx>
        <c:axId val="14764518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47643008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48703795746462"/>
          <c:y val="3.4784189645847455E-3"/>
          <c:w val="0.72278980028158735"/>
          <c:h val="0.115089849043348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4638955014345"/>
          <c:y val="0.12791885169813066"/>
          <c:w val="0.74613353563362717"/>
          <c:h val="0.745743854090960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Metric!$AT$25</c:f>
              <c:strCache>
                <c:ptCount val="1"/>
                <c:pt idx="0">
                  <c:v>Pump Head</c:v>
                </c:pt>
              </c:strCache>
            </c:strRef>
          </c:tx>
          <c:marker>
            <c:symbol val="none"/>
          </c:marker>
          <c:xVal>
            <c:numRef>
              <c:f>Metric!$W$27:$W$47</c:f>
              <c:numCache>
                <c:formatCode>0.0</c:formatCode>
                <c:ptCount val="21"/>
                <c:pt idx="0">
                  <c:v>0</c:v>
                </c:pt>
                <c:pt idx="1">
                  <c:v>2.0441223499999999</c:v>
                </c:pt>
                <c:pt idx="2">
                  <c:v>4.0882446999999997</c:v>
                </c:pt>
                <c:pt idx="3">
                  <c:v>6.1323670499999992</c:v>
                </c:pt>
                <c:pt idx="4">
                  <c:v>8.1764893999999995</c:v>
                </c:pt>
                <c:pt idx="5">
                  <c:v>10.22061175</c:v>
                </c:pt>
                <c:pt idx="6">
                  <c:v>12.2647341</c:v>
                </c:pt>
                <c:pt idx="7">
                  <c:v>14.30885645</c:v>
                </c:pt>
                <c:pt idx="8">
                  <c:v>16.352978799999999</c:v>
                </c:pt>
                <c:pt idx="9">
                  <c:v>18.397101149999997</c:v>
                </c:pt>
                <c:pt idx="10">
                  <c:v>20.441223499999996</c:v>
                </c:pt>
                <c:pt idx="11">
                  <c:v>22.485345849999995</c:v>
                </c:pt>
                <c:pt idx="12">
                  <c:v>24.529468199999993</c:v>
                </c:pt>
                <c:pt idx="13">
                  <c:v>26.573590549999992</c:v>
                </c:pt>
                <c:pt idx="14">
                  <c:v>28.61771289999999</c:v>
                </c:pt>
                <c:pt idx="15">
                  <c:v>30.661835249999989</c:v>
                </c:pt>
                <c:pt idx="16">
                  <c:v>32.705957599999991</c:v>
                </c:pt>
                <c:pt idx="17">
                  <c:v>34.750079949999993</c:v>
                </c:pt>
                <c:pt idx="18">
                  <c:v>36.794202299999995</c:v>
                </c:pt>
                <c:pt idx="19">
                  <c:v>38.838324649999997</c:v>
                </c:pt>
                <c:pt idx="20">
                  <c:v>40.882446999999999</c:v>
                </c:pt>
              </c:numCache>
            </c:numRef>
          </c:xVal>
          <c:yVal>
            <c:numRef>
              <c:f>Metric!$AT$27:$AT$47</c:f>
              <c:numCache>
                <c:formatCode>0.0</c:formatCode>
                <c:ptCount val="21"/>
                <c:pt idx="0">
                  <c:v>91.400251841996877</c:v>
                </c:pt>
                <c:pt idx="1">
                  <c:v>89.901550324507298</c:v>
                </c:pt>
                <c:pt idx="2">
                  <c:v>87.614498146961594</c:v>
                </c:pt>
                <c:pt idx="3">
                  <c:v>84.539095309359752</c:v>
                </c:pt>
                <c:pt idx="4">
                  <c:v>80.67534181170177</c:v>
                </c:pt>
                <c:pt idx="5">
                  <c:v>76.02323765398765</c:v>
                </c:pt>
                <c:pt idx="6">
                  <c:v>70.582782836217405</c:v>
                </c:pt>
                <c:pt idx="7">
                  <c:v>64.35397735839102</c:v>
                </c:pt>
                <c:pt idx="8">
                  <c:v>57.336821220508511</c:v>
                </c:pt>
                <c:pt idx="9">
                  <c:v>49.531314422569857</c:v>
                </c:pt>
                <c:pt idx="10">
                  <c:v>40.937456964575077</c:v>
                </c:pt>
                <c:pt idx="11">
                  <c:v>31.555248846524165</c:v>
                </c:pt>
                <c:pt idx="12">
                  <c:v>21.384690068417115</c:v>
                </c:pt>
                <c:pt idx="13">
                  <c:v>10.425780630253925</c:v>
                </c:pt>
                <c:pt idx="14">
                  <c:v>-1.321479467965375</c:v>
                </c:pt>
                <c:pt idx="15">
                  <c:v>-13.857090226240814</c:v>
                </c:pt>
                <c:pt idx="16">
                  <c:v>-27.181051644572435</c:v>
                </c:pt>
                <c:pt idx="17">
                  <c:v>-41.293363722960166</c:v>
                </c:pt>
                <c:pt idx="18">
                  <c:v>-56.19402646140405</c:v>
                </c:pt>
                <c:pt idx="19">
                  <c:v>-71.883039859904059</c:v>
                </c:pt>
                <c:pt idx="20">
                  <c:v>-88.360403918460221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F-4DAA-8578-0555AD168804}"/>
            </c:ext>
          </c:extLst>
        </c:ser>
        <c:ser>
          <c:idx val="1"/>
          <c:order val="1"/>
          <c:tx>
            <c:strRef>
              <c:f>Metric!$AS$25</c:f>
              <c:strCache>
                <c:ptCount val="1"/>
                <c:pt idx="0">
                  <c:v>System Curve</c:v>
                </c:pt>
              </c:strCache>
            </c:strRef>
          </c:tx>
          <c:marker>
            <c:symbol val="none"/>
          </c:marker>
          <c:xVal>
            <c:numRef>
              <c:f>Metric!$W$27:$W$47</c:f>
              <c:numCache>
                <c:formatCode>0.0</c:formatCode>
                <c:ptCount val="21"/>
                <c:pt idx="0">
                  <c:v>0</c:v>
                </c:pt>
                <c:pt idx="1">
                  <c:v>2.0441223499999999</c:v>
                </c:pt>
                <c:pt idx="2">
                  <c:v>4.0882446999999997</c:v>
                </c:pt>
                <c:pt idx="3">
                  <c:v>6.1323670499999992</c:v>
                </c:pt>
                <c:pt idx="4">
                  <c:v>8.1764893999999995</c:v>
                </c:pt>
                <c:pt idx="5">
                  <c:v>10.22061175</c:v>
                </c:pt>
                <c:pt idx="6">
                  <c:v>12.2647341</c:v>
                </c:pt>
                <c:pt idx="7">
                  <c:v>14.30885645</c:v>
                </c:pt>
                <c:pt idx="8">
                  <c:v>16.352978799999999</c:v>
                </c:pt>
                <c:pt idx="9">
                  <c:v>18.397101149999997</c:v>
                </c:pt>
                <c:pt idx="10">
                  <c:v>20.441223499999996</c:v>
                </c:pt>
                <c:pt idx="11">
                  <c:v>22.485345849999995</c:v>
                </c:pt>
                <c:pt idx="12">
                  <c:v>24.529468199999993</c:v>
                </c:pt>
                <c:pt idx="13">
                  <c:v>26.573590549999992</c:v>
                </c:pt>
                <c:pt idx="14">
                  <c:v>28.61771289999999</c:v>
                </c:pt>
                <c:pt idx="15">
                  <c:v>30.661835249999989</c:v>
                </c:pt>
                <c:pt idx="16">
                  <c:v>32.705957599999991</c:v>
                </c:pt>
                <c:pt idx="17">
                  <c:v>34.750079949999993</c:v>
                </c:pt>
                <c:pt idx="18">
                  <c:v>36.794202299999995</c:v>
                </c:pt>
                <c:pt idx="19">
                  <c:v>38.838324649999997</c:v>
                </c:pt>
                <c:pt idx="20">
                  <c:v>40.882446999999999</c:v>
                </c:pt>
              </c:numCache>
            </c:numRef>
          </c:xVal>
          <c:yVal>
            <c:numRef>
              <c:f>Metric!$AS$27:$AS$47</c:f>
              <c:numCache>
                <c:formatCode>0.0</c:formatCode>
                <c:ptCount val="21"/>
                <c:pt idx="0">
                  <c:v>41.8833507758523</c:v>
                </c:pt>
                <c:pt idx="1">
                  <c:v>41.912785526696958</c:v>
                </c:pt>
                <c:pt idx="2">
                  <c:v>41.990361354692183</c:v>
                </c:pt>
                <c:pt idx="3">
                  <c:v>42.113727560140269</c:v>
                </c:pt>
                <c:pt idx="4">
                  <c:v>42.282246952744586</c:v>
                </c:pt>
                <c:pt idx="5">
                  <c:v>42.495622251022368</c:v>
                </c:pt>
                <c:pt idx="6">
                  <c:v>42.753685289725993</c:v>
                </c:pt>
                <c:pt idx="7">
                  <c:v>43.056329678435887</c:v>
                </c:pt>
                <c:pt idx="8">
                  <c:v>43.403482867498411</c:v>
                </c:pt>
                <c:pt idx="9">
                  <c:v>43.795092625571101</c:v>
                </c:pt>
                <c:pt idx="10">
                  <c:v>44.231119766560028</c:v>
                </c:pt>
                <c:pt idx="11">
                  <c:v>44.711533922498653</c:v>
                </c:pt>
                <c:pt idx="12">
                  <c:v>45.236310935092682</c:v>
                </c:pt>
                <c:pt idx="13">
                  <c:v>45.805431167168273</c:v>
                </c:pt>
                <c:pt idx="14">
                  <c:v>46.418878365851334</c:v>
                </c:pt>
                <c:pt idx="15">
                  <c:v>47.076638871666823</c:v>
                </c:pt>
                <c:pt idx="16">
                  <c:v>47.778701052744758</c:v>
                </c:pt>
                <c:pt idx="17">
                  <c:v>48.525054890237612</c:v>
                </c:pt>
                <c:pt idx="18">
                  <c:v>49.315691668131947</c:v>
                </c:pt>
                <c:pt idx="19">
                  <c:v>50.150603736877251</c:v>
                </c:pt>
                <c:pt idx="20">
                  <c:v>51.029784330321128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CF-4DAA-8578-0555AD168804}"/>
            </c:ext>
          </c:extLst>
        </c:ser>
        <c:ser>
          <c:idx val="2"/>
          <c:order val="2"/>
          <c:spPr>
            <a:ln w="22225">
              <a:solidFill>
                <a:schemeClr val="accent4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Metric!$AH$22:$AH$23</c:f>
              <c:numCache>
                <c:formatCode>0.000</c:formatCode>
                <c:ptCount val="2"/>
                <c:pt idx="0">
                  <c:v>19.717303712749821</c:v>
                </c:pt>
                <c:pt idx="1">
                  <c:v>19.717303712749821</c:v>
                </c:pt>
              </c:numCache>
            </c:numRef>
          </c:xVal>
          <c:yVal>
            <c:numRef>
              <c:f>Metric!$AI$22:$AI$23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44.071104258676982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CF-4DAA-8578-0555AD168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06048"/>
        <c:axId val="147116416"/>
      </c:scatterChart>
      <c:scatterChart>
        <c:scatterStyle val="smoothMarker"/>
        <c:varyColors val="0"/>
        <c:ser>
          <c:idx val="3"/>
          <c:order val="3"/>
          <c:tx>
            <c:strRef>
              <c:f>Metric!$AU$25</c:f>
              <c:strCache>
                <c:ptCount val="1"/>
                <c:pt idx="0">
                  <c:v>Efficiency %</c:v>
                </c:pt>
              </c:strCache>
            </c:strRef>
          </c:tx>
          <c:marker>
            <c:symbol val="none"/>
          </c:marker>
          <c:xVal>
            <c:numRef>
              <c:f>Metric!$W$27:$W$47</c:f>
              <c:numCache>
                <c:formatCode>0.0</c:formatCode>
                <c:ptCount val="21"/>
                <c:pt idx="0">
                  <c:v>0</c:v>
                </c:pt>
                <c:pt idx="1">
                  <c:v>2.0441223499999999</c:v>
                </c:pt>
                <c:pt idx="2">
                  <c:v>4.0882446999999997</c:v>
                </c:pt>
                <c:pt idx="3">
                  <c:v>6.1323670499999992</c:v>
                </c:pt>
                <c:pt idx="4">
                  <c:v>8.1764893999999995</c:v>
                </c:pt>
                <c:pt idx="5">
                  <c:v>10.22061175</c:v>
                </c:pt>
                <c:pt idx="6">
                  <c:v>12.2647341</c:v>
                </c:pt>
                <c:pt idx="7">
                  <c:v>14.30885645</c:v>
                </c:pt>
                <c:pt idx="8">
                  <c:v>16.352978799999999</c:v>
                </c:pt>
                <c:pt idx="9">
                  <c:v>18.397101149999997</c:v>
                </c:pt>
                <c:pt idx="10">
                  <c:v>20.441223499999996</c:v>
                </c:pt>
                <c:pt idx="11">
                  <c:v>22.485345849999995</c:v>
                </c:pt>
                <c:pt idx="12">
                  <c:v>24.529468199999993</c:v>
                </c:pt>
                <c:pt idx="13">
                  <c:v>26.573590549999992</c:v>
                </c:pt>
                <c:pt idx="14">
                  <c:v>28.61771289999999</c:v>
                </c:pt>
                <c:pt idx="15">
                  <c:v>30.661835249999989</c:v>
                </c:pt>
                <c:pt idx="16">
                  <c:v>32.705957599999991</c:v>
                </c:pt>
                <c:pt idx="17">
                  <c:v>34.750079949999993</c:v>
                </c:pt>
                <c:pt idx="18">
                  <c:v>36.794202299999995</c:v>
                </c:pt>
                <c:pt idx="19">
                  <c:v>38.838324649999997</c:v>
                </c:pt>
                <c:pt idx="20">
                  <c:v>40.882446999999999</c:v>
                </c:pt>
              </c:numCache>
            </c:numRef>
          </c:xVal>
          <c:yVal>
            <c:numRef>
              <c:f>Metric!$AU$27:$AU$47</c:f>
              <c:numCache>
                <c:formatCode>0.00</c:formatCode>
                <c:ptCount val="21"/>
                <c:pt idx="0">
                  <c:v>30.205168380984937</c:v>
                </c:pt>
                <c:pt idx="1">
                  <c:v>40.789810857614036</c:v>
                </c:pt>
                <c:pt idx="2">
                  <c:v>49.677522829371142</c:v>
                </c:pt>
                <c:pt idx="3">
                  <c:v>56.868304296256269</c:v>
                </c:pt>
                <c:pt idx="4">
                  <c:v>62.362155258269397</c:v>
                </c:pt>
                <c:pt idx="5">
                  <c:v>66.159075715410552</c:v>
                </c:pt>
                <c:pt idx="6">
                  <c:v>68.259065667679693</c:v>
                </c:pt>
                <c:pt idx="7">
                  <c:v>68.662125115076861</c:v>
                </c:pt>
                <c:pt idx="8">
                  <c:v>67.36825405760203</c:v>
                </c:pt>
                <c:pt idx="9">
                  <c:v>64.377452495255199</c:v>
                </c:pt>
                <c:pt idx="10">
                  <c:v>59.689720428036416</c:v>
                </c:pt>
                <c:pt idx="11">
                  <c:v>53.305057855945627</c:v>
                </c:pt>
                <c:pt idx="12">
                  <c:v>45.223464778982866</c:v>
                </c:pt>
                <c:pt idx="13">
                  <c:v>35.444941197148076</c:v>
                </c:pt>
                <c:pt idx="14">
                  <c:v>23.969487110441328</c:v>
                </c:pt>
                <c:pt idx="15">
                  <c:v>10.797102518862609</c:v>
                </c:pt>
                <c:pt idx="16">
                  <c:v>-4.0722125775881395</c:v>
                </c:pt>
                <c:pt idx="17">
                  <c:v>-20.638458178910888</c:v>
                </c:pt>
                <c:pt idx="18">
                  <c:v>-38.901634285105665</c:v>
                </c:pt>
                <c:pt idx="19">
                  <c:v>-58.861740896172357</c:v>
                </c:pt>
                <c:pt idx="20">
                  <c:v>-80.518778012111113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CF-4DAA-8578-0555AD168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32800"/>
        <c:axId val="147118336"/>
      </c:scatterChart>
      <c:valAx>
        <c:axId val="14710604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Flow (m3/h)</a:t>
                </a:r>
              </a:p>
            </c:rich>
          </c:tx>
          <c:layout>
            <c:manualLayout>
              <c:xMode val="edge"/>
              <c:yMode val="edge"/>
              <c:x val="0.42910124606517208"/>
              <c:y val="0.9376011800658267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147116416"/>
        <c:crosses val="autoZero"/>
        <c:crossBetween val="midCat"/>
      </c:valAx>
      <c:valAx>
        <c:axId val="1471164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Head  (m)</a:t>
                </a:r>
              </a:p>
            </c:rich>
          </c:tx>
          <c:layout>
            <c:manualLayout>
              <c:xMode val="edge"/>
              <c:yMode val="edge"/>
              <c:x val="1.9457625936292845E-2"/>
              <c:y val="0.4498128555184151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47106048"/>
        <c:crosses val="autoZero"/>
        <c:crossBetween val="midCat"/>
      </c:valAx>
      <c:valAx>
        <c:axId val="14711833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algn="ctr" rtl="0"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Efficiency (%)</a:t>
                </a:r>
              </a:p>
            </c:rich>
          </c:tx>
          <c:layout>
            <c:manualLayout>
              <c:xMode val="edge"/>
              <c:yMode val="edge"/>
              <c:x val="0.93221915141402023"/>
              <c:y val="0.4110996163686964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47132800"/>
        <c:crosses val="max"/>
        <c:crossBetween val="midCat"/>
      </c:valAx>
      <c:valAx>
        <c:axId val="14713280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47118336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48703795746462"/>
          <c:y val="3.4784189645847455E-3"/>
          <c:w val="0.72278980028158735"/>
          <c:h val="0.115089849043348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67</xdr:row>
      <xdr:rowOff>14286</xdr:rowOff>
    </xdr:from>
    <xdr:to>
      <xdr:col>14</xdr:col>
      <xdr:colOff>114300</xdr:colOff>
      <xdr:row>90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7</xdr:row>
      <xdr:rowOff>142875</xdr:rowOff>
    </xdr:from>
    <xdr:to>
      <xdr:col>14</xdr:col>
      <xdr:colOff>311945</xdr:colOff>
      <xdr:row>16</xdr:row>
      <xdr:rowOff>148928</xdr:rowOff>
    </xdr:to>
    <xdr:grpSp>
      <xdr:nvGrpSpPr>
        <xdr:cNvPr id="6" name="Group 5"/>
        <xdr:cNvGrpSpPr/>
      </xdr:nvGrpSpPr>
      <xdr:grpSpPr>
        <a:xfrm>
          <a:off x="3228975" y="1524000"/>
          <a:ext cx="3121820" cy="1720553"/>
          <a:chOff x="2281174" y="1510369"/>
          <a:chExt cx="3121820" cy="1720553"/>
        </a:xfrm>
      </xdr:grpSpPr>
      <xdr:sp macro="" textlink="">
        <xdr:nvSpPr>
          <xdr:cNvPr id="7" name="Rectangle 6"/>
          <xdr:cNvSpPr/>
        </xdr:nvSpPr>
        <xdr:spPr>
          <a:xfrm>
            <a:off x="4225806" y="1959766"/>
            <a:ext cx="415262" cy="260718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4231415" y="1703781"/>
            <a:ext cx="410766" cy="51792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Freeform 8"/>
          <xdr:cNvSpPr/>
        </xdr:nvSpPr>
        <xdr:spPr>
          <a:xfrm>
            <a:off x="3553949" y="1846655"/>
            <a:ext cx="683419" cy="553641"/>
          </a:xfrm>
          <a:custGeom>
            <a:avLst/>
            <a:gdLst>
              <a:gd name="connsiteX0" fmla="*/ 0 w 648891"/>
              <a:gd name="connsiteY0" fmla="*/ 583406 h 583406"/>
              <a:gd name="connsiteX1" fmla="*/ 333375 w 648891"/>
              <a:gd name="connsiteY1" fmla="*/ 583406 h 583406"/>
              <a:gd name="connsiteX2" fmla="*/ 333375 w 648891"/>
              <a:gd name="connsiteY2" fmla="*/ 0 h 583406"/>
              <a:gd name="connsiteX3" fmla="*/ 648891 w 648891"/>
              <a:gd name="connsiteY3" fmla="*/ 0 h 5834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48891" h="583406">
                <a:moveTo>
                  <a:pt x="0" y="583406"/>
                </a:moveTo>
                <a:lnTo>
                  <a:pt x="333375" y="583406"/>
                </a:lnTo>
                <a:lnTo>
                  <a:pt x="333375" y="0"/>
                </a:lnTo>
                <a:lnTo>
                  <a:pt x="648891" y="0"/>
                </a:lnTo>
              </a:path>
            </a:pathLst>
          </a:custGeom>
          <a:ln>
            <a:headEnd type="none" w="med" len="med"/>
            <a:tailEnd type="triangle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2776313" y="2233032"/>
            <a:ext cx="415284" cy="397027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1" name="Oval 10"/>
          <xdr:cNvSpPr/>
        </xdr:nvSpPr>
        <xdr:spPr>
          <a:xfrm>
            <a:off x="3397978" y="2396723"/>
            <a:ext cx="304800" cy="304800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" name="Straight Connector 11"/>
          <xdr:cNvCxnSpPr/>
        </xdr:nvCxnSpPr>
        <xdr:spPr>
          <a:xfrm>
            <a:off x="3202257" y="2547750"/>
            <a:ext cx="363598" cy="0"/>
          </a:xfrm>
          <a:prstGeom prst="line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2383841" y="2563961"/>
            <a:ext cx="3550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2348488" y="2243683"/>
            <a:ext cx="3550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>
            <a:off x="2573790" y="2243683"/>
            <a:ext cx="0" cy="323961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2281174" y="2280045"/>
            <a:ext cx="454819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h1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2783615" y="2043109"/>
            <a:ext cx="413147" cy="58935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829409" y="1998236"/>
            <a:ext cx="454819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P1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84534" y="1696918"/>
            <a:ext cx="452438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P2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2686050" y="2770242"/>
            <a:ext cx="1394681" cy="460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Pipe</a:t>
            </a:r>
            <a:r>
              <a:rPr lang="en-IN" sz="1100" baseline="0"/>
              <a:t> Diameter - ID1</a:t>
            </a:r>
          </a:p>
          <a:p>
            <a:r>
              <a:rPr lang="en-IN" sz="1100" baseline="0"/>
              <a:t>Pipe Length      - L1</a:t>
            </a:r>
          </a:p>
          <a:p>
            <a:endParaRPr lang="en-IN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578962" y="1510369"/>
            <a:ext cx="1395611" cy="460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Pipe</a:t>
            </a:r>
            <a:r>
              <a:rPr lang="en-IN" sz="1100" baseline="0"/>
              <a:t> Diameter - ID2</a:t>
            </a:r>
          </a:p>
          <a:p>
            <a:r>
              <a:rPr lang="en-IN" sz="1100" baseline="0"/>
              <a:t>Pipe Length      - L2</a:t>
            </a:r>
          </a:p>
          <a:p>
            <a:endParaRPr lang="en-IN" sz="1100"/>
          </a:p>
        </xdr:txBody>
      </xdr:sp>
      <xdr:cxnSp macro="">
        <xdr:nvCxnSpPr>
          <xdr:cNvPr id="22" name="Straight Arrow Connector 21"/>
          <xdr:cNvCxnSpPr/>
        </xdr:nvCxnSpPr>
        <xdr:spPr>
          <a:xfrm flipH="1" flipV="1">
            <a:off x="3564548" y="1959219"/>
            <a:ext cx="348880" cy="22860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 flipH="1">
            <a:off x="3280773" y="2576146"/>
            <a:ext cx="1075" cy="233032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769488" y="2572021"/>
            <a:ext cx="35508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4764907" y="1848029"/>
            <a:ext cx="35508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>
            <a:off x="4887632" y="1848029"/>
            <a:ext cx="0" cy="726652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4948174" y="2145229"/>
            <a:ext cx="454820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h2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67</xdr:row>
      <xdr:rowOff>14286</xdr:rowOff>
    </xdr:from>
    <xdr:to>
      <xdr:col>14</xdr:col>
      <xdr:colOff>114300</xdr:colOff>
      <xdr:row>90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7</xdr:row>
      <xdr:rowOff>142875</xdr:rowOff>
    </xdr:from>
    <xdr:to>
      <xdr:col>14</xdr:col>
      <xdr:colOff>311945</xdr:colOff>
      <xdr:row>16</xdr:row>
      <xdr:rowOff>148928</xdr:rowOff>
    </xdr:to>
    <xdr:grpSp>
      <xdr:nvGrpSpPr>
        <xdr:cNvPr id="3" name="Group 2"/>
        <xdr:cNvGrpSpPr/>
      </xdr:nvGrpSpPr>
      <xdr:grpSpPr>
        <a:xfrm>
          <a:off x="3228975" y="1524000"/>
          <a:ext cx="3121820" cy="1720553"/>
          <a:chOff x="2281174" y="1510369"/>
          <a:chExt cx="3121820" cy="1720553"/>
        </a:xfrm>
      </xdr:grpSpPr>
      <xdr:sp macro="" textlink="">
        <xdr:nvSpPr>
          <xdr:cNvPr id="4" name="Rectangle 3"/>
          <xdr:cNvSpPr/>
        </xdr:nvSpPr>
        <xdr:spPr>
          <a:xfrm>
            <a:off x="4225806" y="1959766"/>
            <a:ext cx="415262" cy="260718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4231415" y="1703781"/>
            <a:ext cx="410766" cy="51792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6" name="Freeform 5"/>
          <xdr:cNvSpPr/>
        </xdr:nvSpPr>
        <xdr:spPr>
          <a:xfrm>
            <a:off x="3553949" y="1846655"/>
            <a:ext cx="683419" cy="553641"/>
          </a:xfrm>
          <a:custGeom>
            <a:avLst/>
            <a:gdLst>
              <a:gd name="connsiteX0" fmla="*/ 0 w 648891"/>
              <a:gd name="connsiteY0" fmla="*/ 583406 h 583406"/>
              <a:gd name="connsiteX1" fmla="*/ 333375 w 648891"/>
              <a:gd name="connsiteY1" fmla="*/ 583406 h 583406"/>
              <a:gd name="connsiteX2" fmla="*/ 333375 w 648891"/>
              <a:gd name="connsiteY2" fmla="*/ 0 h 583406"/>
              <a:gd name="connsiteX3" fmla="*/ 648891 w 648891"/>
              <a:gd name="connsiteY3" fmla="*/ 0 h 5834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48891" h="583406">
                <a:moveTo>
                  <a:pt x="0" y="583406"/>
                </a:moveTo>
                <a:lnTo>
                  <a:pt x="333375" y="583406"/>
                </a:lnTo>
                <a:lnTo>
                  <a:pt x="333375" y="0"/>
                </a:lnTo>
                <a:lnTo>
                  <a:pt x="648891" y="0"/>
                </a:lnTo>
              </a:path>
            </a:pathLst>
          </a:custGeom>
          <a:ln>
            <a:headEnd type="none" w="med" len="med"/>
            <a:tailEnd type="triangle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2776313" y="2233032"/>
            <a:ext cx="415284" cy="397027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Oval 7"/>
          <xdr:cNvSpPr/>
        </xdr:nvSpPr>
        <xdr:spPr>
          <a:xfrm>
            <a:off x="3397978" y="2396723"/>
            <a:ext cx="304800" cy="304800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9" name="Straight Connector 8"/>
          <xdr:cNvCxnSpPr/>
        </xdr:nvCxnSpPr>
        <xdr:spPr>
          <a:xfrm>
            <a:off x="3202257" y="2547750"/>
            <a:ext cx="363598" cy="0"/>
          </a:xfrm>
          <a:prstGeom prst="line">
            <a:avLst/>
          </a:prstGeom>
          <a:ln>
            <a:headEnd type="none" w="med" len="med"/>
            <a:tailEnd type="triangle" w="med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2383841" y="2563961"/>
            <a:ext cx="3550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>
            <a:off x="2348488" y="2243683"/>
            <a:ext cx="3550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2573790" y="2243683"/>
            <a:ext cx="0" cy="323961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/>
          <xdr:cNvSpPr txBox="1"/>
        </xdr:nvSpPr>
        <xdr:spPr>
          <a:xfrm>
            <a:off x="2281174" y="2280045"/>
            <a:ext cx="454819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h1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2783615" y="2043109"/>
            <a:ext cx="413147" cy="58935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829409" y="1998236"/>
            <a:ext cx="454819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P1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284534" y="1696918"/>
            <a:ext cx="452438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P2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686050" y="2770242"/>
            <a:ext cx="1394681" cy="460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Pipe</a:t>
            </a:r>
            <a:r>
              <a:rPr lang="en-IN" sz="1100" baseline="0"/>
              <a:t> Diameter - ID1</a:t>
            </a:r>
          </a:p>
          <a:p>
            <a:r>
              <a:rPr lang="en-IN" sz="1100" baseline="0"/>
              <a:t>Pipe Length      - L1</a:t>
            </a:r>
          </a:p>
          <a:p>
            <a:endParaRPr lang="en-IN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578962" y="1510369"/>
            <a:ext cx="1395611" cy="460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Pipe</a:t>
            </a:r>
            <a:r>
              <a:rPr lang="en-IN" sz="1100" baseline="0"/>
              <a:t> Diameter - ID2</a:t>
            </a:r>
          </a:p>
          <a:p>
            <a:r>
              <a:rPr lang="en-IN" sz="1100" baseline="0"/>
              <a:t>Pipe Length      - L2</a:t>
            </a:r>
          </a:p>
          <a:p>
            <a:endParaRPr lang="en-IN" sz="1100"/>
          </a:p>
        </xdr:txBody>
      </xdr:sp>
      <xdr:cxnSp macro="">
        <xdr:nvCxnSpPr>
          <xdr:cNvPr id="19" name="Straight Arrow Connector 18"/>
          <xdr:cNvCxnSpPr/>
        </xdr:nvCxnSpPr>
        <xdr:spPr>
          <a:xfrm flipH="1" flipV="1">
            <a:off x="3564548" y="1959219"/>
            <a:ext cx="348880" cy="22860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flipH="1">
            <a:off x="3280773" y="2576146"/>
            <a:ext cx="1075" cy="233032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>
            <a:off x="4769488" y="2572021"/>
            <a:ext cx="35508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>
            <a:off x="4764907" y="1848029"/>
            <a:ext cx="35508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4887632" y="1848029"/>
            <a:ext cx="0" cy="726652"/>
          </a:xfrm>
          <a:prstGeom prst="line">
            <a:avLst/>
          </a:prstGeom>
          <a:ln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4948174" y="2145229"/>
            <a:ext cx="454820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/>
              <a:t>h2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guid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he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7"/>
  <sheetViews>
    <sheetView showGridLines="0" topLeftCell="A7" zoomScaleNormal="100" workbookViewId="0">
      <selection activeCell="F10" sqref="F10"/>
    </sheetView>
  </sheetViews>
  <sheetFormatPr defaultRowHeight="15" x14ac:dyDescent="0.25"/>
  <cols>
    <col min="1" max="1" width="2.7109375" customWidth="1"/>
    <col min="2" max="2" width="6.7109375" customWidth="1"/>
    <col min="3" max="3" width="7.28515625" customWidth="1"/>
    <col min="4" max="4" width="7.5703125" customWidth="1"/>
    <col min="5" max="5" width="9.140625" customWidth="1"/>
    <col min="6" max="7" width="6.7109375" customWidth="1"/>
    <col min="8" max="8" width="2.7109375" customWidth="1"/>
    <col min="9" max="9" width="5" customWidth="1"/>
    <col min="10" max="12" width="6.7109375" customWidth="1"/>
    <col min="13" max="13" width="9.140625" customWidth="1"/>
    <col min="14" max="15" width="6.7109375" customWidth="1"/>
    <col min="16" max="16" width="5.28515625" customWidth="1"/>
    <col min="20" max="20" width="9.140625" customWidth="1"/>
  </cols>
  <sheetData>
    <row r="1" spans="1:29" x14ac:dyDescent="0.25">
      <c r="A1" s="1"/>
      <c r="B1" s="2"/>
      <c r="C1" s="2"/>
      <c r="D1" s="2"/>
      <c r="E1" s="2"/>
      <c r="F1" s="2"/>
      <c r="G1" s="2"/>
      <c r="H1" s="2"/>
    </row>
    <row r="2" spans="1:29" ht="18.75" x14ac:dyDescent="0.25">
      <c r="A2" s="3"/>
      <c r="C2" s="68" t="s">
        <v>7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4"/>
      <c r="O2" s="4"/>
    </row>
    <row r="3" spans="1:29" x14ac:dyDescent="0.25">
      <c r="A3" s="5"/>
      <c r="B3" s="62" t="s">
        <v>143</v>
      </c>
      <c r="C3" s="6"/>
      <c r="D3" s="6"/>
      <c r="E3" s="6"/>
      <c r="F3" s="69"/>
      <c r="G3" s="69"/>
      <c r="H3" s="69"/>
      <c r="I3" s="69"/>
      <c r="K3" s="7" t="s">
        <v>0</v>
      </c>
      <c r="M3" s="70" t="s">
        <v>5</v>
      </c>
      <c r="N3" s="71"/>
      <c r="O3" s="72"/>
      <c r="R3" s="22" t="s">
        <v>63</v>
      </c>
      <c r="V3" s="22" t="s">
        <v>66</v>
      </c>
      <c r="AA3" t="s">
        <v>80</v>
      </c>
    </row>
    <row r="4" spans="1:29" x14ac:dyDescent="0.25">
      <c r="A4" s="5"/>
      <c r="B4" s="8" t="s">
        <v>144</v>
      </c>
      <c r="C4" s="6"/>
      <c r="D4" s="6"/>
      <c r="E4" s="6"/>
      <c r="K4" s="9" t="s">
        <v>1</v>
      </c>
      <c r="M4" s="73" t="s">
        <v>6</v>
      </c>
      <c r="N4" s="74"/>
      <c r="O4" s="75"/>
      <c r="AA4" s="45">
        <f t="array" ref="AA4:AC6">LINEST(S23:S32,R23:R32^{1,2},TRUE,TRUE)</f>
        <v>-1.9957194428989584E-3</v>
      </c>
      <c r="AB4" s="45">
        <v>-0.10066037921726469</v>
      </c>
      <c r="AC4" s="45">
        <v>149.93479632873499</v>
      </c>
    </row>
    <row r="5" spans="1:29" x14ac:dyDescent="0.25">
      <c r="A5" s="5"/>
      <c r="B5" s="6"/>
      <c r="C5" s="6"/>
      <c r="D5" s="6"/>
      <c r="E5" s="6"/>
      <c r="K5" s="7" t="s">
        <v>2</v>
      </c>
      <c r="M5" s="76" t="s">
        <v>141</v>
      </c>
      <c r="N5" s="66"/>
      <c r="O5" s="67"/>
      <c r="R5" t="s">
        <v>64</v>
      </c>
      <c r="T5" s="45">
        <f>VLOOKUP(E28,$F$104:$U$147,16)</f>
        <v>6</v>
      </c>
      <c r="V5" t="s">
        <v>64</v>
      </c>
      <c r="X5" s="45">
        <f>VLOOKUP(M28,$F$104:$U$147,16)</f>
        <v>6</v>
      </c>
      <c r="AA5" s="45">
        <v>8.9021032788856374E-6</v>
      </c>
      <c r="AB5" s="45">
        <v>1.9847731935501876E-3</v>
      </c>
      <c r="AC5" s="45">
        <v>8.3448410264428313E-2</v>
      </c>
    </row>
    <row r="6" spans="1:29" x14ac:dyDescent="0.25">
      <c r="A6" s="5"/>
      <c r="B6" s="10" t="s">
        <v>3</v>
      </c>
      <c r="D6" s="63"/>
      <c r="E6" s="64"/>
      <c r="K6" s="7" t="s">
        <v>4</v>
      </c>
      <c r="M6" s="65" t="s">
        <v>142</v>
      </c>
      <c r="N6" s="66"/>
      <c r="O6" s="67"/>
      <c r="R6" t="s">
        <v>65</v>
      </c>
      <c r="T6" s="45">
        <f>VLOOKUP(E29,$C$104:$D$116,2)</f>
        <v>7</v>
      </c>
      <c r="V6" t="s">
        <v>65</v>
      </c>
      <c r="X6" s="45">
        <f>VLOOKUP(M29,$C$104:$D$116,2)</f>
        <v>7</v>
      </c>
      <c r="AA6" s="45">
        <v>0.99999522880056502</v>
      </c>
      <c r="AB6" s="45">
        <v>0.10519107019836793</v>
      </c>
      <c r="AC6" s="45" t="e">
        <v>#N/A</v>
      </c>
    </row>
    <row r="7" spans="1:29" x14ac:dyDescent="0.25">
      <c r="R7" t="s">
        <v>26</v>
      </c>
      <c r="T7" s="45">
        <f>VLOOKUP(T5,$E$104:$S$147,T6+2)</f>
        <v>3.0680000000000001</v>
      </c>
      <c r="U7" t="s">
        <v>29</v>
      </c>
      <c r="V7" t="s">
        <v>26</v>
      </c>
      <c r="X7" s="45">
        <f>VLOOKUP(X5,$E$104:$S$147,X6+2)</f>
        <v>3.0680000000000001</v>
      </c>
      <c r="Y7" t="s">
        <v>29</v>
      </c>
    </row>
    <row r="8" spans="1:29" x14ac:dyDescent="0.25">
      <c r="T8" s="45">
        <f>T7</f>
        <v>3.0680000000000001</v>
      </c>
      <c r="U8" t="s">
        <v>29</v>
      </c>
      <c r="X8" s="45">
        <f>X7</f>
        <v>3.0680000000000001</v>
      </c>
      <c r="Y8" t="s">
        <v>29</v>
      </c>
      <c r="AA8" t="s">
        <v>81</v>
      </c>
    </row>
    <row r="9" spans="1:29" x14ac:dyDescent="0.25">
      <c r="R9" t="s">
        <v>67</v>
      </c>
      <c r="T9" s="46">
        <f>PI()*(T8/12)^2/4</f>
        <v>5.13379000163246E-2</v>
      </c>
      <c r="U9" t="s">
        <v>68</v>
      </c>
      <c r="V9" t="s">
        <v>67</v>
      </c>
      <c r="X9" s="46">
        <f>PI()*(X8/12)^2/4</f>
        <v>5.13379000163246E-2</v>
      </c>
      <c r="Y9" t="s">
        <v>68</v>
      </c>
      <c r="AA9" s="45">
        <f t="array" ref="AA9:AC11">LINEST(T23:T32,R23:R32^{1,2},TRUE,TRUE)</f>
        <v>-1.7458133449424729E-3</v>
      </c>
      <c r="AB9" s="45">
        <v>0.42344844269598486</v>
      </c>
      <c r="AC9" s="45">
        <v>20.13677892065661</v>
      </c>
    </row>
    <row r="10" spans="1:29" x14ac:dyDescent="0.25">
      <c r="B10" t="s">
        <v>8</v>
      </c>
      <c r="E10" s="20">
        <v>100</v>
      </c>
      <c r="F10" s="24" t="s">
        <v>10</v>
      </c>
      <c r="R10" t="s">
        <v>45</v>
      </c>
      <c r="T10" s="47">
        <f>(E10/7.4805195)/T9/60</f>
        <v>4.3398916838216639</v>
      </c>
      <c r="U10" t="s">
        <v>50</v>
      </c>
      <c r="V10" t="s">
        <v>45</v>
      </c>
      <c r="X10" s="47">
        <f>(E10/7.4805195)/X9/60</f>
        <v>4.3398916838216639</v>
      </c>
      <c r="Y10" t="s">
        <v>50</v>
      </c>
      <c r="AA10" s="45">
        <v>1.5633440166769845E-5</v>
      </c>
      <c r="AB10" s="45">
        <v>3.4855620064048213E-3</v>
      </c>
      <c r="AC10" s="45">
        <v>0.14654803342658052</v>
      </c>
    </row>
    <row r="11" spans="1:29" x14ac:dyDescent="0.25">
      <c r="B11" t="s">
        <v>11</v>
      </c>
      <c r="E11" s="19">
        <v>62.4</v>
      </c>
      <c r="F11" s="24" t="s">
        <v>12</v>
      </c>
      <c r="R11" t="s">
        <v>69</v>
      </c>
      <c r="T11" s="48">
        <f>(T8/12)*T10*E11*1488.1639/E12</f>
        <v>103035.84912617072</v>
      </c>
      <c r="V11" t="s">
        <v>69</v>
      </c>
      <c r="X11" s="48">
        <f>(X8/12)*X10*E11*1488.1639/E12</f>
        <v>103035.84912617072</v>
      </c>
      <c r="AA11" s="45">
        <v>0.99955232399121885</v>
      </c>
      <c r="AB11" s="45">
        <v>0.184731433741637</v>
      </c>
      <c r="AC11" s="45" t="e">
        <v>#N/A</v>
      </c>
    </row>
    <row r="12" spans="1:29" x14ac:dyDescent="0.25">
      <c r="B12" t="s">
        <v>13</v>
      </c>
      <c r="E12" s="19">
        <v>1</v>
      </c>
      <c r="F12" s="24" t="s">
        <v>14</v>
      </c>
      <c r="R12" t="s">
        <v>70</v>
      </c>
      <c r="T12" s="45">
        <f>E32/E30</f>
        <v>5.8670143415906126E-4</v>
      </c>
      <c r="V12" t="s">
        <v>70</v>
      </c>
      <c r="X12" s="45">
        <f>M32/M30</f>
        <v>5.8670143415906126E-4</v>
      </c>
    </row>
    <row r="13" spans="1:29" x14ac:dyDescent="0.25">
      <c r="B13" t="s">
        <v>15</v>
      </c>
      <c r="E13" s="20">
        <v>15</v>
      </c>
      <c r="F13" s="24" t="s">
        <v>16</v>
      </c>
      <c r="R13" t="s">
        <v>71</v>
      </c>
      <c r="T13" s="49">
        <f>(-2.457*LN((7/T11)^0.9+0.27*T12))^16</f>
        <v>4.9554474076523613E+20</v>
      </c>
      <c r="V13" t="s">
        <v>71</v>
      </c>
      <c r="X13" s="49">
        <f>(-2.457*LN((7/X11)^0.9+0.27*X12))^16</f>
        <v>4.9554474076523613E+20</v>
      </c>
      <c r="AA13" t="s">
        <v>106</v>
      </c>
    </row>
    <row r="14" spans="1:29" x14ac:dyDescent="0.25">
      <c r="R14" t="s">
        <v>72</v>
      </c>
      <c r="T14" s="50">
        <f>(37530/T11)^16</f>
        <v>9.5993838604889667E-8</v>
      </c>
      <c r="V14" t="s">
        <v>72</v>
      </c>
      <c r="X14" s="50">
        <f>(37530/X11)^16</f>
        <v>9.5993838604889667E-8</v>
      </c>
      <c r="AA14" s="45">
        <f t="array" ref="AA14:AC16">LINEST(AS27:AS47,W27:W47^{1,2},TRUE,TRUE)</f>
        <v>1.1032660693133846E-3</v>
      </c>
      <c r="AB14" s="45">
        <v>1.3866948275904374E-2</v>
      </c>
      <c r="AC14" s="45">
        <v>100.77391029355334</v>
      </c>
    </row>
    <row r="15" spans="1:29" x14ac:dyDescent="0.25">
      <c r="B15" t="s">
        <v>104</v>
      </c>
      <c r="E15" s="30">
        <f>IFERROR(M50-E50,"")</f>
        <v>49.008390175369875</v>
      </c>
      <c r="F15" s="24" t="s">
        <v>22</v>
      </c>
      <c r="G15" s="31"/>
      <c r="R15" t="s">
        <v>73</v>
      </c>
      <c r="T15" s="46">
        <f>8*((8/T11)^12+1/(T13+T14)^1.5)^(1/12)</f>
        <v>2.0711169744890619E-2</v>
      </c>
      <c r="V15" t="s">
        <v>73</v>
      </c>
      <c r="X15" s="46">
        <f>8*((8/X11)^12+1/(X13+X14)^1.5)^(1/12)</f>
        <v>2.0711169744890619E-2</v>
      </c>
      <c r="AA15" s="45">
        <v>2.3589271672880996E-6</v>
      </c>
      <c r="AB15" s="45">
        <v>4.3979791545792053E-4</v>
      </c>
      <c r="AC15" s="45">
        <v>1.7082262902783748E-2</v>
      </c>
    </row>
    <row r="16" spans="1:29" x14ac:dyDescent="0.25">
      <c r="B16" t="s">
        <v>103</v>
      </c>
      <c r="E16" s="27">
        <f>IFERROR(E15*2.31/(E11/62.4),"")</f>
        <v>113.20938130510442</v>
      </c>
      <c r="F16" s="24" t="s">
        <v>19</v>
      </c>
      <c r="G16" s="36"/>
      <c r="R16" t="s">
        <v>74</v>
      </c>
      <c r="T16" s="47">
        <f>E11*T15*100*T10^2/(144*(T8/12)*2*32.2)</f>
        <v>1.0266550078181242</v>
      </c>
      <c r="U16" t="s">
        <v>49</v>
      </c>
      <c r="V16" t="s">
        <v>44</v>
      </c>
      <c r="X16" s="47">
        <f>E11*X15*100*X10^2/(144*(X8/12)*2*32.2)</f>
        <v>1.0266550078181242</v>
      </c>
      <c r="Y16" t="s">
        <v>49</v>
      </c>
      <c r="AA16" s="45">
        <v>0.9999950767899789</v>
      </c>
      <c r="AB16" s="45">
        <v>2.861804765399641E-2</v>
      </c>
      <c r="AC16" s="45" t="e">
        <v>#N/A</v>
      </c>
    </row>
    <row r="17" spans="2:47" x14ac:dyDescent="0.25">
      <c r="B17" t="s">
        <v>52</v>
      </c>
      <c r="E17" s="28">
        <f>IFERROR(E16*E10*(E11/62.4)/3960,"")</f>
        <v>2.8588227602299097</v>
      </c>
      <c r="F17" s="24" t="s">
        <v>54</v>
      </c>
      <c r="R17" t="s">
        <v>17</v>
      </c>
      <c r="T17" s="50">
        <f>E21+E22*(E11/62.4)/2.31-E23-E24-G46-E49*E27/100</f>
        <v>20.57181019507474</v>
      </c>
      <c r="U17" t="s">
        <v>22</v>
      </c>
      <c r="V17" t="s">
        <v>17</v>
      </c>
      <c r="X17" s="50">
        <f>M21+M22*(E11/62.4)/2.31+M23+M24+O46+M49*M27/100</f>
        <v>69.580200370444615</v>
      </c>
    </row>
    <row r="18" spans="2:47" x14ac:dyDescent="0.25">
      <c r="B18" t="s">
        <v>53</v>
      </c>
      <c r="E18" s="33">
        <f>IFERROR((E50-E13)*2.31/(E11/62.4),"")</f>
        <v>12.870881550622649</v>
      </c>
      <c r="F18" s="24" t="s">
        <v>19</v>
      </c>
      <c r="AA18" t="s">
        <v>107</v>
      </c>
      <c r="AG18" t="s">
        <v>79</v>
      </c>
      <c r="AH18" s="50">
        <f>AA9*AC23^2+AB9*AC23+AC9</f>
        <v>45.54290566636638</v>
      </c>
      <c r="AI18" t="s">
        <v>57</v>
      </c>
    </row>
    <row r="19" spans="2:47" x14ac:dyDescent="0.25">
      <c r="AA19" s="45">
        <f>AA4-AA14</f>
        <v>-3.0989855122123431E-3</v>
      </c>
      <c r="AB19" s="45">
        <f>AB4-AB14</f>
        <v>-0.11452732749316906</v>
      </c>
      <c r="AC19" s="45">
        <f>AC4-AC14</f>
        <v>49.160886035181647</v>
      </c>
    </row>
    <row r="20" spans="2:47" x14ac:dyDescent="0.25">
      <c r="B20" s="35" t="s">
        <v>75</v>
      </c>
      <c r="J20" s="35" t="s">
        <v>76</v>
      </c>
      <c r="R20" t="s">
        <v>78</v>
      </c>
      <c r="W20" t="s">
        <v>82</v>
      </c>
      <c r="Y20" s="45">
        <f>M53</f>
        <v>180</v>
      </c>
    </row>
    <row r="21" spans="2:47" x14ac:dyDescent="0.25">
      <c r="B21" t="s">
        <v>17</v>
      </c>
      <c r="D21" s="9" t="s">
        <v>121</v>
      </c>
      <c r="E21" s="20">
        <v>25</v>
      </c>
      <c r="F21" s="24" t="s">
        <v>16</v>
      </c>
      <c r="J21" t="s">
        <v>17</v>
      </c>
      <c r="L21" s="9" t="s">
        <v>122</v>
      </c>
      <c r="M21" s="20">
        <v>50</v>
      </c>
      <c r="N21" s="24" t="s">
        <v>16</v>
      </c>
      <c r="W21" t="s">
        <v>83</v>
      </c>
      <c r="Y21" s="45">
        <v>20</v>
      </c>
      <c r="AA21" t="s">
        <v>108</v>
      </c>
      <c r="AC21" s="45">
        <f>AB19^2-4*AA19*AC19</f>
        <v>0.62251200310492771</v>
      </c>
      <c r="AD21" s="45" t="b">
        <f>IF(AC21&lt;0,FALSE,TRUE)</f>
        <v>1</v>
      </c>
      <c r="AE21" s="45">
        <f>SQRT(AC21)</f>
        <v>0.7889942985249816</v>
      </c>
      <c r="AH21" t="s">
        <v>111</v>
      </c>
      <c r="AI21" t="s">
        <v>112</v>
      </c>
    </row>
    <row r="22" spans="2:47" x14ac:dyDescent="0.25">
      <c r="B22" t="s">
        <v>18</v>
      </c>
      <c r="D22" s="9" t="s">
        <v>127</v>
      </c>
      <c r="E22" s="20">
        <v>5</v>
      </c>
      <c r="F22" s="24" t="s">
        <v>19</v>
      </c>
      <c r="J22" t="s">
        <v>18</v>
      </c>
      <c r="L22" s="9" t="s">
        <v>128</v>
      </c>
      <c r="M22" s="20">
        <v>25</v>
      </c>
      <c r="N22" s="24" t="s">
        <v>19</v>
      </c>
      <c r="R22" t="s">
        <v>55</v>
      </c>
      <c r="S22" t="s">
        <v>56</v>
      </c>
      <c r="T22" t="s">
        <v>79</v>
      </c>
      <c r="W22" t="s">
        <v>84</v>
      </c>
      <c r="Y22" s="45">
        <f>Y20/Y21</f>
        <v>9</v>
      </c>
      <c r="AA22" t="s">
        <v>109</v>
      </c>
      <c r="AC22" s="45">
        <f>(-1*AB19+AE21)/(2*AA19)</f>
        <v>-145.77700064385476</v>
      </c>
      <c r="AD22" s="50">
        <f>(-1*AB19-AE21)/(2*AA19)</f>
        <v>108.82060732034779</v>
      </c>
      <c r="AH22" s="47">
        <f>AC23</f>
        <v>108.82060732034779</v>
      </c>
      <c r="AI22" s="45">
        <v>0</v>
      </c>
    </row>
    <row r="23" spans="2:47" x14ac:dyDescent="0.25">
      <c r="B23" t="s">
        <v>20</v>
      </c>
      <c r="E23" s="20">
        <v>5</v>
      </c>
      <c r="F23" s="24" t="s">
        <v>22</v>
      </c>
      <c r="J23" t="s">
        <v>20</v>
      </c>
      <c r="M23" s="20">
        <v>5</v>
      </c>
      <c r="N23" s="24" t="s">
        <v>22</v>
      </c>
      <c r="Q23">
        <v>1</v>
      </c>
      <c r="R23" s="45">
        <f>C57</f>
        <v>0</v>
      </c>
      <c r="S23" s="45">
        <f>D57</f>
        <v>150</v>
      </c>
      <c r="T23" s="45">
        <f>E57</f>
        <v>20.000000000000007</v>
      </c>
      <c r="AA23" t="s">
        <v>110</v>
      </c>
      <c r="AC23" s="47">
        <f>IF(AD21,IF(AC22&gt;0,AC22,IF(AD22&gt;0,AD22,0)),0)</f>
        <v>108.82060732034779</v>
      </c>
      <c r="AD23" t="s">
        <v>86</v>
      </c>
      <c r="AE23" t="s">
        <v>56</v>
      </c>
      <c r="AF23" s="50">
        <f>AA14*AC23^2+AB14*AC23+AC14</f>
        <v>115.34771360841758</v>
      </c>
      <c r="AG23" t="s">
        <v>19</v>
      </c>
      <c r="AH23" s="47">
        <f>AC23</f>
        <v>108.82060732034779</v>
      </c>
      <c r="AI23" s="50">
        <f>AF23</f>
        <v>115.34771360841758</v>
      </c>
    </row>
    <row r="24" spans="2:47" x14ac:dyDescent="0.25">
      <c r="B24" t="s">
        <v>21</v>
      </c>
      <c r="E24" s="20">
        <v>0</v>
      </c>
      <c r="F24" s="24" t="s">
        <v>22</v>
      </c>
      <c r="J24" t="s">
        <v>21</v>
      </c>
      <c r="M24" s="20">
        <v>0</v>
      </c>
      <c r="N24" s="24" t="s">
        <v>22</v>
      </c>
      <c r="Q24">
        <v>2</v>
      </c>
      <c r="R24" s="45">
        <f t="shared" ref="R24:R32" si="0">IF(C58="",R23,C58)</f>
        <v>20</v>
      </c>
      <c r="S24" s="45">
        <f t="shared" ref="S24:S32" si="1">IF(D58="",S23,D58)</f>
        <v>147</v>
      </c>
      <c r="T24" s="45">
        <f t="shared" ref="T24:T32" si="2">IF(E58="",T23,E58)</f>
        <v>28</v>
      </c>
      <c r="X24" t="s">
        <v>85</v>
      </c>
    </row>
    <row r="25" spans="2:47" x14ac:dyDescent="0.25">
      <c r="Q25">
        <v>3</v>
      </c>
      <c r="R25" s="45">
        <f t="shared" si="0"/>
        <v>50</v>
      </c>
      <c r="S25" s="45">
        <f t="shared" si="1"/>
        <v>140</v>
      </c>
      <c r="T25" s="45">
        <f t="shared" si="2"/>
        <v>37</v>
      </c>
      <c r="W25" t="s">
        <v>55</v>
      </c>
      <c r="X25" t="s">
        <v>45</v>
      </c>
      <c r="Y25" t="s">
        <v>87</v>
      </c>
      <c r="Z25" t="s">
        <v>71</v>
      </c>
      <c r="AA25" t="s">
        <v>72</v>
      </c>
      <c r="AB25" t="s">
        <v>73</v>
      </c>
      <c r="AC25" t="s">
        <v>74</v>
      </c>
      <c r="AD25" t="s">
        <v>88</v>
      </c>
      <c r="AE25" t="s">
        <v>89</v>
      </c>
      <c r="AF25" t="s">
        <v>33</v>
      </c>
      <c r="AG25" t="s">
        <v>90</v>
      </c>
      <c r="AH25" t="s">
        <v>91</v>
      </c>
      <c r="AI25" t="s">
        <v>92</v>
      </c>
      <c r="AJ25" t="s">
        <v>93</v>
      </c>
      <c r="AK25" t="s">
        <v>94</v>
      </c>
      <c r="AL25" t="s">
        <v>95</v>
      </c>
      <c r="AM25" t="s">
        <v>96</v>
      </c>
      <c r="AN25" t="s">
        <v>97</v>
      </c>
      <c r="AO25" t="s">
        <v>98</v>
      </c>
      <c r="AP25" t="s">
        <v>44</v>
      </c>
      <c r="AQ25" t="s">
        <v>99</v>
      </c>
      <c r="AR25" t="s">
        <v>102</v>
      </c>
      <c r="AS25" t="s">
        <v>113</v>
      </c>
      <c r="AT25" t="s">
        <v>105</v>
      </c>
      <c r="AU25" t="s">
        <v>114</v>
      </c>
    </row>
    <row r="26" spans="2:47" x14ac:dyDescent="0.25">
      <c r="B26" s="22" t="s">
        <v>23</v>
      </c>
      <c r="J26" s="22" t="s">
        <v>23</v>
      </c>
      <c r="Q26">
        <v>4</v>
      </c>
      <c r="R26" s="45">
        <f t="shared" si="0"/>
        <v>80</v>
      </c>
      <c r="S26" s="45">
        <f t="shared" si="1"/>
        <v>129</v>
      </c>
      <c r="T26" s="45">
        <f t="shared" si="2"/>
        <v>43</v>
      </c>
      <c r="W26" t="s">
        <v>86</v>
      </c>
      <c r="X26" t="s">
        <v>50</v>
      </c>
      <c r="AD26" s="45">
        <f>IF(E35="",0,E35)</f>
        <v>1</v>
      </c>
      <c r="AE26" s="45">
        <f>IF(E36="",0,E36)</f>
        <v>1</v>
      </c>
      <c r="AF26" s="45">
        <f>IF(E37="",0,E37)</f>
        <v>1</v>
      </c>
      <c r="AG26" s="45">
        <f>IF(E38="",0,E38)</f>
        <v>1</v>
      </c>
      <c r="AH26" s="45">
        <f>IF(E39="",0,E39)</f>
        <v>0</v>
      </c>
      <c r="AI26" s="45">
        <f>IF(E40="",0,E40)</f>
        <v>0</v>
      </c>
      <c r="AJ26" s="45">
        <f>IF(E41="",0,E41)</f>
        <v>1</v>
      </c>
      <c r="AK26" s="45">
        <f>IF(E42="",0,E42)</f>
        <v>0</v>
      </c>
      <c r="AL26" s="45">
        <f>IF(E43="",0,E43)</f>
        <v>0</v>
      </c>
      <c r="AM26" s="45">
        <f>IF(E44="",0,E44)</f>
        <v>0</v>
      </c>
      <c r="AN26" s="45">
        <f>IF(E45="",0,E45)</f>
        <v>1</v>
      </c>
      <c r="AU26" t="s">
        <v>57</v>
      </c>
    </row>
    <row r="27" spans="2:47" x14ac:dyDescent="0.25">
      <c r="B27" t="s">
        <v>24</v>
      </c>
      <c r="D27" s="9" t="s">
        <v>123</v>
      </c>
      <c r="E27" s="20">
        <v>120</v>
      </c>
      <c r="F27" s="24" t="s">
        <v>19</v>
      </c>
      <c r="J27" t="s">
        <v>24</v>
      </c>
      <c r="L27" s="9" t="s">
        <v>124</v>
      </c>
      <c r="M27" s="20">
        <v>300</v>
      </c>
      <c r="N27" s="24" t="s">
        <v>19</v>
      </c>
      <c r="Q27">
        <v>5</v>
      </c>
      <c r="R27" s="45">
        <f t="shared" si="0"/>
        <v>100</v>
      </c>
      <c r="S27" s="45">
        <f t="shared" si="1"/>
        <v>120</v>
      </c>
      <c r="T27" s="45">
        <f t="shared" si="2"/>
        <v>45.000000000000007</v>
      </c>
      <c r="V27">
        <v>1</v>
      </c>
      <c r="W27" s="51">
        <v>0</v>
      </c>
      <c r="X27" s="47">
        <f>(W27/7.4805195)/$T$9/60</f>
        <v>0</v>
      </c>
      <c r="Y27" s="48">
        <f>($T$8/12)*X27*$E$11*1488.1639/$E$12</f>
        <v>0</v>
      </c>
      <c r="Z27" s="49">
        <f>IFERROR((-2.457*LN((7/Y27)^0.9+0.27*$T$12))^16,0)</f>
        <v>0</v>
      </c>
      <c r="AA27" s="49">
        <f>IFERROR((37530/Y27)^16,0)</f>
        <v>0</v>
      </c>
      <c r="AB27" s="46">
        <f>IFERROR(8*((8/Y27)^12+1/(Z27+AA27)^1.5)^(1/12),0)</f>
        <v>0</v>
      </c>
      <c r="AC27" s="47">
        <f>IFERROR($E$11*AB27*100*X27^2/(144*($T$8/12)*2*32.2),0)</f>
        <v>0</v>
      </c>
      <c r="AD27" s="50">
        <f>IFERROR(800/Y27+0.2*(1+1/$T$8),0)</f>
        <v>0</v>
      </c>
      <c r="AE27" s="50">
        <f>IFERROR(500/Y27+0.15*(1+1/$T$8),0)</f>
        <v>0</v>
      </c>
      <c r="AF27" s="50">
        <f>IFERROR(150/Y27+0.5*(1+1/$T$8),0)</f>
        <v>0</v>
      </c>
      <c r="AG27" s="50">
        <f>IFERROR(800/Y27+0.8*(1+1/$T$8),0)</f>
        <v>0</v>
      </c>
      <c r="AH27" s="50">
        <f>IFERROR(500/Y27+0.15*(1+1/$T$8),0)</f>
        <v>0</v>
      </c>
      <c r="AI27" s="50">
        <f>IFERROR(800/Y27+0.25*(1+1/$T$8),0)</f>
        <v>0</v>
      </c>
      <c r="AJ27" s="50">
        <f>IFERROR(300/Y27+0.1*(1+1/$T$8),0)</f>
        <v>0</v>
      </c>
      <c r="AK27" s="50">
        <f>IFERROR(1500/Y27+4*(1+1/$T$8),0)</f>
        <v>0</v>
      </c>
      <c r="AL27" s="50">
        <f>IFERROR(1500/Y27+1.5*(1+1/$T$8),0)</f>
        <v>0</v>
      </c>
      <c r="AM27" s="50">
        <f>IFERROR(1000/Y27+0.25*(1+1/$T$8),0)</f>
        <v>0</v>
      </c>
      <c r="AN27" s="50">
        <f>IFERROR(160/Y27+0.5,0)</f>
        <v>0</v>
      </c>
      <c r="AO27" s="50">
        <f>SUMPRODUCT($AD$26:$AN$26,AD27:AN27)</f>
        <v>0</v>
      </c>
      <c r="AP27" s="50">
        <f>AO27*X27^2*($E$11/62.4)/(2*32.174*2.31)</f>
        <v>0</v>
      </c>
      <c r="AQ27" s="50">
        <f>$E$21+$E$22*($E$11/62.4)/2.31-$E$23-$E$24-AP27-AC27*$E$27/100</f>
        <v>22.164502164502164</v>
      </c>
      <c r="AR27" s="50">
        <f>AQ52-AQ27</f>
        <v>43.658008658008654</v>
      </c>
      <c r="AS27" s="51">
        <f>AR27*2.31/($E$11/62.4)</f>
        <v>100.85</v>
      </c>
      <c r="AT27" s="51">
        <f>$AA$4*W27^2+$AB$4*W27+$AC$4</f>
        <v>149.93479632873499</v>
      </c>
      <c r="AU27" s="50">
        <f>$AA$9*W27^2+$AB$9*W27+$AC$9</f>
        <v>20.13677892065661</v>
      </c>
    </row>
    <row r="28" spans="2:47" x14ac:dyDescent="0.25">
      <c r="B28" t="s">
        <v>28</v>
      </c>
      <c r="E28" s="16">
        <v>3</v>
      </c>
      <c r="F28" s="24" t="s">
        <v>29</v>
      </c>
      <c r="J28" t="s">
        <v>28</v>
      </c>
      <c r="M28" s="16">
        <v>3</v>
      </c>
      <c r="N28" s="24" t="s">
        <v>29</v>
      </c>
      <c r="Q28">
        <v>6</v>
      </c>
      <c r="R28" s="45">
        <f t="shared" si="0"/>
        <v>150</v>
      </c>
      <c r="S28" s="45">
        <f t="shared" si="1"/>
        <v>90</v>
      </c>
      <c r="T28" s="45">
        <f t="shared" si="2"/>
        <v>44</v>
      </c>
      <c r="V28">
        <v>2</v>
      </c>
      <c r="W28" s="51">
        <f>W27+$Y$22</f>
        <v>9</v>
      </c>
      <c r="X28" s="47">
        <f t="shared" ref="X28:X47" si="3">(W28/7.4805195)/$T$9/60</f>
        <v>0.39059025154394972</v>
      </c>
      <c r="Y28" s="48">
        <f t="shared" ref="Y28:Y47" si="4">($T$8/12)*X28*$E$11*1488.1639/$E$12</f>
        <v>9273.2264213553644</v>
      </c>
      <c r="Z28" s="49">
        <f t="shared" ref="Z28:Z47" si="5">IFERROR((-2.457*LN((7/Y28)^0.9+0.27*$T$12))^16,0)</f>
        <v>1.3051998985435697E+19</v>
      </c>
      <c r="AA28" s="49">
        <f>IFERROR((37530/Y28)^16,0)</f>
        <v>5180398960.7025814</v>
      </c>
      <c r="AB28" s="46">
        <f t="shared" ref="AB28:AB47" si="6">IFERROR(8*((8/Y28)^12+1/(Z28+AA28)^1.5)^(1/12),0)</f>
        <v>3.2630998128250252E-2</v>
      </c>
      <c r="AC28" s="47">
        <f t="shared" ref="AC28:AC47" si="7">IFERROR($E$11*AB28*100*X28^2/(144*($T$8/12)*2*32.2),0)</f>
        <v>1.3101930128237474E-2</v>
      </c>
      <c r="AD28" s="50">
        <f t="shared" ref="AD28:AD47" si="8">IFERROR(800/Y28+0.2*(1+1/$T$8),0)</f>
        <v>0.35145891415815644</v>
      </c>
      <c r="AE28" s="50">
        <f t="shared" ref="AE28:AE47" si="9">IFERROR(500/Y28+0.15*(1+1/$T$8),0)</f>
        <v>0.25281045237883476</v>
      </c>
      <c r="AF28" s="50">
        <f t="shared" ref="AF28:AF47" si="10">IFERROR(150/Y28+0.5*(1+1/$T$8),0)</f>
        <v>0.67914822045941314</v>
      </c>
      <c r="AG28" s="50">
        <f t="shared" ref="AG28:AG47" si="11">IFERROR(800/Y28+0.8*(1+1/$T$8),0)</f>
        <v>1.1470260588778436</v>
      </c>
      <c r="AH28" s="50">
        <f t="shared" ref="AH28:AH47" si="12">IFERROR(500/Y28+0.15*(1+1/$T$8),0)</f>
        <v>0.25281045237883476</v>
      </c>
      <c r="AI28" s="50">
        <f t="shared" ref="AI28:AI47" si="13">IFERROR(800/Y28+0.25*(1+1/$T$8),0)</f>
        <v>0.41775617621813033</v>
      </c>
      <c r="AJ28" s="50">
        <f t="shared" ref="AJ28:AJ47" si="14">IFERROR(300/Y28+0.1*(1+1/$T$8),0)</f>
        <v>0.16494572383929562</v>
      </c>
      <c r="AK28" s="50">
        <f t="shared" ref="AK28:AK47" si="15">IFERROR(1500/Y28+4*(1+1/$T$8),0)</f>
        <v>5.4655369633946531</v>
      </c>
      <c r="AL28" s="50">
        <f t="shared" ref="AL28:AL47" si="16">IFERROR(1500/Y28+1.5*(1+1/$T$8),0)</f>
        <v>2.1506738603959565</v>
      </c>
      <c r="AM28" s="50">
        <f t="shared" ref="AM28:AM47" si="17">IFERROR(1000/Y28+0.25*(1+1/$T$8),0)</f>
        <v>0.43932364269769553</v>
      </c>
      <c r="AN28" s="50">
        <f t="shared" ref="AN28:AN47" si="18">IFERROR(160/Y28+0.5,0)</f>
        <v>0.51725397318365218</v>
      </c>
      <c r="AO28" s="50">
        <f t="shared" ref="AO28:AO47" si="19">SUMPRODUCT($AD$26:$AN$26,AD28:AN28)</f>
        <v>3.1126433428971954</v>
      </c>
      <c r="AP28" s="50">
        <f t="shared" ref="AP28:AP47" si="20">AO28*X28^2*($E$11/62.4)/(2*32.174*2.31)</f>
        <v>3.1946635547340286E-3</v>
      </c>
      <c r="AQ28" s="50">
        <f t="shared" ref="AQ28:AQ47" si="21">$E$21+$E$22*($E$11/62.4)/2.31-$E$23-$E$24-AP28-AC28*$E$27/100</f>
        <v>22.145585184793546</v>
      </c>
      <c r="AR28" s="50">
        <f t="shared" ref="AR28:AR47" si="22">AQ53-AQ28</f>
        <v>43.722128903900597</v>
      </c>
      <c r="AS28" s="51">
        <f t="shared" ref="AS28:AS47" si="23">AR28*2.31/($E$11/62.4)</f>
        <v>100.99811776801037</v>
      </c>
      <c r="AT28" s="51">
        <f t="shared" ref="AT28:AT47" si="24">$AA$4*W28^2+$AB$4*W28+$AC$4</f>
        <v>148.8671996409048</v>
      </c>
      <c r="AU28" s="50">
        <f t="shared" ref="AU28:AU47" si="25">$AA$9*W28^2+$AB$9*W28+$AC$9</f>
        <v>23.806404023980132</v>
      </c>
    </row>
    <row r="29" spans="2:47" x14ac:dyDescent="0.25">
      <c r="B29" t="s">
        <v>25</v>
      </c>
      <c r="E29" s="18">
        <v>40</v>
      </c>
      <c r="J29" t="s">
        <v>25</v>
      </c>
      <c r="M29" s="18">
        <v>40</v>
      </c>
      <c r="Q29">
        <v>7</v>
      </c>
      <c r="R29" s="45">
        <f t="shared" si="0"/>
        <v>180</v>
      </c>
      <c r="S29" s="45">
        <f t="shared" si="1"/>
        <v>67</v>
      </c>
      <c r="T29" s="45">
        <f t="shared" si="2"/>
        <v>40</v>
      </c>
      <c r="V29">
        <v>3</v>
      </c>
      <c r="W29" s="51">
        <f t="shared" ref="W29:W46" si="26">W28+$Y$22</f>
        <v>18</v>
      </c>
      <c r="X29" s="47">
        <f t="shared" si="3"/>
        <v>0.78118050308789944</v>
      </c>
      <c r="Y29" s="48">
        <f t="shared" si="4"/>
        <v>18546.452842710729</v>
      </c>
      <c r="Z29" s="49">
        <f t="shared" si="5"/>
        <v>4.8690562374680347E+19</v>
      </c>
      <c r="AA29" s="49">
        <f t="shared" ref="AA29:AA47" si="27">IFERROR((37530/Y29)^16,0)</f>
        <v>79046.615000954916</v>
      </c>
      <c r="AB29" s="46">
        <f t="shared" si="6"/>
        <v>2.7679573126422375E-2</v>
      </c>
      <c r="AC29" s="47">
        <f t="shared" si="7"/>
        <v>4.4455377265074425E-2</v>
      </c>
      <c r="AD29" s="50">
        <f t="shared" si="8"/>
        <v>0.30832398119902604</v>
      </c>
      <c r="AE29" s="50">
        <f t="shared" si="9"/>
        <v>0.22585111927937826</v>
      </c>
      <c r="AF29" s="50">
        <f t="shared" si="10"/>
        <v>0.67106042052957626</v>
      </c>
      <c r="AG29" s="50">
        <f t="shared" si="11"/>
        <v>1.1038911259187132</v>
      </c>
      <c r="AH29" s="50">
        <f t="shared" si="12"/>
        <v>0.22585111927937826</v>
      </c>
      <c r="AI29" s="50">
        <f t="shared" si="13"/>
        <v>0.37462124325899998</v>
      </c>
      <c r="AJ29" s="50">
        <f t="shared" si="14"/>
        <v>0.14877012397962175</v>
      </c>
      <c r="AK29" s="50">
        <f t="shared" si="15"/>
        <v>5.3846589640962836</v>
      </c>
      <c r="AL29" s="50">
        <f t="shared" si="16"/>
        <v>2.0697958610975871</v>
      </c>
      <c r="AM29" s="50">
        <f t="shared" si="17"/>
        <v>0.38540497649878258</v>
      </c>
      <c r="AN29" s="50">
        <f t="shared" si="18"/>
        <v>0.50862698659182604</v>
      </c>
      <c r="AO29" s="50">
        <f t="shared" si="19"/>
        <v>2.9665237574981416</v>
      </c>
      <c r="AP29" s="50">
        <f t="shared" si="20"/>
        <v>1.2178774486267852E-2</v>
      </c>
      <c r="AQ29" s="50">
        <f t="shared" si="21"/>
        <v>22.098976937297806</v>
      </c>
      <c r="AR29" s="50">
        <f t="shared" si="22"/>
        <v>43.87959342097119</v>
      </c>
      <c r="AS29" s="51">
        <f t="shared" si="23"/>
        <v>101.36186080244345</v>
      </c>
      <c r="AT29" s="51">
        <f t="shared" si="24"/>
        <v>147.47629640332497</v>
      </c>
      <c r="AU29" s="50">
        <f t="shared" si="25"/>
        <v>27.193207365422978</v>
      </c>
    </row>
    <row r="30" spans="2:47" x14ac:dyDescent="0.25">
      <c r="B30" t="s">
        <v>27</v>
      </c>
      <c r="D30" s="9" t="s">
        <v>126</v>
      </c>
      <c r="E30" s="29">
        <f>IF(T8=0,"",T8)</f>
        <v>3.0680000000000001</v>
      </c>
      <c r="F30" s="24" t="s">
        <v>29</v>
      </c>
      <c r="J30" t="s">
        <v>27</v>
      </c>
      <c r="L30" s="9" t="s">
        <v>125</v>
      </c>
      <c r="M30" s="29">
        <f>IF(X8=0,"",X8)</f>
        <v>3.0680000000000001</v>
      </c>
      <c r="N30" s="24" t="s">
        <v>29</v>
      </c>
      <c r="Q30">
        <v>8</v>
      </c>
      <c r="R30" s="45">
        <f t="shared" si="0"/>
        <v>200</v>
      </c>
      <c r="S30" s="45">
        <f t="shared" si="1"/>
        <v>50</v>
      </c>
      <c r="T30" s="45">
        <f t="shared" si="2"/>
        <v>34.999999999999993</v>
      </c>
      <c r="V30">
        <v>4</v>
      </c>
      <c r="W30" s="51">
        <f t="shared" si="26"/>
        <v>27</v>
      </c>
      <c r="X30" s="47">
        <f t="shared" si="3"/>
        <v>1.1717707546318492</v>
      </c>
      <c r="Y30" s="48">
        <f t="shared" si="4"/>
        <v>27819.679264066093</v>
      </c>
      <c r="Z30" s="49">
        <f t="shared" si="5"/>
        <v>9.5328247967879283E+19</v>
      </c>
      <c r="AA30" s="49">
        <f t="shared" si="27"/>
        <v>120.34363687544489</v>
      </c>
      <c r="AB30" s="46">
        <f t="shared" si="6"/>
        <v>2.5449970636113088E-2</v>
      </c>
      <c r="AC30" s="47">
        <f t="shared" si="7"/>
        <v>9.1967570883537728E-2</v>
      </c>
      <c r="AD30" s="50">
        <f t="shared" si="8"/>
        <v>0.29394567021264928</v>
      </c>
      <c r="AE30" s="50">
        <f t="shared" si="9"/>
        <v>0.21686467491289277</v>
      </c>
      <c r="AF30" s="50">
        <f t="shared" si="10"/>
        <v>0.6683644872196306</v>
      </c>
      <c r="AG30" s="50">
        <f t="shared" si="11"/>
        <v>1.0895128149323363</v>
      </c>
      <c r="AH30" s="50">
        <f t="shared" si="12"/>
        <v>0.21686467491289277</v>
      </c>
      <c r="AI30" s="50">
        <f t="shared" si="13"/>
        <v>0.36024293227262322</v>
      </c>
      <c r="AJ30" s="50">
        <f t="shared" si="14"/>
        <v>0.14337825735973045</v>
      </c>
      <c r="AK30" s="50">
        <f t="shared" si="15"/>
        <v>5.3576996309968274</v>
      </c>
      <c r="AL30" s="50">
        <f t="shared" si="16"/>
        <v>2.0428365279981309</v>
      </c>
      <c r="AM30" s="50">
        <f t="shared" si="17"/>
        <v>0.3674320877658116</v>
      </c>
      <c r="AN30" s="50">
        <f t="shared" si="18"/>
        <v>0.50575132439455073</v>
      </c>
      <c r="AO30" s="50">
        <f t="shared" si="19"/>
        <v>2.9178172290317903</v>
      </c>
      <c r="AP30" s="50">
        <f t="shared" si="20"/>
        <v>2.6952332794601474E-2</v>
      </c>
      <c r="AQ30" s="50">
        <f t="shared" si="21"/>
        <v>22.027188746647319</v>
      </c>
      <c r="AR30" s="50">
        <f t="shared" si="22"/>
        <v>44.121612573007134</v>
      </c>
      <c r="AS30" s="51">
        <f t="shared" si="23"/>
        <v>101.92092504364648</v>
      </c>
      <c r="AT30" s="51">
        <f t="shared" si="24"/>
        <v>145.76208661599551</v>
      </c>
      <c r="AU30" s="50">
        <f t="shared" si="25"/>
        <v>30.297188944985137</v>
      </c>
    </row>
    <row r="31" spans="2:47" x14ac:dyDescent="0.25">
      <c r="B31" s="26" t="str">
        <f>IF(T8=0,"Pipe Not Found !!","")</f>
        <v/>
      </c>
      <c r="C31" s="11"/>
      <c r="D31" s="11"/>
      <c r="E31" s="11"/>
      <c r="F31" s="25"/>
      <c r="J31" s="26" t="str">
        <f>IF(X8=0,"Pipe Not Found !!","")</f>
        <v/>
      </c>
      <c r="K31" s="11"/>
      <c r="L31" s="11"/>
      <c r="M31" s="11"/>
      <c r="N31" s="25"/>
      <c r="Q31">
        <v>9</v>
      </c>
      <c r="R31" s="45">
        <f t="shared" si="0"/>
        <v>200</v>
      </c>
      <c r="S31" s="45">
        <f t="shared" si="1"/>
        <v>50</v>
      </c>
      <c r="T31" s="45">
        <f t="shared" si="2"/>
        <v>34.999999999999993</v>
      </c>
      <c r="V31">
        <v>5</v>
      </c>
      <c r="W31" s="51">
        <f t="shared" si="26"/>
        <v>36</v>
      </c>
      <c r="X31" s="47">
        <f t="shared" si="3"/>
        <v>1.5623610061757989</v>
      </c>
      <c r="Y31" s="48">
        <f t="shared" si="4"/>
        <v>37092.905685421458</v>
      </c>
      <c r="Z31" s="49">
        <f t="shared" si="5"/>
        <v>1.4673005602486883E+20</v>
      </c>
      <c r="AA31" s="49">
        <f t="shared" si="27"/>
        <v>1.2061556244042193</v>
      </c>
      <c r="AB31" s="46">
        <f t="shared" si="6"/>
        <v>2.4114324542863885E-2</v>
      </c>
      <c r="AC31" s="47">
        <f t="shared" si="7"/>
        <v>0.15491733057431245</v>
      </c>
      <c r="AD31" s="50">
        <f t="shared" si="8"/>
        <v>0.2867565147194609</v>
      </c>
      <c r="AE31" s="50">
        <f t="shared" si="9"/>
        <v>0.21237145272965002</v>
      </c>
      <c r="AF31" s="50">
        <f t="shared" si="10"/>
        <v>0.66701652056465777</v>
      </c>
      <c r="AG31" s="50">
        <f t="shared" si="11"/>
        <v>1.0823236594391479</v>
      </c>
      <c r="AH31" s="50">
        <f t="shared" si="12"/>
        <v>0.21237145272965002</v>
      </c>
      <c r="AI31" s="50">
        <f t="shared" si="13"/>
        <v>0.35305377677943484</v>
      </c>
      <c r="AJ31" s="50">
        <f t="shared" si="14"/>
        <v>0.14068232404978478</v>
      </c>
      <c r="AK31" s="50">
        <f t="shared" si="15"/>
        <v>5.3442199644470989</v>
      </c>
      <c r="AL31" s="50">
        <f t="shared" si="16"/>
        <v>2.0293568614484023</v>
      </c>
      <c r="AM31" s="50">
        <f t="shared" si="17"/>
        <v>0.35844564339932611</v>
      </c>
      <c r="AN31" s="50">
        <f t="shared" si="18"/>
        <v>0.50431349329591302</v>
      </c>
      <c r="AO31" s="50">
        <f t="shared" si="19"/>
        <v>2.893463964798614</v>
      </c>
      <c r="AP31" s="50">
        <f t="shared" si="20"/>
        <v>4.7515338479734874E-2</v>
      </c>
      <c r="AQ31" s="50">
        <f t="shared" si="21"/>
        <v>21.931086029333255</v>
      </c>
      <c r="AR31" s="50">
        <f t="shared" si="22"/>
        <v>44.445157402289325</v>
      </c>
      <c r="AS31" s="51">
        <f t="shared" si="23"/>
        <v>102.66831359928834</v>
      </c>
      <c r="AT31" s="51">
        <f t="shared" si="24"/>
        <v>143.72457027891642</v>
      </c>
      <c r="AU31" s="50">
        <f t="shared" si="25"/>
        <v>33.118348762666621</v>
      </c>
    </row>
    <row r="32" spans="2:47" x14ac:dyDescent="0.25">
      <c r="B32" t="s">
        <v>58</v>
      </c>
      <c r="E32" s="23">
        <v>1.8E-3</v>
      </c>
      <c r="F32" s="24" t="s">
        <v>29</v>
      </c>
      <c r="J32" t="s">
        <v>58</v>
      </c>
      <c r="M32" s="23">
        <v>1.8E-3</v>
      </c>
      <c r="N32" s="24" t="s">
        <v>29</v>
      </c>
      <c r="Q32">
        <v>10</v>
      </c>
      <c r="R32" s="45">
        <f t="shared" si="0"/>
        <v>200</v>
      </c>
      <c r="S32" s="45">
        <f t="shared" si="1"/>
        <v>50</v>
      </c>
      <c r="T32" s="45">
        <f t="shared" si="2"/>
        <v>34.999999999999993</v>
      </c>
      <c r="V32">
        <v>6</v>
      </c>
      <c r="W32" s="51">
        <f t="shared" si="26"/>
        <v>45</v>
      </c>
      <c r="X32" s="47">
        <f t="shared" si="3"/>
        <v>1.9529512577197488</v>
      </c>
      <c r="Y32" s="48">
        <f t="shared" si="4"/>
        <v>46366.132106776829</v>
      </c>
      <c r="Z32" s="49">
        <f t="shared" si="5"/>
        <v>1.9964851311038412E+20</v>
      </c>
      <c r="AA32" s="49">
        <f t="shared" si="27"/>
        <v>3.3950262628860348E-2</v>
      </c>
      <c r="AB32" s="46">
        <f t="shared" si="6"/>
        <v>2.3203672491112659E-2</v>
      </c>
      <c r="AC32" s="47">
        <f t="shared" si="7"/>
        <v>0.23291725133736044</v>
      </c>
      <c r="AD32" s="50">
        <f t="shared" si="8"/>
        <v>0.28244302142354782</v>
      </c>
      <c r="AE32" s="50">
        <f t="shared" si="9"/>
        <v>0.20967551941970439</v>
      </c>
      <c r="AF32" s="50">
        <f t="shared" si="10"/>
        <v>0.66620774057167409</v>
      </c>
      <c r="AG32" s="50">
        <f t="shared" si="11"/>
        <v>1.0780101661432349</v>
      </c>
      <c r="AH32" s="50">
        <f t="shared" si="12"/>
        <v>0.20967551941970439</v>
      </c>
      <c r="AI32" s="50">
        <f t="shared" si="13"/>
        <v>0.34874028348352176</v>
      </c>
      <c r="AJ32" s="50">
        <f t="shared" si="14"/>
        <v>0.1390647640638174</v>
      </c>
      <c r="AK32" s="50">
        <f t="shared" si="15"/>
        <v>5.3361321645172621</v>
      </c>
      <c r="AL32" s="50">
        <f t="shared" si="16"/>
        <v>2.0212690615185656</v>
      </c>
      <c r="AM32" s="50">
        <f t="shared" si="17"/>
        <v>0.35305377677943484</v>
      </c>
      <c r="AN32" s="50">
        <f t="shared" si="18"/>
        <v>0.50345079463673048</v>
      </c>
      <c r="AO32" s="50">
        <f t="shared" si="19"/>
        <v>2.8788520062587089</v>
      </c>
      <c r="AP32" s="50">
        <f t="shared" si="20"/>
        <v>7.3867791541668087E-2</v>
      </c>
      <c r="AQ32" s="50">
        <f t="shared" si="21"/>
        <v>21.811133671355662</v>
      </c>
      <c r="AR32" s="50">
        <f t="shared" si="22"/>
        <v>44.848600807817604</v>
      </c>
      <c r="AS32" s="51">
        <f t="shared" si="23"/>
        <v>103.60026786605867</v>
      </c>
      <c r="AT32" s="51">
        <f t="shared" si="24"/>
        <v>141.3637473920877</v>
      </c>
      <c r="AU32" s="50">
        <f t="shared" si="25"/>
        <v>35.656686818467421</v>
      </c>
    </row>
    <row r="33" spans="2:47" x14ac:dyDescent="0.25">
      <c r="V33">
        <v>7</v>
      </c>
      <c r="W33" s="51">
        <f t="shared" si="26"/>
        <v>54</v>
      </c>
      <c r="X33" s="47">
        <f t="shared" si="3"/>
        <v>2.3435415092636984</v>
      </c>
      <c r="Y33" s="48">
        <f t="shared" si="4"/>
        <v>55639.358528132187</v>
      </c>
      <c r="Z33" s="49">
        <f t="shared" si="5"/>
        <v>2.5232946051313644E+20</v>
      </c>
      <c r="AA33" s="49">
        <f t="shared" si="27"/>
        <v>1.8362981700965101E-3</v>
      </c>
      <c r="AB33" s="46">
        <f t="shared" si="6"/>
        <v>2.2534295864484157E-2</v>
      </c>
      <c r="AC33" s="47">
        <f t="shared" si="7"/>
        <v>0.32572524060783348</v>
      </c>
      <c r="AD33" s="50">
        <f t="shared" si="8"/>
        <v>0.27956735922627246</v>
      </c>
      <c r="AE33" s="50">
        <f t="shared" si="9"/>
        <v>0.20787823054640728</v>
      </c>
      <c r="AF33" s="50">
        <f t="shared" si="10"/>
        <v>0.66566855390968493</v>
      </c>
      <c r="AG33" s="50">
        <f t="shared" si="11"/>
        <v>1.0751345039459597</v>
      </c>
      <c r="AH33" s="50">
        <f t="shared" si="12"/>
        <v>0.20787823054640728</v>
      </c>
      <c r="AI33" s="50">
        <f t="shared" si="13"/>
        <v>0.3458646212862464</v>
      </c>
      <c r="AJ33" s="50">
        <f t="shared" si="14"/>
        <v>0.13798639073983915</v>
      </c>
      <c r="AK33" s="50">
        <f t="shared" si="15"/>
        <v>5.3307402978973704</v>
      </c>
      <c r="AL33" s="50">
        <f t="shared" si="16"/>
        <v>2.0158771948986742</v>
      </c>
      <c r="AM33" s="50">
        <f t="shared" si="17"/>
        <v>0.34945919903284062</v>
      </c>
      <c r="AN33" s="50">
        <f t="shared" si="18"/>
        <v>0.50287566219727531</v>
      </c>
      <c r="AO33" s="50">
        <f t="shared" si="19"/>
        <v>2.8691107005654386</v>
      </c>
      <c r="AP33" s="50">
        <f t="shared" si="20"/>
        <v>0.10600969198040108</v>
      </c>
      <c r="AQ33" s="50">
        <f t="shared" si="21"/>
        <v>21.667622183792364</v>
      </c>
      <c r="AR33" s="50">
        <f t="shared" si="22"/>
        <v>45.330926000819602</v>
      </c>
      <c r="AS33" s="51">
        <f t="shared" si="23"/>
        <v>104.71443906189329</v>
      </c>
      <c r="AT33" s="51">
        <f t="shared" si="24"/>
        <v>138.67961795550934</v>
      </c>
      <c r="AU33" s="50">
        <f t="shared" si="25"/>
        <v>37.912203112387544</v>
      </c>
    </row>
    <row r="34" spans="2:47" x14ac:dyDescent="0.25">
      <c r="B34" s="22" t="s">
        <v>30</v>
      </c>
      <c r="E34" t="s">
        <v>42</v>
      </c>
      <c r="F34" t="s">
        <v>43</v>
      </c>
      <c r="G34" t="s">
        <v>44</v>
      </c>
      <c r="J34" s="22" t="s">
        <v>30</v>
      </c>
      <c r="M34" t="s">
        <v>42</v>
      </c>
      <c r="N34" t="s">
        <v>43</v>
      </c>
      <c r="O34" t="s">
        <v>44</v>
      </c>
      <c r="V34">
        <v>8</v>
      </c>
      <c r="W34" s="51">
        <f t="shared" si="26"/>
        <v>63</v>
      </c>
      <c r="X34" s="47">
        <f t="shared" si="3"/>
        <v>2.7341317608076485</v>
      </c>
      <c r="Y34" s="48">
        <f t="shared" si="4"/>
        <v>64912.584949487566</v>
      </c>
      <c r="Z34" s="49">
        <f t="shared" si="5"/>
        <v>3.0381474933605401E+20</v>
      </c>
      <c r="AA34" s="49">
        <f t="shared" si="27"/>
        <v>1.5588149681392284E-4</v>
      </c>
      <c r="AB34" s="46">
        <f t="shared" si="6"/>
        <v>2.2017290887988778E-2</v>
      </c>
      <c r="AC34" s="47">
        <f t="shared" si="7"/>
        <v>0.43317649306934863</v>
      </c>
      <c r="AD34" s="50">
        <f t="shared" si="8"/>
        <v>0.27751331479964725</v>
      </c>
      <c r="AE34" s="50">
        <f t="shared" si="9"/>
        <v>0.20659445277976649</v>
      </c>
      <c r="AF34" s="50">
        <f t="shared" si="10"/>
        <v>0.6652834205796927</v>
      </c>
      <c r="AG34" s="50">
        <f t="shared" si="11"/>
        <v>1.0730804595193344</v>
      </c>
      <c r="AH34" s="50">
        <f t="shared" si="12"/>
        <v>0.20659445277976649</v>
      </c>
      <c r="AI34" s="50">
        <f t="shared" si="13"/>
        <v>0.34381057685962119</v>
      </c>
      <c r="AJ34" s="50">
        <f t="shared" si="14"/>
        <v>0.13721612407985467</v>
      </c>
      <c r="AK34" s="50">
        <f t="shared" si="15"/>
        <v>5.3268889645974484</v>
      </c>
      <c r="AL34" s="50">
        <f t="shared" si="16"/>
        <v>2.0120258615987519</v>
      </c>
      <c r="AM34" s="50">
        <f t="shared" si="17"/>
        <v>0.34689164349955903</v>
      </c>
      <c r="AN34" s="50">
        <f t="shared" si="18"/>
        <v>0.50246485331195034</v>
      </c>
      <c r="AO34" s="50">
        <f t="shared" si="19"/>
        <v>2.8621526250702463</v>
      </c>
      <c r="AP34" s="50">
        <f t="shared" si="20"/>
        <v>0.14394103979593395</v>
      </c>
      <c r="AQ34" s="50">
        <f t="shared" si="21"/>
        <v>21.500749333023013</v>
      </c>
      <c r="AR34" s="50">
        <f t="shared" si="22"/>
        <v>45.891440798966499</v>
      </c>
      <c r="AS34" s="51">
        <f t="shared" si="23"/>
        <v>106.00922824561262</v>
      </c>
      <c r="AT34" s="51">
        <f t="shared" si="24"/>
        <v>135.67218196918134</v>
      </c>
      <c r="AU34" s="50">
        <f t="shared" si="25"/>
        <v>39.884897644426985</v>
      </c>
    </row>
    <row r="35" spans="2:47" x14ac:dyDescent="0.25">
      <c r="B35" t="s">
        <v>32</v>
      </c>
      <c r="E35" s="41">
        <v>1</v>
      </c>
      <c r="F35" s="42">
        <f>IF($E$30="","",800/$E$48+0.2*(1+1/$E$30))</f>
        <v>0.27295333617253914</v>
      </c>
      <c r="G35" s="30">
        <f t="shared" ref="G35:G45" si="28">IF($E$30="","",IF(E35="","",E35*F35*$E$47^2*($E$11/62.4)/(2*32.174*2.31)))</f>
        <v>3.4585905827657665E-2</v>
      </c>
      <c r="J35" t="s">
        <v>32</v>
      </c>
      <c r="M35" s="41">
        <v>1</v>
      </c>
      <c r="N35" s="42">
        <f>IF($M$30="","",800/$M$48+0.2*(1+1/$M$30))</f>
        <v>0.27295333617253914</v>
      </c>
      <c r="O35" s="30">
        <f t="shared" ref="O35:O45" si="29">IF($M$30="","",IF(M35="","",M35*N35*$M$47^2*($E$11/62.4)/(2*32.174*2.31)))</f>
        <v>3.4585905827657665E-2</v>
      </c>
      <c r="V35">
        <v>9</v>
      </c>
      <c r="W35" s="51">
        <f t="shared" si="26"/>
        <v>72</v>
      </c>
      <c r="X35" s="47">
        <f t="shared" si="3"/>
        <v>3.1247220123515977</v>
      </c>
      <c r="Y35" s="48">
        <f t="shared" si="4"/>
        <v>74185.811370842915</v>
      </c>
      <c r="Z35" s="49">
        <f t="shared" si="5"/>
        <v>3.5359170065683002E+20</v>
      </c>
      <c r="AA35" s="49">
        <f t="shared" si="27"/>
        <v>1.840447424933196E-5</v>
      </c>
      <c r="AB35" s="46">
        <f t="shared" si="6"/>
        <v>2.1603654798012805E-2</v>
      </c>
      <c r="AC35" s="47">
        <f t="shared" si="7"/>
        <v>0.55515227490748664</v>
      </c>
      <c r="AD35" s="50">
        <f t="shared" si="8"/>
        <v>0.2759727814796783</v>
      </c>
      <c r="AE35" s="50">
        <f t="shared" si="9"/>
        <v>0.20563161945478592</v>
      </c>
      <c r="AF35" s="50">
        <f t="shared" si="10"/>
        <v>0.66499457058219846</v>
      </c>
      <c r="AG35" s="50">
        <f t="shared" si="11"/>
        <v>1.0715399261993654</v>
      </c>
      <c r="AH35" s="50">
        <f t="shared" si="12"/>
        <v>0.20563161945478592</v>
      </c>
      <c r="AI35" s="50">
        <f t="shared" si="13"/>
        <v>0.34227004353965224</v>
      </c>
      <c r="AJ35" s="50">
        <f t="shared" si="14"/>
        <v>0.13663842408486632</v>
      </c>
      <c r="AK35" s="50">
        <f t="shared" si="15"/>
        <v>5.3240004646225065</v>
      </c>
      <c r="AL35" s="50">
        <f t="shared" si="16"/>
        <v>2.00913736162381</v>
      </c>
      <c r="AM35" s="50">
        <f t="shared" si="17"/>
        <v>0.3449659768495979</v>
      </c>
      <c r="AN35" s="50">
        <f t="shared" si="18"/>
        <v>0.50215674664795651</v>
      </c>
      <c r="AO35" s="50">
        <f t="shared" si="19"/>
        <v>2.8569340684488513</v>
      </c>
      <c r="AP35" s="50">
        <f t="shared" si="20"/>
        <v>0.1876618349882665</v>
      </c>
      <c r="AQ35" s="50">
        <f t="shared" si="21"/>
        <v>21.310657599624914</v>
      </c>
      <c r="AR35" s="50">
        <f t="shared" si="22"/>
        <v>46.529646520237748</v>
      </c>
      <c r="AS35" s="51">
        <f t="shared" si="23"/>
        <v>107.4834834617492</v>
      </c>
      <c r="AT35" s="51">
        <f t="shared" si="24"/>
        <v>132.34143943310374</v>
      </c>
      <c r="AU35" s="50">
        <f t="shared" si="25"/>
        <v>41.574770414585743</v>
      </c>
    </row>
    <row r="36" spans="2:47" x14ac:dyDescent="0.25">
      <c r="B36" t="s">
        <v>31</v>
      </c>
      <c r="E36" s="41">
        <v>1</v>
      </c>
      <c r="F36" s="43">
        <f>IF($E$30="","",500/$E$48+0.15*(1+1/$E$30))</f>
        <v>0.20374446613782396</v>
      </c>
      <c r="G36" s="28">
        <f t="shared" si="28"/>
        <v>2.5816452795780511E-2</v>
      </c>
      <c r="J36" t="s">
        <v>31</v>
      </c>
      <c r="M36" s="41">
        <v>1</v>
      </c>
      <c r="N36" s="43">
        <f>IF($M$30="","",500/$M$48+0.15*(1+1/$M$30))</f>
        <v>0.20374446613782396</v>
      </c>
      <c r="O36" s="28">
        <f t="shared" si="29"/>
        <v>2.5816452795780511E-2</v>
      </c>
      <c r="V36">
        <v>10</v>
      </c>
      <c r="W36" s="51">
        <f t="shared" si="26"/>
        <v>81</v>
      </c>
      <c r="X36" s="47">
        <f t="shared" si="3"/>
        <v>3.5153122638955474</v>
      </c>
      <c r="Y36" s="48">
        <f t="shared" si="4"/>
        <v>83459.037792198273</v>
      </c>
      <c r="Z36" s="49">
        <f t="shared" si="5"/>
        <v>4.0140524423371738E+20</v>
      </c>
      <c r="AA36" s="49">
        <f t="shared" si="27"/>
        <v>2.7956516566138686E-6</v>
      </c>
      <c r="AB36" s="46">
        <f t="shared" si="6"/>
        <v>2.1263860121885483E-2</v>
      </c>
      <c r="AC36" s="47">
        <f t="shared" si="7"/>
        <v>0.69156347246152472</v>
      </c>
      <c r="AD36" s="50">
        <f t="shared" si="8"/>
        <v>0.27477458889748024</v>
      </c>
      <c r="AE36" s="50">
        <f t="shared" si="9"/>
        <v>0.20488274909091211</v>
      </c>
      <c r="AF36" s="50">
        <f t="shared" si="10"/>
        <v>0.66476990947303638</v>
      </c>
      <c r="AG36" s="50">
        <f t="shared" si="11"/>
        <v>1.0703417336171672</v>
      </c>
      <c r="AH36" s="50">
        <f t="shared" si="12"/>
        <v>0.20488274909091211</v>
      </c>
      <c r="AI36" s="50">
        <f t="shared" si="13"/>
        <v>0.34107185095745418</v>
      </c>
      <c r="AJ36" s="50">
        <f t="shared" si="14"/>
        <v>0.13618910186654204</v>
      </c>
      <c r="AK36" s="50">
        <f t="shared" si="15"/>
        <v>5.3217538535308853</v>
      </c>
      <c r="AL36" s="50">
        <f t="shared" si="16"/>
        <v>2.0068907505321887</v>
      </c>
      <c r="AM36" s="50">
        <f t="shared" si="17"/>
        <v>0.34346823612185029</v>
      </c>
      <c r="AN36" s="50">
        <f t="shared" si="18"/>
        <v>0.50191710813151691</v>
      </c>
      <c r="AO36" s="50">
        <f t="shared" si="19"/>
        <v>2.852875191076655</v>
      </c>
      <c r="AP36" s="50">
        <f t="shared" si="20"/>
        <v>0.2371720775573988</v>
      </c>
      <c r="AQ36" s="50">
        <f t="shared" si="21"/>
        <v>21.097453919990933</v>
      </c>
      <c r="AR36" s="50">
        <f t="shared" si="22"/>
        <v>47.245168887258323</v>
      </c>
      <c r="AS36" s="51">
        <f t="shared" si="23"/>
        <v>109.13634012956673</v>
      </c>
      <c r="AT36" s="51">
        <f t="shared" si="24"/>
        <v>128.68739034727648</v>
      </c>
      <c r="AU36" s="50">
        <f t="shared" si="25"/>
        <v>42.981821422863824</v>
      </c>
    </row>
    <row r="37" spans="2:47" x14ac:dyDescent="0.25">
      <c r="B37" t="s">
        <v>33</v>
      </c>
      <c r="E37" s="41">
        <v>1</v>
      </c>
      <c r="F37" s="43">
        <f>IF($E$30="","",150/$E$48+0.5*(1+1/$E$30))</f>
        <v>0.66442842458710993</v>
      </c>
      <c r="G37" s="28">
        <f t="shared" si="28"/>
        <v>8.4189697932333427E-2</v>
      </c>
      <c r="J37" t="s">
        <v>33</v>
      </c>
      <c r="M37" s="41">
        <v>1</v>
      </c>
      <c r="N37" s="43">
        <f>IF($M$30="","",150/$M$48+0.5*(1+1/$M$30))</f>
        <v>0.66442842458710993</v>
      </c>
      <c r="O37" s="28">
        <f t="shared" si="29"/>
        <v>8.4189697932333427E-2</v>
      </c>
      <c r="V37">
        <v>11</v>
      </c>
      <c r="W37" s="51">
        <f t="shared" si="26"/>
        <v>90</v>
      </c>
      <c r="X37" s="47">
        <f t="shared" si="3"/>
        <v>3.9059025154394975</v>
      </c>
      <c r="Y37" s="48">
        <f t="shared" si="4"/>
        <v>92732.264213553659</v>
      </c>
      <c r="Z37" s="49">
        <f t="shared" si="5"/>
        <v>4.471522311602505E+20</v>
      </c>
      <c r="AA37" s="49">
        <f t="shared" si="27"/>
        <v>5.1803989607025677E-7</v>
      </c>
      <c r="AB37" s="46">
        <f t="shared" si="6"/>
        <v>2.0978916854537139E-2</v>
      </c>
      <c r="AC37" s="47">
        <f t="shared" si="7"/>
        <v>0.84234108228606597</v>
      </c>
      <c r="AD37" s="50">
        <f t="shared" si="8"/>
        <v>0.27381603483172179</v>
      </c>
      <c r="AE37" s="50">
        <f t="shared" si="9"/>
        <v>0.20428365279981309</v>
      </c>
      <c r="AF37" s="50">
        <f t="shared" si="10"/>
        <v>0.66459018058570662</v>
      </c>
      <c r="AG37" s="50">
        <f t="shared" si="11"/>
        <v>1.0693831795514088</v>
      </c>
      <c r="AH37" s="50">
        <f t="shared" si="12"/>
        <v>0.20428365279981309</v>
      </c>
      <c r="AI37" s="50">
        <f t="shared" si="13"/>
        <v>0.34011329689169573</v>
      </c>
      <c r="AJ37" s="50">
        <f t="shared" si="14"/>
        <v>0.13582964409188261</v>
      </c>
      <c r="AK37" s="50">
        <f t="shared" si="15"/>
        <v>5.3199565646575877</v>
      </c>
      <c r="AL37" s="50">
        <f t="shared" si="16"/>
        <v>2.0050934616588916</v>
      </c>
      <c r="AM37" s="50">
        <f t="shared" si="17"/>
        <v>0.34227004353965224</v>
      </c>
      <c r="AN37" s="50">
        <f t="shared" si="18"/>
        <v>0.50172539731836518</v>
      </c>
      <c r="AO37" s="50">
        <f t="shared" si="19"/>
        <v>2.8496280891788985</v>
      </c>
      <c r="AP37" s="50">
        <f t="shared" si="20"/>
        <v>0.29247176750333109</v>
      </c>
      <c r="AQ37" s="50">
        <f t="shared" si="21"/>
        <v>20.861221098255552</v>
      </c>
      <c r="AR37" s="50">
        <f t="shared" si="22"/>
        <v>48.037718085557529</v>
      </c>
      <c r="AS37" s="51">
        <f t="shared" si="23"/>
        <v>110.9671287776379</v>
      </c>
      <c r="AT37" s="51">
        <f t="shared" si="24"/>
        <v>124.71003471169961</v>
      </c>
      <c r="AU37" s="50">
        <f t="shared" si="25"/>
        <v>44.106050669261215</v>
      </c>
    </row>
    <row r="38" spans="2:47" x14ac:dyDescent="0.25">
      <c r="B38" t="s">
        <v>34</v>
      </c>
      <c r="E38" s="41">
        <v>1</v>
      </c>
      <c r="F38" s="43">
        <f>IF($E$30="","",800/$E$48+0.8*(1+1/$E$30))</f>
        <v>1.0685204808922262</v>
      </c>
      <c r="G38" s="28">
        <f t="shared" si="28"/>
        <v>0.13539218551152482</v>
      </c>
      <c r="J38" t="s">
        <v>34</v>
      </c>
      <c r="M38" s="41">
        <v>1</v>
      </c>
      <c r="N38" s="43">
        <f>IF($M$30="","",800/$M$48+0.8*(1+1/$M$30))</f>
        <v>1.0685204808922262</v>
      </c>
      <c r="O38" s="28">
        <f t="shared" si="29"/>
        <v>0.13539218551152482</v>
      </c>
      <c r="V38">
        <v>12</v>
      </c>
      <c r="W38" s="51">
        <f t="shared" si="26"/>
        <v>99</v>
      </c>
      <c r="X38" s="47">
        <f t="shared" si="3"/>
        <v>4.2964927669834472</v>
      </c>
      <c r="Y38" s="48">
        <f t="shared" si="4"/>
        <v>102005.49063490902</v>
      </c>
      <c r="Z38" s="49">
        <f t="shared" si="5"/>
        <v>4.9081976024874759E+20</v>
      </c>
      <c r="AA38" s="49">
        <f t="shared" si="27"/>
        <v>1.1274057488658865E-7</v>
      </c>
      <c r="AB38" s="46">
        <f t="shared" si="6"/>
        <v>2.0735987964601608E-2</v>
      </c>
      <c r="AC38" s="47">
        <f t="shared" si="7"/>
        <v>1.0074303332834322</v>
      </c>
      <c r="AD38" s="50">
        <f t="shared" si="8"/>
        <v>0.27303176332337392</v>
      </c>
      <c r="AE38" s="50">
        <f t="shared" si="9"/>
        <v>0.20379348310709569</v>
      </c>
      <c r="AF38" s="50">
        <f t="shared" si="10"/>
        <v>0.66444312967789143</v>
      </c>
      <c r="AG38" s="50">
        <f t="shared" si="11"/>
        <v>1.0685989080430611</v>
      </c>
      <c r="AH38" s="50">
        <f t="shared" si="12"/>
        <v>0.20379348310709569</v>
      </c>
      <c r="AI38" s="50">
        <f t="shared" si="13"/>
        <v>0.33932902538334786</v>
      </c>
      <c r="AJ38" s="50">
        <f t="shared" si="14"/>
        <v>0.1355355422762522</v>
      </c>
      <c r="AK38" s="50">
        <f t="shared" si="15"/>
        <v>5.3184860555794362</v>
      </c>
      <c r="AL38" s="50">
        <f t="shared" si="16"/>
        <v>2.0036229525807396</v>
      </c>
      <c r="AM38" s="50">
        <f t="shared" si="17"/>
        <v>0.34128970415421744</v>
      </c>
      <c r="AN38" s="50">
        <f t="shared" si="18"/>
        <v>0.50156854301669562</v>
      </c>
      <c r="AO38" s="50">
        <f t="shared" si="19"/>
        <v>2.8469713694443701</v>
      </c>
      <c r="AP38" s="50">
        <f t="shared" si="20"/>
        <v>0.35356090482606306</v>
      </c>
      <c r="AQ38" s="50">
        <f t="shared" si="21"/>
        <v>20.60202485973598</v>
      </c>
      <c r="AR38" s="50">
        <f t="shared" si="22"/>
        <v>48.907064076525145</v>
      </c>
      <c r="AS38" s="51">
        <f t="shared" si="23"/>
        <v>112.97531801677309</v>
      </c>
      <c r="AT38" s="51">
        <f t="shared" si="24"/>
        <v>120.40937252637309</v>
      </c>
      <c r="AU38" s="50">
        <f t="shared" si="25"/>
        <v>44.947458153777937</v>
      </c>
    </row>
    <row r="39" spans="2:47" x14ac:dyDescent="0.25">
      <c r="B39" t="s">
        <v>35</v>
      </c>
      <c r="E39" s="41"/>
      <c r="F39" s="43">
        <f>IF($E$30="","",500/$E$48+0.15*(1+1/$E$30))</f>
        <v>0.20374446613782396</v>
      </c>
      <c r="G39" s="28" t="str">
        <f t="shared" si="28"/>
        <v/>
      </c>
      <c r="J39" t="s">
        <v>35</v>
      </c>
      <c r="M39" s="41"/>
      <c r="N39" s="43">
        <f>IF($M$30="","",500/$M$48+0.15*(1+1/$M$30))</f>
        <v>0.20374446613782396</v>
      </c>
      <c r="O39" s="28" t="str">
        <f t="shared" si="29"/>
        <v/>
      </c>
      <c r="V39">
        <v>13</v>
      </c>
      <c r="W39" s="51">
        <f t="shared" si="26"/>
        <v>108</v>
      </c>
      <c r="X39" s="47">
        <f t="shared" si="3"/>
        <v>4.6870830185273968</v>
      </c>
      <c r="Y39" s="48">
        <f t="shared" si="4"/>
        <v>111278.71705626437</v>
      </c>
      <c r="Z39" s="49">
        <f t="shared" si="5"/>
        <v>5.3244818972422747E+20</v>
      </c>
      <c r="AA39" s="49">
        <f t="shared" si="27"/>
        <v>2.8019686433357393E-8</v>
      </c>
      <c r="AB39" s="46">
        <f t="shared" si="6"/>
        <v>2.0526046935465482E-2</v>
      </c>
      <c r="AC39" s="47">
        <f t="shared" si="7"/>
        <v>1.186786863364053</v>
      </c>
      <c r="AD39" s="50">
        <f t="shared" si="8"/>
        <v>0.27237820373308408</v>
      </c>
      <c r="AE39" s="50">
        <f t="shared" si="9"/>
        <v>0.20338500836316453</v>
      </c>
      <c r="AF39" s="50">
        <f t="shared" si="10"/>
        <v>0.6643205872547121</v>
      </c>
      <c r="AG39" s="50">
        <f t="shared" si="11"/>
        <v>1.0679453484527712</v>
      </c>
      <c r="AH39" s="50">
        <f t="shared" si="12"/>
        <v>0.20338500836316453</v>
      </c>
      <c r="AI39" s="50">
        <f t="shared" si="13"/>
        <v>0.33867546579305802</v>
      </c>
      <c r="AJ39" s="50">
        <f t="shared" si="14"/>
        <v>0.13529045742989348</v>
      </c>
      <c r="AK39" s="50">
        <f t="shared" si="15"/>
        <v>5.3172606313476427</v>
      </c>
      <c r="AL39" s="50">
        <f t="shared" si="16"/>
        <v>2.0023975283489461</v>
      </c>
      <c r="AM39" s="50">
        <f t="shared" si="17"/>
        <v>0.34047275466635513</v>
      </c>
      <c r="AN39" s="50">
        <f t="shared" si="18"/>
        <v>0.50143783109863771</v>
      </c>
      <c r="AO39" s="50">
        <f t="shared" si="19"/>
        <v>2.8447574363322627</v>
      </c>
      <c r="AP39" s="50">
        <f t="shared" si="20"/>
        <v>0.42043948952559479</v>
      </c>
      <c r="AQ39" s="50">
        <f t="shared" si="21"/>
        <v>20.319918438939705</v>
      </c>
      <c r="AR39" s="50">
        <f t="shared" si="22"/>
        <v>49.853020539384957</v>
      </c>
      <c r="AS39" s="51">
        <f t="shared" si="23"/>
        <v>115.16047744597925</v>
      </c>
      <c r="AT39" s="51">
        <f t="shared" si="24"/>
        <v>115.78540379129696</v>
      </c>
      <c r="AU39" s="50">
        <f t="shared" si="25"/>
        <v>45.506043876413969</v>
      </c>
    </row>
    <row r="40" spans="2:47" x14ac:dyDescent="0.25">
      <c r="B40" t="s">
        <v>36</v>
      </c>
      <c r="E40" s="41"/>
      <c r="F40" s="43">
        <f>IF($E$30="","",800/$E$48+0.25*(1+1/$E$30))</f>
        <v>0.33925059823251308</v>
      </c>
      <c r="G40" s="28" t="str">
        <f t="shared" si="28"/>
        <v/>
      </c>
      <c r="J40" t="s">
        <v>36</v>
      </c>
      <c r="M40" s="41"/>
      <c r="N40" s="43">
        <f>IF($M$30="","",800/$M$48+0.25*(1+1/$M$30))</f>
        <v>0.33925059823251308</v>
      </c>
      <c r="O40" s="28" t="str">
        <f t="shared" si="29"/>
        <v/>
      </c>
      <c r="V40">
        <v>14</v>
      </c>
      <c r="W40" s="51">
        <f t="shared" si="26"/>
        <v>117</v>
      </c>
      <c r="X40" s="47">
        <f t="shared" si="3"/>
        <v>5.0776732700713465</v>
      </c>
      <c r="Y40" s="48">
        <f t="shared" si="4"/>
        <v>120551.94347761974</v>
      </c>
      <c r="Z40" s="49">
        <f t="shared" si="5"/>
        <v>5.7210850923049655E+20</v>
      </c>
      <c r="AA40" s="49">
        <f t="shared" si="27"/>
        <v>7.785196355500783E-9</v>
      </c>
      <c r="AB40" s="46">
        <f t="shared" si="6"/>
        <v>2.0342540349014712E-2</v>
      </c>
      <c r="AC40" s="47">
        <f t="shared" si="7"/>
        <v>1.3803741298044951</v>
      </c>
      <c r="AD40" s="50">
        <f t="shared" si="8"/>
        <v>0.2718251917720696</v>
      </c>
      <c r="AE40" s="50">
        <f t="shared" si="9"/>
        <v>0.20303937588753049</v>
      </c>
      <c r="AF40" s="50">
        <f t="shared" si="10"/>
        <v>0.66421689751202184</v>
      </c>
      <c r="AG40" s="50">
        <f t="shared" si="11"/>
        <v>1.0673923364917568</v>
      </c>
      <c r="AH40" s="50">
        <f t="shared" si="12"/>
        <v>0.20303937588753049</v>
      </c>
      <c r="AI40" s="50">
        <f t="shared" si="13"/>
        <v>0.33812245383204353</v>
      </c>
      <c r="AJ40" s="50">
        <f t="shared" si="14"/>
        <v>0.13508307794451307</v>
      </c>
      <c r="AK40" s="50">
        <f t="shared" si="15"/>
        <v>5.3162237339207401</v>
      </c>
      <c r="AL40" s="50">
        <f t="shared" si="16"/>
        <v>2.001360630922044</v>
      </c>
      <c r="AM40" s="50">
        <f t="shared" si="17"/>
        <v>0.33978148971508704</v>
      </c>
      <c r="AN40" s="50">
        <f t="shared" si="18"/>
        <v>0.50132722870643476</v>
      </c>
      <c r="AO40" s="50">
        <f t="shared" si="19"/>
        <v>2.8428841083143261</v>
      </c>
      <c r="AP40" s="50">
        <f t="shared" si="20"/>
        <v>0.49310752160192622</v>
      </c>
      <c r="AQ40" s="50">
        <f t="shared" si="21"/>
        <v>20.014945687134844</v>
      </c>
      <c r="AR40" s="50">
        <f t="shared" si="22"/>
        <v>50.875433994698554</v>
      </c>
      <c r="AS40" s="51">
        <f t="shared" si="23"/>
        <v>117.52225252775366</v>
      </c>
      <c r="AT40" s="51">
        <f t="shared" si="24"/>
        <v>110.83812850647118</v>
      </c>
      <c r="AU40" s="50">
        <f t="shared" si="25"/>
        <v>45.781807837169325</v>
      </c>
    </row>
    <row r="41" spans="2:47" x14ac:dyDescent="0.25">
      <c r="B41" t="s">
        <v>37</v>
      </c>
      <c r="E41" s="41">
        <v>1</v>
      </c>
      <c r="F41" s="43">
        <f>IF($E$30="","",300/$E$48+0.1*(1+1/$E$30))</f>
        <v>0.13550613209468915</v>
      </c>
      <c r="G41" s="28">
        <f t="shared" si="28"/>
        <v>1.7169976338866091E-2</v>
      </c>
      <c r="J41" t="s">
        <v>37</v>
      </c>
      <c r="M41" s="41">
        <v>1</v>
      </c>
      <c r="N41" s="43">
        <f>IF($M$30="","",300/$M$48+0.1*(1+1/$M$30))</f>
        <v>0.13550613209468915</v>
      </c>
      <c r="O41" s="28">
        <f t="shared" si="29"/>
        <v>1.7169976338866091E-2</v>
      </c>
      <c r="V41">
        <v>15</v>
      </c>
      <c r="W41" s="51">
        <f t="shared" si="26"/>
        <v>126</v>
      </c>
      <c r="X41" s="47">
        <f t="shared" si="3"/>
        <v>5.4682635216152971</v>
      </c>
      <c r="Y41" s="48">
        <f t="shared" si="4"/>
        <v>129825.16989897513</v>
      </c>
      <c r="Z41" s="49">
        <f t="shared" si="5"/>
        <v>6.0988831377802186E+20</v>
      </c>
      <c r="AA41" s="49">
        <f t="shared" si="27"/>
        <v>2.3785628786304144E-9</v>
      </c>
      <c r="AB41" s="46">
        <f t="shared" si="6"/>
        <v>2.0180582513598118E-2</v>
      </c>
      <c r="AC41" s="47">
        <f t="shared" si="7"/>
        <v>1.5881615964125713</v>
      </c>
      <c r="AD41" s="50">
        <f t="shared" si="8"/>
        <v>0.27135118151977144</v>
      </c>
      <c r="AE41" s="50">
        <f t="shared" si="9"/>
        <v>0.20274311947984414</v>
      </c>
      <c r="AF41" s="50">
        <f t="shared" si="10"/>
        <v>0.66412802058971598</v>
      </c>
      <c r="AG41" s="50">
        <f t="shared" si="11"/>
        <v>1.0669183262394586</v>
      </c>
      <c r="AH41" s="50">
        <f t="shared" si="12"/>
        <v>0.20274311947984414</v>
      </c>
      <c r="AI41" s="50">
        <f t="shared" si="13"/>
        <v>0.33764844357974538</v>
      </c>
      <c r="AJ41" s="50">
        <f t="shared" si="14"/>
        <v>0.13490532409990125</v>
      </c>
      <c r="AK41" s="50">
        <f t="shared" si="15"/>
        <v>5.3153349646976809</v>
      </c>
      <c r="AL41" s="50">
        <f t="shared" si="16"/>
        <v>2.0004718616989847</v>
      </c>
      <c r="AM41" s="50">
        <f t="shared" si="17"/>
        <v>0.33918897689971433</v>
      </c>
      <c r="AN41" s="50">
        <f t="shared" si="18"/>
        <v>0.50123242665597512</v>
      </c>
      <c r="AO41" s="50">
        <f t="shared" si="19"/>
        <v>2.8412783985846666</v>
      </c>
      <c r="AP41" s="50">
        <f t="shared" si="20"/>
        <v>0.57156500105505781</v>
      </c>
      <c r="AQ41" s="50">
        <f t="shared" si="21"/>
        <v>19.687143247752022</v>
      </c>
      <c r="AR41" s="50">
        <f t="shared" si="22"/>
        <v>51.974176190458749</v>
      </c>
      <c r="AS41" s="51">
        <f t="shared" si="23"/>
        <v>120.06034699995972</v>
      </c>
      <c r="AT41" s="51">
        <f t="shared" si="24"/>
        <v>105.56754667189577</v>
      </c>
      <c r="AU41" s="50">
        <f t="shared" si="25"/>
        <v>45.774750036043997</v>
      </c>
    </row>
    <row r="42" spans="2:47" x14ac:dyDescent="0.25">
      <c r="B42" t="s">
        <v>38</v>
      </c>
      <c r="E42" s="41"/>
      <c r="F42" s="43">
        <f>IF($E$30="","",1500/$E$48+4*(1+1/$E$30))</f>
        <v>5.3183390046716204</v>
      </c>
      <c r="G42" s="28" t="str">
        <f t="shared" si="28"/>
        <v/>
      </c>
      <c r="J42" t="s">
        <v>38</v>
      </c>
      <c r="M42" s="41"/>
      <c r="N42" s="43">
        <f>IF($M$30="","",1500/$M$48+4*(1+1/$M$30))</f>
        <v>5.3183390046716204</v>
      </c>
      <c r="O42" s="28" t="str">
        <f t="shared" si="29"/>
        <v/>
      </c>
      <c r="V42">
        <v>16</v>
      </c>
      <c r="W42" s="51">
        <f t="shared" si="26"/>
        <v>135</v>
      </c>
      <c r="X42" s="47">
        <f t="shared" si="3"/>
        <v>5.8588537731592458</v>
      </c>
      <c r="Y42" s="48">
        <f t="shared" si="4"/>
        <v>139098.39632033047</v>
      </c>
      <c r="Z42" s="49">
        <f t="shared" si="5"/>
        <v>6.4588305253523469E+20</v>
      </c>
      <c r="AA42" s="49">
        <f t="shared" si="27"/>
        <v>7.8868405862691472E-10</v>
      </c>
      <c r="AB42" s="46">
        <f t="shared" si="6"/>
        <v>2.0036448794578745E-2</v>
      </c>
      <c r="AC42" s="47">
        <f t="shared" si="7"/>
        <v>1.810123429135738</v>
      </c>
      <c r="AD42" s="50">
        <f t="shared" si="8"/>
        <v>0.27094037263444642</v>
      </c>
      <c r="AE42" s="50">
        <f t="shared" si="9"/>
        <v>0.20248636392651598</v>
      </c>
      <c r="AF42" s="50">
        <f t="shared" si="10"/>
        <v>0.66405099392371758</v>
      </c>
      <c r="AG42" s="50">
        <f t="shared" si="11"/>
        <v>1.0665075173541334</v>
      </c>
      <c r="AH42" s="50">
        <f t="shared" si="12"/>
        <v>0.20248636392651598</v>
      </c>
      <c r="AI42" s="50">
        <f t="shared" si="13"/>
        <v>0.33723763469442036</v>
      </c>
      <c r="AJ42" s="50">
        <f t="shared" si="14"/>
        <v>0.13475127076790436</v>
      </c>
      <c r="AK42" s="50">
        <f t="shared" si="15"/>
        <v>5.3145646980376968</v>
      </c>
      <c r="AL42" s="50">
        <f t="shared" si="16"/>
        <v>1.9997015950390005</v>
      </c>
      <c r="AM42" s="50">
        <f t="shared" si="17"/>
        <v>0.33867546579305802</v>
      </c>
      <c r="AN42" s="50">
        <f t="shared" si="18"/>
        <v>0.50115026487891012</v>
      </c>
      <c r="AO42" s="50">
        <f t="shared" si="19"/>
        <v>2.8398867834856274</v>
      </c>
      <c r="AP42" s="50">
        <f t="shared" si="20"/>
        <v>0.65581192788498865</v>
      </c>
      <c r="AQ42" s="50">
        <f t="shared" si="21"/>
        <v>19.33654212165429</v>
      </c>
      <c r="AR42" s="50">
        <f t="shared" si="22"/>
        <v>53.149138623644845</v>
      </c>
      <c r="AS42" s="51">
        <f t="shared" si="23"/>
        <v>122.77451022061959</v>
      </c>
      <c r="AT42" s="51">
        <f t="shared" si="24"/>
        <v>99.973658287570743</v>
      </c>
      <c r="AU42" s="50">
        <f t="shared" si="25"/>
        <v>45.484870473038001</v>
      </c>
    </row>
    <row r="43" spans="2:47" x14ac:dyDescent="0.25">
      <c r="B43" t="s">
        <v>39</v>
      </c>
      <c r="E43" s="41"/>
      <c r="F43" s="43">
        <f>IF($E$30="","",1500/$E$48+1.5*(1+1/$E$30))</f>
        <v>2.0034759016729242</v>
      </c>
      <c r="G43" s="28" t="str">
        <f t="shared" si="28"/>
        <v/>
      </c>
      <c r="J43" t="s">
        <v>39</v>
      </c>
      <c r="M43" s="41">
        <v>1</v>
      </c>
      <c r="N43" s="43">
        <f>IF($M$30="","",1500/$M$48+1.5*(1+1/$M$30))</f>
        <v>2.0034759016729242</v>
      </c>
      <c r="O43" s="28">
        <f t="shared" si="29"/>
        <v>0.25386034783410905</v>
      </c>
      <c r="V43">
        <v>17</v>
      </c>
      <c r="W43" s="51">
        <f t="shared" si="26"/>
        <v>144</v>
      </c>
      <c r="X43" s="47">
        <f t="shared" si="3"/>
        <v>6.2494440247031955</v>
      </c>
      <c r="Y43" s="48">
        <f t="shared" si="4"/>
        <v>148371.62274168583</v>
      </c>
      <c r="Z43" s="49">
        <f t="shared" si="5"/>
        <v>6.8019057290476139E+20</v>
      </c>
      <c r="AA43" s="49">
        <f t="shared" si="27"/>
        <v>2.808299903767694E-10</v>
      </c>
      <c r="AB43" s="46">
        <f t="shared" si="6"/>
        <v>1.9907244979166037E-2</v>
      </c>
      <c r="AC43" s="47">
        <f t="shared" si="7"/>
        <v>2.0462375353898423</v>
      </c>
      <c r="AD43" s="50">
        <f t="shared" si="8"/>
        <v>0.27058091485978697</v>
      </c>
      <c r="AE43" s="50">
        <f t="shared" si="9"/>
        <v>0.20226170281735384</v>
      </c>
      <c r="AF43" s="50">
        <f t="shared" si="10"/>
        <v>0.66398359559096887</v>
      </c>
      <c r="AG43" s="50">
        <f t="shared" si="11"/>
        <v>1.0661480595794741</v>
      </c>
      <c r="AH43" s="50">
        <f t="shared" si="12"/>
        <v>0.20226170281735384</v>
      </c>
      <c r="AI43" s="50">
        <f t="shared" si="13"/>
        <v>0.33687817691976091</v>
      </c>
      <c r="AJ43" s="50">
        <f t="shared" si="14"/>
        <v>0.1346164741024071</v>
      </c>
      <c r="AK43" s="50">
        <f t="shared" si="15"/>
        <v>5.3138907147102099</v>
      </c>
      <c r="AL43" s="50">
        <f t="shared" si="16"/>
        <v>1.999027611711514</v>
      </c>
      <c r="AM43" s="50">
        <f t="shared" si="17"/>
        <v>0.33822614357473374</v>
      </c>
      <c r="AN43" s="50">
        <f t="shared" si="18"/>
        <v>0.50107837332397831</v>
      </c>
      <c r="AO43" s="50">
        <f t="shared" si="19"/>
        <v>2.8386691202739689</v>
      </c>
      <c r="AP43" s="50">
        <f t="shared" si="20"/>
        <v>0.74584830209171971</v>
      </c>
      <c r="AQ43" s="50">
        <f t="shared" si="21"/>
        <v>18.963168819942634</v>
      </c>
      <c r="AR43" s="50">
        <f t="shared" si="22"/>
        <v>54.400228505403419</v>
      </c>
      <c r="AS43" s="51">
        <f t="shared" si="23"/>
        <v>125.66452784748191</v>
      </c>
      <c r="AT43" s="51">
        <f t="shared" si="24"/>
        <v>94.056463353496071</v>
      </c>
      <c r="AU43" s="50">
        <f t="shared" si="25"/>
        <v>44.912169148151307</v>
      </c>
    </row>
    <row r="44" spans="2:47" x14ac:dyDescent="0.25">
      <c r="B44" t="s">
        <v>40</v>
      </c>
      <c r="E44" s="41"/>
      <c r="F44" s="43">
        <f>IF($E$30="","",1000/$E$48+0.25*(1+1/$E$30))</f>
        <v>0.34119167021567398</v>
      </c>
      <c r="G44" s="28" t="str">
        <f t="shared" si="28"/>
        <v/>
      </c>
      <c r="J44" t="s">
        <v>40</v>
      </c>
      <c r="M44" s="41"/>
      <c r="N44" s="43">
        <f>IF($M$30="","",1000/$M$48+0.25*(1+1/$M$30))</f>
        <v>0.34119167021567398</v>
      </c>
      <c r="O44" s="28" t="str">
        <f t="shared" si="29"/>
        <v/>
      </c>
      <c r="V44">
        <v>18</v>
      </c>
      <c r="W44" s="51">
        <f t="shared" si="26"/>
        <v>153</v>
      </c>
      <c r="X44" s="47">
        <f t="shared" si="3"/>
        <v>6.640034276247146</v>
      </c>
      <c r="Y44" s="48">
        <f t="shared" si="4"/>
        <v>157644.84916304122</v>
      </c>
      <c r="Z44" s="49">
        <f t="shared" si="5"/>
        <v>7.1290775288042448E+20</v>
      </c>
      <c r="AA44" s="49">
        <f t="shared" si="27"/>
        <v>1.0645853011448835E-10</v>
      </c>
      <c r="AB44" s="46">
        <f t="shared" si="6"/>
        <v>1.9790684699566456E-2</v>
      </c>
      <c r="AC44" s="47">
        <f t="shared" si="7"/>
        <v>2.2964848422112012</v>
      </c>
      <c r="AD44" s="50">
        <f t="shared" si="8"/>
        <v>0.27026374623508748</v>
      </c>
      <c r="AE44" s="50">
        <f t="shared" si="9"/>
        <v>0.20206347242691666</v>
      </c>
      <c r="AF44" s="50">
        <f t="shared" si="10"/>
        <v>0.66392412647383769</v>
      </c>
      <c r="AG44" s="50">
        <f t="shared" si="11"/>
        <v>1.0658308909547747</v>
      </c>
      <c r="AH44" s="50">
        <f t="shared" si="12"/>
        <v>0.20206347242691666</v>
      </c>
      <c r="AI44" s="50">
        <f t="shared" si="13"/>
        <v>0.33656100829506141</v>
      </c>
      <c r="AJ44" s="50">
        <f t="shared" si="14"/>
        <v>0.13449753586814478</v>
      </c>
      <c r="AK44" s="50">
        <f t="shared" si="15"/>
        <v>5.3132960235388991</v>
      </c>
      <c r="AL44" s="50">
        <f t="shared" si="16"/>
        <v>1.9984329205402025</v>
      </c>
      <c r="AM44" s="50">
        <f t="shared" si="17"/>
        <v>0.33782968279385939</v>
      </c>
      <c r="AN44" s="50">
        <f t="shared" si="18"/>
        <v>0.50101493959903831</v>
      </c>
      <c r="AO44" s="50">
        <f t="shared" si="19"/>
        <v>2.8375947115577991</v>
      </c>
      <c r="AP44" s="50">
        <f t="shared" si="20"/>
        <v>0.84167412367525052</v>
      </c>
      <c r="AQ44" s="50">
        <f t="shared" si="21"/>
        <v>18.567046230173471</v>
      </c>
      <c r="AR44" s="50">
        <f t="shared" si="22"/>
        <v>55.727365729287001</v>
      </c>
      <c r="AS44" s="51">
        <f t="shared" si="23"/>
        <v>128.73021483465297</v>
      </c>
      <c r="AT44" s="51">
        <f t="shared" si="24"/>
        <v>87.815961869671781</v>
      </c>
      <c r="AU44" s="50">
        <f t="shared" si="25"/>
        <v>44.056646061383944</v>
      </c>
    </row>
    <row r="45" spans="2:47" x14ac:dyDescent="0.25">
      <c r="B45" t="s">
        <v>41</v>
      </c>
      <c r="E45" s="41">
        <v>1</v>
      </c>
      <c r="F45" s="44">
        <f>IF($E$30="","",160/$E$48+0.5*(1))</f>
        <v>0.50155285758652868</v>
      </c>
      <c r="G45" s="34">
        <f t="shared" si="28"/>
        <v>6.3551741639512743E-2</v>
      </c>
      <c r="J45" t="s">
        <v>51</v>
      </c>
      <c r="M45" s="41">
        <v>1</v>
      </c>
      <c r="N45" s="44">
        <f>IF($M$30="","",1)</f>
        <v>1</v>
      </c>
      <c r="O45" s="34">
        <f t="shared" si="29"/>
        <v>0.12670995823914472</v>
      </c>
      <c r="V45">
        <v>19</v>
      </c>
      <c r="W45" s="51">
        <f t="shared" si="26"/>
        <v>162</v>
      </c>
      <c r="X45" s="47">
        <f t="shared" si="3"/>
        <v>7.0306245277910948</v>
      </c>
      <c r="Y45" s="48">
        <f t="shared" si="4"/>
        <v>166918.07558439655</v>
      </c>
      <c r="Z45" s="49">
        <f t="shared" si="5"/>
        <v>7.441284704857416E+20</v>
      </c>
      <c r="AA45" s="49">
        <f t="shared" si="27"/>
        <v>4.2658258920499705E-11</v>
      </c>
      <c r="AB45" s="46">
        <f t="shared" si="6"/>
        <v>1.9684935534011273E-2</v>
      </c>
      <c r="AC45" s="47">
        <f t="shared" si="7"/>
        <v>2.5608487443106798</v>
      </c>
      <c r="AD45" s="50">
        <f t="shared" si="8"/>
        <v>0.26998181856868797</v>
      </c>
      <c r="AE45" s="50">
        <f t="shared" si="9"/>
        <v>0.20188726763541695</v>
      </c>
      <c r="AF45" s="50">
        <f t="shared" si="10"/>
        <v>0.66387126503638783</v>
      </c>
      <c r="AG45" s="50">
        <f t="shared" si="11"/>
        <v>1.065548963288375</v>
      </c>
      <c r="AH45" s="50">
        <f t="shared" si="12"/>
        <v>0.20188726763541695</v>
      </c>
      <c r="AI45" s="50">
        <f t="shared" si="13"/>
        <v>0.33627908062866191</v>
      </c>
      <c r="AJ45" s="50">
        <f t="shared" si="14"/>
        <v>0.13439181299324496</v>
      </c>
      <c r="AK45" s="50">
        <f t="shared" si="15"/>
        <v>5.3127674091643993</v>
      </c>
      <c r="AL45" s="50">
        <f t="shared" si="16"/>
        <v>1.9979043061657034</v>
      </c>
      <c r="AM45" s="50">
        <f t="shared" si="17"/>
        <v>0.33747727321085996</v>
      </c>
      <c r="AN45" s="50">
        <f t="shared" si="18"/>
        <v>0.5009585540657584</v>
      </c>
      <c r="AO45" s="50">
        <f t="shared" si="19"/>
        <v>2.8366396815878714</v>
      </c>
      <c r="AP45" s="50">
        <f t="shared" si="20"/>
        <v>0.94328939263558109</v>
      </c>
      <c r="AQ45" s="50">
        <f t="shared" si="21"/>
        <v>18.148194278693765</v>
      </c>
      <c r="AR45" s="50">
        <f t="shared" si="22"/>
        <v>57.130480553081227</v>
      </c>
      <c r="AS45" s="51">
        <f t="shared" si="23"/>
        <v>131.97141007761763</v>
      </c>
      <c r="AT45" s="51">
        <f t="shared" si="24"/>
        <v>81.252153836097847</v>
      </c>
      <c r="AU45" s="50">
        <f t="shared" si="25"/>
        <v>42.918301212735905</v>
      </c>
    </row>
    <row r="46" spans="2:47" x14ac:dyDescent="0.25">
      <c r="G46" s="32">
        <f>SUM(G35:G45)</f>
        <v>0.36070596004567523</v>
      </c>
      <c r="O46" s="32">
        <f>SUM(O35:O45)</f>
        <v>0.67772452447941633</v>
      </c>
      <c r="V46">
        <v>20</v>
      </c>
      <c r="W46" s="51">
        <f t="shared" si="26"/>
        <v>171</v>
      </c>
      <c r="X46" s="47">
        <f t="shared" si="3"/>
        <v>7.4212147793350445</v>
      </c>
      <c r="Y46" s="48">
        <f t="shared" si="4"/>
        <v>176191.3020057519</v>
      </c>
      <c r="Z46" s="49">
        <f t="shared" si="5"/>
        <v>7.7394243470569754E+20</v>
      </c>
      <c r="AA46" s="49">
        <f t="shared" si="27"/>
        <v>1.7959969397695811E-11</v>
      </c>
      <c r="AB46" s="46">
        <f t="shared" si="6"/>
        <v>1.9588510087034248E-2</v>
      </c>
      <c r="AC46" s="47">
        <f t="shared" si="7"/>
        <v>2.8393146755091259</v>
      </c>
      <c r="AD46" s="50">
        <f t="shared" si="8"/>
        <v>0.26972956749875154</v>
      </c>
      <c r="AE46" s="50">
        <f t="shared" si="9"/>
        <v>0.20172961071670667</v>
      </c>
      <c r="AF46" s="50">
        <f t="shared" si="10"/>
        <v>0.6638239679607747</v>
      </c>
      <c r="AG46" s="50">
        <f t="shared" si="11"/>
        <v>1.0652967122184387</v>
      </c>
      <c r="AH46" s="50">
        <f t="shared" si="12"/>
        <v>0.20172961071670667</v>
      </c>
      <c r="AI46" s="50">
        <f t="shared" si="13"/>
        <v>0.33602682955872548</v>
      </c>
      <c r="AJ46" s="50">
        <f t="shared" si="14"/>
        <v>0.13429721884201878</v>
      </c>
      <c r="AK46" s="50">
        <f t="shared" si="15"/>
        <v>5.3122944384082684</v>
      </c>
      <c r="AL46" s="50">
        <f t="shared" si="16"/>
        <v>1.9974313354095725</v>
      </c>
      <c r="AM46" s="50">
        <f t="shared" si="17"/>
        <v>0.3371619593734394</v>
      </c>
      <c r="AN46" s="50">
        <f t="shared" si="18"/>
        <v>0.5009081038517712</v>
      </c>
      <c r="AO46" s="50">
        <f t="shared" si="19"/>
        <v>2.8357851810884616</v>
      </c>
      <c r="AP46" s="50">
        <f t="shared" si="20"/>
        <v>1.0506941089727113</v>
      </c>
      <c r="AQ46" s="50">
        <f t="shared" si="21"/>
        <v>17.706630444918503</v>
      </c>
      <c r="AR46" s="50">
        <f t="shared" si="22"/>
        <v>58.609511798833637</v>
      </c>
      <c r="AS46" s="51">
        <f t="shared" si="23"/>
        <v>135.3879722553057</v>
      </c>
      <c r="AT46" s="51">
        <f t="shared" si="24"/>
        <v>74.365039252774295</v>
      </c>
      <c r="AU46" s="50">
        <f t="shared" si="25"/>
        <v>41.497134602207169</v>
      </c>
    </row>
    <row r="47" spans="2:47" x14ac:dyDescent="0.25">
      <c r="B47" t="s">
        <v>45</v>
      </c>
      <c r="E47" s="30">
        <f>IFERROR(T10,"")</f>
        <v>4.3398916838216639</v>
      </c>
      <c r="F47" s="24" t="s">
        <v>50</v>
      </c>
      <c r="J47" t="s">
        <v>45</v>
      </c>
      <c r="M47" s="30">
        <f>IFERROR(X10,"")</f>
        <v>4.3398916838216639</v>
      </c>
      <c r="N47" s="24" t="s">
        <v>50</v>
      </c>
      <c r="V47">
        <v>21</v>
      </c>
      <c r="W47" s="51">
        <f>W46+$Y$22</f>
        <v>180</v>
      </c>
      <c r="X47" s="47">
        <f t="shared" si="3"/>
        <v>7.811805030878995</v>
      </c>
      <c r="Y47" s="48">
        <f t="shared" si="4"/>
        <v>185464.52842710732</v>
      </c>
      <c r="Z47" s="49">
        <f t="shared" si="5"/>
        <v>8.0243457253608024E+20</v>
      </c>
      <c r="AA47" s="49">
        <f t="shared" si="27"/>
        <v>7.9046615000954707E-12</v>
      </c>
      <c r="AB47" s="46">
        <f t="shared" si="6"/>
        <v>1.9500187309892305E-2</v>
      </c>
      <c r="AC47" s="47">
        <f t="shared" si="7"/>
        <v>3.1318697714068615</v>
      </c>
      <c r="AD47" s="50">
        <f t="shared" si="8"/>
        <v>0.26950254153580872</v>
      </c>
      <c r="AE47" s="50">
        <f t="shared" si="9"/>
        <v>0.20158771948986742</v>
      </c>
      <c r="AF47" s="50">
        <f t="shared" si="10"/>
        <v>0.66378140059272295</v>
      </c>
      <c r="AG47" s="50">
        <f t="shared" si="11"/>
        <v>1.0650696862554958</v>
      </c>
      <c r="AH47" s="50">
        <f t="shared" si="12"/>
        <v>0.20158771948986742</v>
      </c>
      <c r="AI47" s="50">
        <f t="shared" si="13"/>
        <v>0.33579980359578265</v>
      </c>
      <c r="AJ47" s="50">
        <f t="shared" si="14"/>
        <v>0.13421208410591523</v>
      </c>
      <c r="AK47" s="50">
        <f t="shared" si="15"/>
        <v>5.3118687647277509</v>
      </c>
      <c r="AL47" s="50">
        <f t="shared" si="16"/>
        <v>1.9970056617290548</v>
      </c>
      <c r="AM47" s="50">
        <f t="shared" si="17"/>
        <v>0.33687817691976091</v>
      </c>
      <c r="AN47" s="50">
        <f t="shared" si="18"/>
        <v>0.50086269865918265</v>
      </c>
      <c r="AO47" s="50">
        <f t="shared" si="19"/>
        <v>2.8350161306389929</v>
      </c>
      <c r="AP47" s="50">
        <f t="shared" si="20"/>
        <v>1.1638882726866415</v>
      </c>
      <c r="AQ47" s="50">
        <f t="shared" si="21"/>
        <v>17.242370166127287</v>
      </c>
      <c r="AR47" s="50">
        <f t="shared" si="22"/>
        <v>60.164405436065593</v>
      </c>
      <c r="AS47" s="51">
        <f t="shared" si="23"/>
        <v>138.97977655731151</v>
      </c>
      <c r="AT47" s="51">
        <f t="shared" si="24"/>
        <v>67.154618119701098</v>
      </c>
      <c r="AU47" s="50">
        <f t="shared" si="25"/>
        <v>39.793146229797763</v>
      </c>
    </row>
    <row r="48" spans="2:47" x14ac:dyDescent="0.25">
      <c r="B48" t="s">
        <v>46</v>
      </c>
      <c r="E48" s="17">
        <f>IFERROR(T11,"")</f>
        <v>103035.84912617072</v>
      </c>
      <c r="F48" s="24"/>
      <c r="J48" t="s">
        <v>46</v>
      </c>
      <c r="M48" s="17">
        <f>IFERROR(X11,"")</f>
        <v>103035.84912617072</v>
      </c>
      <c r="N48" s="24"/>
    </row>
    <row r="49" spans="2:43" x14ac:dyDescent="0.25">
      <c r="B49" t="s">
        <v>47</v>
      </c>
      <c r="E49" s="28">
        <f>IFERROR(T16,"")</f>
        <v>1.0266550078181242</v>
      </c>
      <c r="F49" s="24" t="s">
        <v>49</v>
      </c>
      <c r="J49" t="s">
        <v>47</v>
      </c>
      <c r="M49" s="28">
        <f>IFERROR(X16,"")</f>
        <v>1.0266550078181242</v>
      </c>
      <c r="N49" s="24" t="s">
        <v>49</v>
      </c>
      <c r="X49" t="s">
        <v>100</v>
      </c>
    </row>
    <row r="50" spans="2:43" x14ac:dyDescent="0.25">
      <c r="B50" t="s">
        <v>48</v>
      </c>
      <c r="E50" s="34">
        <f>IFERROR(T17,"")</f>
        <v>20.57181019507474</v>
      </c>
      <c r="F50" s="24" t="s">
        <v>16</v>
      </c>
      <c r="J50" t="s">
        <v>77</v>
      </c>
      <c r="M50" s="34">
        <f>IFERROR(X17,"")</f>
        <v>69.580200370444615</v>
      </c>
      <c r="N50" s="24" t="s">
        <v>16</v>
      </c>
      <c r="W50" t="s">
        <v>55</v>
      </c>
      <c r="X50" t="s">
        <v>45</v>
      </c>
      <c r="Y50" t="s">
        <v>87</v>
      </c>
      <c r="Z50" t="s">
        <v>71</v>
      </c>
      <c r="AA50" t="s">
        <v>72</v>
      </c>
      <c r="AB50" t="s">
        <v>73</v>
      </c>
      <c r="AC50" t="s">
        <v>74</v>
      </c>
      <c r="AD50" t="s">
        <v>88</v>
      </c>
      <c r="AE50" t="s">
        <v>89</v>
      </c>
      <c r="AF50" t="s">
        <v>33</v>
      </c>
      <c r="AG50" t="s">
        <v>90</v>
      </c>
      <c r="AH50" t="s">
        <v>91</v>
      </c>
      <c r="AI50" t="s">
        <v>92</v>
      </c>
      <c r="AJ50" t="s">
        <v>93</v>
      </c>
      <c r="AK50" t="s">
        <v>94</v>
      </c>
      <c r="AL50" t="s">
        <v>95</v>
      </c>
      <c r="AM50" t="s">
        <v>96</v>
      </c>
      <c r="AN50" t="s">
        <v>97</v>
      </c>
      <c r="AO50" t="s">
        <v>98</v>
      </c>
      <c r="AP50" t="s">
        <v>44</v>
      </c>
      <c r="AQ50" t="s">
        <v>101</v>
      </c>
    </row>
    <row r="51" spans="2:43" x14ac:dyDescent="0.25">
      <c r="W51" t="s">
        <v>86</v>
      </c>
      <c r="X51" t="s">
        <v>50</v>
      </c>
      <c r="AD51" s="45">
        <f>IF(M35="",0,M35)</f>
        <v>1</v>
      </c>
      <c r="AE51" s="45">
        <f>IF(M36="",0,M36)</f>
        <v>1</v>
      </c>
      <c r="AF51" s="45">
        <f>IF(M37="",0,M37)</f>
        <v>1</v>
      </c>
      <c r="AG51" s="45">
        <f>IF(M38="",0,M38)</f>
        <v>1</v>
      </c>
      <c r="AH51" s="45">
        <f>IF(M39="",0,M39)</f>
        <v>0</v>
      </c>
      <c r="AI51" s="45">
        <f>IF(M40="",0,M40)</f>
        <v>0</v>
      </c>
      <c r="AJ51" s="45">
        <f>IF(M41="",0,M41)</f>
        <v>1</v>
      </c>
      <c r="AK51" s="45">
        <f>IF(M42="",0,M42)</f>
        <v>0</v>
      </c>
      <c r="AL51" s="45">
        <f>IF(M43="",0,M43)</f>
        <v>1</v>
      </c>
      <c r="AM51" s="45">
        <f>IF(M44="",0,M44)</f>
        <v>0</v>
      </c>
      <c r="AN51" s="45">
        <f>IF(M45="",0,M45)</f>
        <v>1</v>
      </c>
    </row>
    <row r="52" spans="2:43" x14ac:dyDescent="0.25">
      <c r="V52">
        <v>1</v>
      </c>
      <c r="W52" s="48">
        <f>W27</f>
        <v>0</v>
      </c>
      <c r="X52" s="47">
        <f>(W52/7.4805195)/$X$9/60</f>
        <v>0</v>
      </c>
      <c r="Y52" s="48">
        <f>($X$8/12)*X52*$E$11*1488.1639/$E$12</f>
        <v>0</v>
      </c>
      <c r="Z52" s="49">
        <f>IFERROR((-2.457*LN((7/Y52)^0.9+0.27*$X$12))^16,0)</f>
        <v>0</v>
      </c>
      <c r="AA52" s="49">
        <f>IFERROR((37530/Y52)^16,0)</f>
        <v>0</v>
      </c>
      <c r="AB52" s="46">
        <f>IFERROR(8*((8/Y52)^12+1/(Z52+AA52)^1.5)^(1/12),0)</f>
        <v>0</v>
      </c>
      <c r="AC52" s="47">
        <f>IFERROR($E$11*AB52*100*X52^2/(144*($X$8/12)*2*32.2),0)</f>
        <v>0</v>
      </c>
      <c r="AD52" s="50">
        <f>IFERROR(800/Y52+0.2*(1+1/$X$8),0)</f>
        <v>0</v>
      </c>
      <c r="AE52" s="50">
        <f>IFERROR(500/Y52+0.15*(1+1/$X$8),0)</f>
        <v>0</v>
      </c>
      <c r="AF52" s="50">
        <f>IFERROR(150/Y52+0.5*(1+1/$X$8),0)</f>
        <v>0</v>
      </c>
      <c r="AG52" s="50">
        <f>IFERROR(800/Y52+0.8*(1+1/$X$8),0)</f>
        <v>0</v>
      </c>
      <c r="AH52" s="50">
        <f>IFERROR(500/Y52+0.15*(1+1/$X$8),0)</f>
        <v>0</v>
      </c>
      <c r="AI52" s="50">
        <f>IFERROR(800/Y52+0.25*(1+1/$X$8),0)</f>
        <v>0</v>
      </c>
      <c r="AJ52" s="50">
        <f>IFERROR(300/Y52+0.1*(1+1/$X$8),0)</f>
        <v>0</v>
      </c>
      <c r="AK52" s="50">
        <f>IFERROR(1500/Y52+4*(1+1/$X$8),0)</f>
        <v>0</v>
      </c>
      <c r="AL52" s="50">
        <f>IFERROR(1500/Y52+1.5*(1+1/$X$8),0)</f>
        <v>0</v>
      </c>
      <c r="AM52" s="50">
        <f>IFERROR(1000/Y52+0.25*(1+1/$X$8),0)</f>
        <v>0</v>
      </c>
      <c r="AN52" s="50">
        <f>IFERROR(1,0)</f>
        <v>1</v>
      </c>
      <c r="AO52" s="50">
        <f>SUMPRODUCT($AD$51:$AN$51,AD52:AN52)</f>
        <v>1</v>
      </c>
      <c r="AP52" s="50">
        <f>AO52*X52^2*($E$11/62.4)/(2*32.174*2.31)</f>
        <v>0</v>
      </c>
      <c r="AQ52" s="50">
        <f>$M$21+$M$22*($E$11/62.4)/2.31+$M$23+$M$24+AP52+AC52*$M$27/100</f>
        <v>65.822510822510822</v>
      </c>
    </row>
    <row r="53" spans="2:43" x14ac:dyDescent="0.25">
      <c r="C53" s="22" t="s">
        <v>115</v>
      </c>
      <c r="J53" s="22" t="s">
        <v>82</v>
      </c>
      <c r="M53" s="21">
        <v>180</v>
      </c>
      <c r="N53" s="24" t="s">
        <v>10</v>
      </c>
      <c r="V53">
        <v>2</v>
      </c>
      <c r="W53" s="48">
        <f t="shared" ref="W53:W72" si="30">W28</f>
        <v>9</v>
      </c>
      <c r="X53" s="47">
        <f t="shared" ref="X53:X72" si="31">(W53/7.4805195)/$X$9/60</f>
        <v>0.39059025154394972</v>
      </c>
      <c r="Y53" s="48">
        <f>($X$8/12)*X53*$E$11*1488.1639/$E$12</f>
        <v>9273.2264213553644</v>
      </c>
      <c r="Z53" s="49">
        <f t="shared" ref="Z53:Z72" si="32">IFERROR((-2.457*LN((7/Y53)^0.9+0.27*$X$12))^16,0)</f>
        <v>1.3051998985435697E+19</v>
      </c>
      <c r="AA53" s="49">
        <f t="shared" ref="AA53:AA72" si="33">IFERROR((37530/Y53)^16,0)</f>
        <v>5180398960.7025814</v>
      </c>
      <c r="AB53" s="46">
        <f t="shared" ref="AB53:AB72" si="34">IFERROR(8*((8/Y53)^12+1/(Z53+AA53)^1.5)^(1/12),0)</f>
        <v>3.2630998128250252E-2</v>
      </c>
      <c r="AC53" s="47">
        <f t="shared" ref="AC53:AC72" si="35">IFERROR($E$11*AB53*100*X53^2/(144*($X$8/12)*2*32.2),0)</f>
        <v>1.3101930128237474E-2</v>
      </c>
      <c r="AD53" s="50">
        <f t="shared" ref="AD53:AD72" si="36">IFERROR(800/Y53+0.2*(1+1/$X$8),0)</f>
        <v>0.35145891415815644</v>
      </c>
      <c r="AE53" s="50">
        <f t="shared" ref="AE53:AE72" si="37">IFERROR(500/Y53+0.15*(1+1/$X$8),0)</f>
        <v>0.25281045237883476</v>
      </c>
      <c r="AF53" s="50">
        <f t="shared" ref="AF53:AF72" si="38">IFERROR(150/Y53+0.5*(1+1/$X$8),0)</f>
        <v>0.67914822045941314</v>
      </c>
      <c r="AG53" s="50">
        <f t="shared" ref="AG53:AG72" si="39">IFERROR(800/Y53+0.8*(1+1/$X$8),0)</f>
        <v>1.1470260588778436</v>
      </c>
      <c r="AH53" s="50">
        <f t="shared" ref="AH53:AH72" si="40">IFERROR(500/Y53+0.15*(1+1/$X$8),0)</f>
        <v>0.25281045237883476</v>
      </c>
      <c r="AI53" s="50">
        <f t="shared" ref="AI53:AI72" si="41">IFERROR(800/Y53+0.25*(1+1/$X$8),0)</f>
        <v>0.41775617621813033</v>
      </c>
      <c r="AJ53" s="50">
        <f t="shared" ref="AJ53:AJ72" si="42">IFERROR(300/Y53+0.1*(1+1/$X$8),0)</f>
        <v>0.16494572383929562</v>
      </c>
      <c r="AK53" s="50">
        <f t="shared" ref="AK53:AK72" si="43">IFERROR(1500/Y53+4*(1+1/$X$8),0)</f>
        <v>5.4655369633946531</v>
      </c>
      <c r="AL53" s="50">
        <f t="shared" ref="AL53:AL72" si="44">IFERROR(1500/Y53+1.5*(1+1/$X$8),0)</f>
        <v>2.1506738603959565</v>
      </c>
      <c r="AM53" s="50">
        <f t="shared" ref="AM53:AM72" si="45">IFERROR(1000/Y53+0.25*(1+1/$X$8),0)</f>
        <v>0.43932364269769553</v>
      </c>
      <c r="AN53" s="50">
        <f t="shared" ref="AN53:AN72" si="46">IFERROR(1,0)</f>
        <v>1</v>
      </c>
      <c r="AO53" s="50">
        <f t="shared" ref="AO53:AO72" si="47">SUMPRODUCT($AD$51:$AN$51,AD53:AN53)</f>
        <v>5.7460632301094998</v>
      </c>
      <c r="AP53" s="50">
        <f t="shared" ref="AP53:AP72" si="48">AO53*X53^2*($E$11/62.4)/(2*32.174*2.31)</f>
        <v>5.8974757986059428E-3</v>
      </c>
      <c r="AQ53" s="50">
        <f t="shared" ref="AQ53:AQ72" si="49">$M$21+$M$22*($E$11/62.4)/2.31+$M$23+$M$24+AP53+AC53*$M$27/100</f>
        <v>65.867714088694143</v>
      </c>
    </row>
    <row r="54" spans="2:43" x14ac:dyDescent="0.25">
      <c r="J54" s="37" t="s">
        <v>118</v>
      </c>
      <c r="V54">
        <v>3</v>
      </c>
      <c r="W54" s="48">
        <f t="shared" si="30"/>
        <v>18</v>
      </c>
      <c r="X54" s="47">
        <f t="shared" si="31"/>
        <v>0.78118050308789944</v>
      </c>
      <c r="Y54" s="48">
        <f t="shared" ref="Y54:Y72" si="50">($X$8/12)*X54*$E$11*1488.1639/$E$12</f>
        <v>18546.452842710729</v>
      </c>
      <c r="Z54" s="49">
        <f t="shared" si="32"/>
        <v>4.8690562374680347E+19</v>
      </c>
      <c r="AA54" s="49">
        <f t="shared" si="33"/>
        <v>79046.615000954916</v>
      </c>
      <c r="AB54" s="46">
        <f t="shared" si="34"/>
        <v>2.7679573126422375E-2</v>
      </c>
      <c r="AC54" s="47">
        <f t="shared" si="35"/>
        <v>4.4455377265074425E-2</v>
      </c>
      <c r="AD54" s="50">
        <f t="shared" si="36"/>
        <v>0.30832398119902604</v>
      </c>
      <c r="AE54" s="50">
        <f t="shared" si="37"/>
        <v>0.22585111927937826</v>
      </c>
      <c r="AF54" s="50">
        <f t="shared" si="38"/>
        <v>0.67106042052957626</v>
      </c>
      <c r="AG54" s="50">
        <f t="shared" si="39"/>
        <v>1.1038911259187132</v>
      </c>
      <c r="AH54" s="50">
        <f t="shared" si="40"/>
        <v>0.22585111927937826</v>
      </c>
      <c r="AI54" s="50">
        <f t="shared" si="41"/>
        <v>0.37462124325899998</v>
      </c>
      <c r="AJ54" s="50">
        <f t="shared" si="42"/>
        <v>0.14877012397962175</v>
      </c>
      <c r="AK54" s="50">
        <f t="shared" si="43"/>
        <v>5.3846589640962836</v>
      </c>
      <c r="AL54" s="50">
        <f t="shared" si="44"/>
        <v>2.0697958610975871</v>
      </c>
      <c r="AM54" s="50">
        <f t="shared" si="45"/>
        <v>0.38540497649878258</v>
      </c>
      <c r="AN54" s="50">
        <f t="shared" si="46"/>
        <v>1</v>
      </c>
      <c r="AO54" s="50">
        <f t="shared" si="47"/>
        <v>5.5276926320039026</v>
      </c>
      <c r="AP54" s="50">
        <f t="shared" si="48"/>
        <v>2.269340396294537E-2</v>
      </c>
      <c r="AQ54" s="50">
        <f t="shared" si="49"/>
        <v>65.978570358268996</v>
      </c>
    </row>
    <row r="55" spans="2:43" x14ac:dyDescent="0.25">
      <c r="C55" s="38" t="s">
        <v>55</v>
      </c>
      <c r="D55" s="38" t="s">
        <v>56</v>
      </c>
      <c r="E55" s="38" t="s">
        <v>79</v>
      </c>
      <c r="J55" s="37" t="s">
        <v>117</v>
      </c>
      <c r="V55">
        <v>4</v>
      </c>
      <c r="W55" s="48">
        <f t="shared" si="30"/>
        <v>27</v>
      </c>
      <c r="X55" s="47">
        <f t="shared" si="31"/>
        <v>1.1717707546318492</v>
      </c>
      <c r="Y55" s="48">
        <f t="shared" si="50"/>
        <v>27819.679264066093</v>
      </c>
      <c r="Z55" s="49">
        <f t="shared" si="32"/>
        <v>9.5328247967879283E+19</v>
      </c>
      <c r="AA55" s="49">
        <f t="shared" si="33"/>
        <v>120.34363687544489</v>
      </c>
      <c r="AB55" s="46">
        <f t="shared" si="34"/>
        <v>2.5449970636113088E-2</v>
      </c>
      <c r="AC55" s="47">
        <f t="shared" si="35"/>
        <v>9.1967570883537728E-2</v>
      </c>
      <c r="AD55" s="50">
        <f t="shared" si="36"/>
        <v>0.29394567021264928</v>
      </c>
      <c r="AE55" s="50">
        <f t="shared" si="37"/>
        <v>0.21686467491289277</v>
      </c>
      <c r="AF55" s="50">
        <f t="shared" si="38"/>
        <v>0.6683644872196306</v>
      </c>
      <c r="AG55" s="50">
        <f t="shared" si="39"/>
        <v>1.0895128149323363</v>
      </c>
      <c r="AH55" s="50">
        <f t="shared" si="40"/>
        <v>0.21686467491289277</v>
      </c>
      <c r="AI55" s="50">
        <f t="shared" si="41"/>
        <v>0.36024293227262322</v>
      </c>
      <c r="AJ55" s="50">
        <f t="shared" si="42"/>
        <v>0.14337825735973045</v>
      </c>
      <c r="AK55" s="50">
        <f t="shared" si="43"/>
        <v>5.3576996309968274</v>
      </c>
      <c r="AL55" s="50">
        <f t="shared" si="44"/>
        <v>2.0428365279981309</v>
      </c>
      <c r="AM55" s="50">
        <f t="shared" si="45"/>
        <v>0.3674320877658116</v>
      </c>
      <c r="AN55" s="50">
        <f t="shared" si="46"/>
        <v>1</v>
      </c>
      <c r="AO55" s="50">
        <f t="shared" si="47"/>
        <v>5.4549024326353699</v>
      </c>
      <c r="AP55" s="50">
        <f t="shared" si="48"/>
        <v>5.0387784493018284E-2</v>
      </c>
      <c r="AQ55" s="50">
        <f t="shared" si="49"/>
        <v>66.148801319654453</v>
      </c>
    </row>
    <row r="56" spans="2:43" x14ac:dyDescent="0.25">
      <c r="C56" s="60" t="s">
        <v>9</v>
      </c>
      <c r="D56" s="60" t="s">
        <v>19</v>
      </c>
      <c r="E56" s="60" t="s">
        <v>57</v>
      </c>
      <c r="V56">
        <v>5</v>
      </c>
      <c r="W56" s="48">
        <f t="shared" si="30"/>
        <v>36</v>
      </c>
      <c r="X56" s="47">
        <f t="shared" si="31"/>
        <v>1.5623610061757989</v>
      </c>
      <c r="Y56" s="48">
        <f t="shared" si="50"/>
        <v>37092.905685421458</v>
      </c>
      <c r="Z56" s="49">
        <f t="shared" si="32"/>
        <v>1.4673005602486883E+20</v>
      </c>
      <c r="AA56" s="49">
        <f t="shared" si="33"/>
        <v>1.2061556244042193</v>
      </c>
      <c r="AB56" s="46">
        <f t="shared" si="34"/>
        <v>2.4114324542863885E-2</v>
      </c>
      <c r="AC56" s="47">
        <f t="shared" si="35"/>
        <v>0.15491733057431245</v>
      </c>
      <c r="AD56" s="50">
        <f t="shared" si="36"/>
        <v>0.2867565147194609</v>
      </c>
      <c r="AE56" s="50">
        <f t="shared" si="37"/>
        <v>0.21237145272965002</v>
      </c>
      <c r="AF56" s="50">
        <f t="shared" si="38"/>
        <v>0.66701652056465777</v>
      </c>
      <c r="AG56" s="50">
        <f t="shared" si="39"/>
        <v>1.0823236594391479</v>
      </c>
      <c r="AH56" s="50">
        <f t="shared" si="40"/>
        <v>0.21237145272965002</v>
      </c>
      <c r="AI56" s="50">
        <f t="shared" si="41"/>
        <v>0.35305377677943484</v>
      </c>
      <c r="AJ56" s="50">
        <f t="shared" si="42"/>
        <v>0.14068232404978478</v>
      </c>
      <c r="AK56" s="50">
        <f t="shared" si="43"/>
        <v>5.3442199644470989</v>
      </c>
      <c r="AL56" s="50">
        <f t="shared" si="44"/>
        <v>2.0293568614484023</v>
      </c>
      <c r="AM56" s="50">
        <f t="shared" si="45"/>
        <v>0.35844564339932611</v>
      </c>
      <c r="AN56" s="50">
        <f t="shared" si="46"/>
        <v>1</v>
      </c>
      <c r="AO56" s="50">
        <f t="shared" si="47"/>
        <v>5.4185073329511031</v>
      </c>
      <c r="AP56" s="50">
        <f t="shared" si="48"/>
        <v>8.8980617388824665E-2</v>
      </c>
      <c r="AQ56" s="50">
        <f t="shared" si="49"/>
        <v>66.376243431622584</v>
      </c>
    </row>
    <row r="57" spans="2:43" x14ac:dyDescent="0.25">
      <c r="C57" s="40">
        <v>0</v>
      </c>
      <c r="D57" s="40">
        <v>150</v>
      </c>
      <c r="E57" s="40">
        <v>20.000000000000007</v>
      </c>
      <c r="J57" s="22" t="s">
        <v>116</v>
      </c>
      <c r="V57">
        <v>6</v>
      </c>
      <c r="W57" s="48">
        <f t="shared" si="30"/>
        <v>45</v>
      </c>
      <c r="X57" s="47">
        <f t="shared" si="31"/>
        <v>1.9529512577197488</v>
      </c>
      <c r="Y57" s="48">
        <f t="shared" si="50"/>
        <v>46366.132106776829</v>
      </c>
      <c r="Z57" s="49">
        <f t="shared" si="32"/>
        <v>1.9964851311038412E+20</v>
      </c>
      <c r="AA57" s="49">
        <f t="shared" si="33"/>
        <v>3.3950262628860348E-2</v>
      </c>
      <c r="AB57" s="46">
        <f t="shared" si="34"/>
        <v>2.3203672491112659E-2</v>
      </c>
      <c r="AC57" s="47">
        <f t="shared" si="35"/>
        <v>0.23291725133736044</v>
      </c>
      <c r="AD57" s="50">
        <f t="shared" si="36"/>
        <v>0.28244302142354782</v>
      </c>
      <c r="AE57" s="50">
        <f t="shared" si="37"/>
        <v>0.20967551941970439</v>
      </c>
      <c r="AF57" s="50">
        <f t="shared" si="38"/>
        <v>0.66620774057167409</v>
      </c>
      <c r="AG57" s="50">
        <f t="shared" si="39"/>
        <v>1.0780101661432349</v>
      </c>
      <c r="AH57" s="50">
        <f t="shared" si="40"/>
        <v>0.20967551941970439</v>
      </c>
      <c r="AI57" s="50">
        <f t="shared" si="41"/>
        <v>0.34874028348352176</v>
      </c>
      <c r="AJ57" s="50">
        <f t="shared" si="42"/>
        <v>0.1390647640638174</v>
      </c>
      <c r="AK57" s="50">
        <f t="shared" si="43"/>
        <v>5.3361321645172621</v>
      </c>
      <c r="AL57" s="50">
        <f t="shared" si="44"/>
        <v>2.0212690615185656</v>
      </c>
      <c r="AM57" s="50">
        <f t="shared" si="45"/>
        <v>0.35305377677943484</v>
      </c>
      <c r="AN57" s="50">
        <f t="shared" si="46"/>
        <v>1</v>
      </c>
      <c r="AO57" s="50">
        <f t="shared" si="47"/>
        <v>5.3966702731405434</v>
      </c>
      <c r="AP57" s="50">
        <f t="shared" si="48"/>
        <v>0.13847190265036455</v>
      </c>
      <c r="AQ57" s="50">
        <f t="shared" si="49"/>
        <v>66.659734479173267</v>
      </c>
    </row>
    <row r="58" spans="2:43" x14ac:dyDescent="0.25">
      <c r="C58" s="40">
        <v>20</v>
      </c>
      <c r="D58" s="40">
        <v>147</v>
      </c>
      <c r="E58" s="40">
        <v>28</v>
      </c>
      <c r="J58" t="s">
        <v>8</v>
      </c>
      <c r="M58" s="61">
        <f>IFERROR(AC23,"")</f>
        <v>108.82060732034779</v>
      </c>
      <c r="N58" s="24" t="s">
        <v>10</v>
      </c>
      <c r="V58">
        <v>7</v>
      </c>
      <c r="W58" s="48">
        <f t="shared" si="30"/>
        <v>54</v>
      </c>
      <c r="X58" s="47">
        <f t="shared" si="31"/>
        <v>2.3435415092636984</v>
      </c>
      <c r="Y58" s="48">
        <f t="shared" si="50"/>
        <v>55639.358528132187</v>
      </c>
      <c r="Z58" s="49">
        <f t="shared" si="32"/>
        <v>2.5232946051313644E+20</v>
      </c>
      <c r="AA58" s="49">
        <f t="shared" si="33"/>
        <v>1.8362981700965101E-3</v>
      </c>
      <c r="AB58" s="46">
        <f t="shared" si="34"/>
        <v>2.2534295864484157E-2</v>
      </c>
      <c r="AC58" s="47">
        <f t="shared" si="35"/>
        <v>0.32572524060783348</v>
      </c>
      <c r="AD58" s="50">
        <f t="shared" si="36"/>
        <v>0.27956735922627246</v>
      </c>
      <c r="AE58" s="50">
        <f t="shared" si="37"/>
        <v>0.20787823054640728</v>
      </c>
      <c r="AF58" s="50">
        <f t="shared" si="38"/>
        <v>0.66566855390968493</v>
      </c>
      <c r="AG58" s="50">
        <f t="shared" si="39"/>
        <v>1.0751345039459597</v>
      </c>
      <c r="AH58" s="50">
        <f t="shared" si="40"/>
        <v>0.20787823054640728</v>
      </c>
      <c r="AI58" s="50">
        <f t="shared" si="41"/>
        <v>0.3458646212862464</v>
      </c>
      <c r="AJ58" s="50">
        <f t="shared" si="42"/>
        <v>0.13798639073983915</v>
      </c>
      <c r="AK58" s="50">
        <f t="shared" si="43"/>
        <v>5.3307402978973704</v>
      </c>
      <c r="AL58" s="50">
        <f t="shared" si="44"/>
        <v>2.0158771948986742</v>
      </c>
      <c r="AM58" s="50">
        <f t="shared" si="45"/>
        <v>0.34945919903284062</v>
      </c>
      <c r="AN58" s="50">
        <f t="shared" si="46"/>
        <v>1</v>
      </c>
      <c r="AO58" s="50">
        <f t="shared" si="47"/>
        <v>5.3821122332668381</v>
      </c>
      <c r="AP58" s="50">
        <f t="shared" si="48"/>
        <v>0.19886164027763797</v>
      </c>
      <c r="AQ58" s="50">
        <f t="shared" si="49"/>
        <v>66.998548184611963</v>
      </c>
    </row>
    <row r="59" spans="2:43" x14ac:dyDescent="0.25">
      <c r="C59" s="40">
        <v>50</v>
      </c>
      <c r="D59" s="40">
        <v>140</v>
      </c>
      <c r="E59" s="40">
        <v>37</v>
      </c>
      <c r="J59" t="s">
        <v>56</v>
      </c>
      <c r="M59" s="27">
        <f>IFERROR(AF23,"")</f>
        <v>115.34771360841758</v>
      </c>
      <c r="N59" s="24" t="s">
        <v>19</v>
      </c>
      <c r="V59">
        <v>8</v>
      </c>
      <c r="W59" s="48">
        <f t="shared" si="30"/>
        <v>63</v>
      </c>
      <c r="X59" s="47">
        <f t="shared" si="31"/>
        <v>2.7341317608076485</v>
      </c>
      <c r="Y59" s="48">
        <f t="shared" si="50"/>
        <v>64912.584949487566</v>
      </c>
      <c r="Z59" s="49">
        <f t="shared" si="32"/>
        <v>3.0381474933605401E+20</v>
      </c>
      <c r="AA59" s="49">
        <f t="shared" si="33"/>
        <v>1.5588149681392284E-4</v>
      </c>
      <c r="AB59" s="46">
        <f t="shared" si="34"/>
        <v>2.2017290887988778E-2</v>
      </c>
      <c r="AC59" s="47">
        <f t="shared" si="35"/>
        <v>0.43317649306934863</v>
      </c>
      <c r="AD59" s="50">
        <f t="shared" si="36"/>
        <v>0.27751331479964725</v>
      </c>
      <c r="AE59" s="50">
        <f t="shared" si="37"/>
        <v>0.20659445277976649</v>
      </c>
      <c r="AF59" s="50">
        <f t="shared" si="38"/>
        <v>0.6652834205796927</v>
      </c>
      <c r="AG59" s="50">
        <f t="shared" si="39"/>
        <v>1.0730804595193344</v>
      </c>
      <c r="AH59" s="50">
        <f t="shared" si="40"/>
        <v>0.20659445277976649</v>
      </c>
      <c r="AI59" s="50">
        <f t="shared" si="41"/>
        <v>0.34381057685962119</v>
      </c>
      <c r="AJ59" s="50">
        <f t="shared" si="42"/>
        <v>0.13721612407985467</v>
      </c>
      <c r="AK59" s="50">
        <f t="shared" si="43"/>
        <v>5.3268889645974484</v>
      </c>
      <c r="AL59" s="50">
        <f t="shared" si="44"/>
        <v>2.0120258615987519</v>
      </c>
      <c r="AM59" s="50">
        <f t="shared" si="45"/>
        <v>0.34689164349955903</v>
      </c>
      <c r="AN59" s="50">
        <f t="shared" si="46"/>
        <v>1</v>
      </c>
      <c r="AO59" s="50">
        <f t="shared" si="47"/>
        <v>5.3717136333570483</v>
      </c>
      <c r="AP59" s="50">
        <f t="shared" si="48"/>
        <v>0.27014983027064493</v>
      </c>
      <c r="AQ59" s="50">
        <f t="shared" si="49"/>
        <v>67.392190131989508</v>
      </c>
    </row>
    <row r="60" spans="2:43" x14ac:dyDescent="0.25">
      <c r="C60" s="40">
        <v>80</v>
      </c>
      <c r="D60" s="40">
        <v>129</v>
      </c>
      <c r="E60" s="40">
        <v>43</v>
      </c>
      <c r="J60" t="s">
        <v>79</v>
      </c>
      <c r="M60" s="28">
        <f>IFERROR(AH18,"")</f>
        <v>45.54290566636638</v>
      </c>
      <c r="N60" s="24" t="s">
        <v>57</v>
      </c>
      <c r="V60">
        <v>9</v>
      </c>
      <c r="W60" s="48">
        <f t="shared" si="30"/>
        <v>72</v>
      </c>
      <c r="X60" s="47">
        <f t="shared" si="31"/>
        <v>3.1247220123515977</v>
      </c>
      <c r="Y60" s="48">
        <f t="shared" si="50"/>
        <v>74185.811370842915</v>
      </c>
      <c r="Z60" s="49">
        <f t="shared" si="32"/>
        <v>3.5359170065683002E+20</v>
      </c>
      <c r="AA60" s="49">
        <f t="shared" si="33"/>
        <v>1.840447424933196E-5</v>
      </c>
      <c r="AB60" s="46">
        <f t="shared" si="34"/>
        <v>2.1603654798012805E-2</v>
      </c>
      <c r="AC60" s="47">
        <f t="shared" si="35"/>
        <v>0.55515227490748664</v>
      </c>
      <c r="AD60" s="50">
        <f t="shared" si="36"/>
        <v>0.2759727814796783</v>
      </c>
      <c r="AE60" s="50">
        <f t="shared" si="37"/>
        <v>0.20563161945478592</v>
      </c>
      <c r="AF60" s="50">
        <f t="shared" si="38"/>
        <v>0.66499457058219846</v>
      </c>
      <c r="AG60" s="50">
        <f t="shared" si="39"/>
        <v>1.0715399261993654</v>
      </c>
      <c r="AH60" s="50">
        <f t="shared" si="40"/>
        <v>0.20563161945478592</v>
      </c>
      <c r="AI60" s="50">
        <f t="shared" si="41"/>
        <v>0.34227004353965224</v>
      </c>
      <c r="AJ60" s="50">
        <f t="shared" si="42"/>
        <v>0.13663842408486632</v>
      </c>
      <c r="AK60" s="50">
        <f t="shared" si="43"/>
        <v>5.3240004646225065</v>
      </c>
      <c r="AL60" s="50">
        <f t="shared" si="44"/>
        <v>2.00913736162381</v>
      </c>
      <c r="AM60" s="50">
        <f t="shared" si="45"/>
        <v>0.3449659768495979</v>
      </c>
      <c r="AN60" s="50">
        <f t="shared" si="46"/>
        <v>1</v>
      </c>
      <c r="AO60" s="50">
        <f t="shared" si="47"/>
        <v>5.3639146834247047</v>
      </c>
      <c r="AP60" s="50">
        <f t="shared" si="48"/>
        <v>0.35233647262938511</v>
      </c>
      <c r="AQ60" s="50">
        <f t="shared" si="49"/>
        <v>67.840304119862665</v>
      </c>
    </row>
    <row r="61" spans="2:43" x14ac:dyDescent="0.25">
      <c r="C61" s="40">
        <v>100</v>
      </c>
      <c r="D61" s="40">
        <v>120</v>
      </c>
      <c r="E61" s="40">
        <v>45.000000000000007</v>
      </c>
      <c r="J61" t="s">
        <v>119</v>
      </c>
      <c r="M61" s="28">
        <f>IFERROR(M58*M59*(E11/62.4)/3960,"")</f>
        <v>3.169749557545845</v>
      </c>
      <c r="N61" s="24" t="s">
        <v>54</v>
      </c>
      <c r="V61">
        <v>10</v>
      </c>
      <c r="W61" s="48">
        <f t="shared" si="30"/>
        <v>81</v>
      </c>
      <c r="X61" s="47">
        <f t="shared" si="31"/>
        <v>3.5153122638955474</v>
      </c>
      <c r="Y61" s="48">
        <f t="shared" si="50"/>
        <v>83459.037792198273</v>
      </c>
      <c r="Z61" s="49">
        <f t="shared" si="32"/>
        <v>4.0140524423371738E+20</v>
      </c>
      <c r="AA61" s="49">
        <f t="shared" si="33"/>
        <v>2.7956516566138686E-6</v>
      </c>
      <c r="AB61" s="46">
        <f t="shared" si="34"/>
        <v>2.1263860121885483E-2</v>
      </c>
      <c r="AC61" s="47">
        <f t="shared" si="35"/>
        <v>0.69156347246152472</v>
      </c>
      <c r="AD61" s="50">
        <f t="shared" si="36"/>
        <v>0.27477458889748024</v>
      </c>
      <c r="AE61" s="50">
        <f t="shared" si="37"/>
        <v>0.20488274909091211</v>
      </c>
      <c r="AF61" s="50">
        <f t="shared" si="38"/>
        <v>0.66476990947303638</v>
      </c>
      <c r="AG61" s="50">
        <f t="shared" si="39"/>
        <v>1.0703417336171672</v>
      </c>
      <c r="AH61" s="50">
        <f t="shared" si="40"/>
        <v>0.20488274909091211</v>
      </c>
      <c r="AI61" s="50">
        <f t="shared" si="41"/>
        <v>0.34107185095745418</v>
      </c>
      <c r="AJ61" s="50">
        <f t="shared" si="42"/>
        <v>0.13618910186654204</v>
      </c>
      <c r="AK61" s="50">
        <f t="shared" si="43"/>
        <v>5.3217538535308853</v>
      </c>
      <c r="AL61" s="50">
        <f t="shared" si="44"/>
        <v>2.0068907505321887</v>
      </c>
      <c r="AM61" s="50">
        <f t="shared" si="45"/>
        <v>0.34346823612185029</v>
      </c>
      <c r="AN61" s="50">
        <f t="shared" si="46"/>
        <v>1</v>
      </c>
      <c r="AO61" s="50">
        <f t="shared" si="47"/>
        <v>5.3578488334773269</v>
      </c>
      <c r="AP61" s="50">
        <f t="shared" si="48"/>
        <v>0.44542156735385896</v>
      </c>
      <c r="AQ61" s="50">
        <f t="shared" si="49"/>
        <v>68.342622807249256</v>
      </c>
    </row>
    <row r="62" spans="2:43" x14ac:dyDescent="0.25">
      <c r="C62" s="40">
        <v>150</v>
      </c>
      <c r="D62" s="40">
        <v>90</v>
      </c>
      <c r="E62" s="40">
        <v>44</v>
      </c>
      <c r="J62" t="s">
        <v>120</v>
      </c>
      <c r="M62" s="34">
        <f>IFERROR(M61/(M60/100),"")</f>
        <v>6.9599194675159204</v>
      </c>
      <c r="N62" s="24" t="s">
        <v>54</v>
      </c>
      <c r="V62">
        <v>11</v>
      </c>
      <c r="W62" s="48">
        <f t="shared" si="30"/>
        <v>90</v>
      </c>
      <c r="X62" s="47">
        <f t="shared" si="31"/>
        <v>3.9059025154394975</v>
      </c>
      <c r="Y62" s="48">
        <f t="shared" si="50"/>
        <v>92732.264213553659</v>
      </c>
      <c r="Z62" s="49">
        <f t="shared" si="32"/>
        <v>4.471522311602505E+20</v>
      </c>
      <c r="AA62" s="49">
        <f t="shared" si="33"/>
        <v>5.1803989607025677E-7</v>
      </c>
      <c r="AB62" s="46">
        <f t="shared" si="34"/>
        <v>2.0978916854537139E-2</v>
      </c>
      <c r="AC62" s="47">
        <f t="shared" si="35"/>
        <v>0.84234108228606597</v>
      </c>
      <c r="AD62" s="50">
        <f t="shared" si="36"/>
        <v>0.27381603483172179</v>
      </c>
      <c r="AE62" s="50">
        <f t="shared" si="37"/>
        <v>0.20428365279981309</v>
      </c>
      <c r="AF62" s="50">
        <f t="shared" si="38"/>
        <v>0.66459018058570662</v>
      </c>
      <c r="AG62" s="50">
        <f t="shared" si="39"/>
        <v>1.0693831795514088</v>
      </c>
      <c r="AH62" s="50">
        <f t="shared" si="40"/>
        <v>0.20428365279981309</v>
      </c>
      <c r="AI62" s="50">
        <f t="shared" si="41"/>
        <v>0.34011329689169573</v>
      </c>
      <c r="AJ62" s="50">
        <f t="shared" si="42"/>
        <v>0.13582964409188261</v>
      </c>
      <c r="AK62" s="50">
        <f t="shared" si="43"/>
        <v>5.3199565646575877</v>
      </c>
      <c r="AL62" s="50">
        <f t="shared" si="44"/>
        <v>2.0050934616588916</v>
      </c>
      <c r="AM62" s="50">
        <f t="shared" si="45"/>
        <v>0.34227004353965224</v>
      </c>
      <c r="AN62" s="50">
        <f t="shared" si="46"/>
        <v>1</v>
      </c>
      <c r="AO62" s="50">
        <f t="shared" si="47"/>
        <v>5.3529961535194248</v>
      </c>
      <c r="AP62" s="50">
        <f t="shared" si="48"/>
        <v>0.54940511444406626</v>
      </c>
      <c r="AQ62" s="50">
        <f t="shared" si="49"/>
        <v>68.898939183813084</v>
      </c>
    </row>
    <row r="63" spans="2:43" x14ac:dyDescent="0.25">
      <c r="C63" s="40">
        <v>180</v>
      </c>
      <c r="D63" s="40">
        <v>67</v>
      </c>
      <c r="E63" s="40">
        <v>40</v>
      </c>
      <c r="V63">
        <v>12</v>
      </c>
      <c r="W63" s="48">
        <f t="shared" si="30"/>
        <v>99</v>
      </c>
      <c r="X63" s="47">
        <f t="shared" si="31"/>
        <v>4.2964927669834472</v>
      </c>
      <c r="Y63" s="48">
        <f t="shared" si="50"/>
        <v>102005.49063490902</v>
      </c>
      <c r="Z63" s="49">
        <f t="shared" si="32"/>
        <v>4.9081976024874759E+20</v>
      </c>
      <c r="AA63" s="49">
        <f t="shared" si="33"/>
        <v>1.1274057488658865E-7</v>
      </c>
      <c r="AB63" s="46">
        <f t="shared" si="34"/>
        <v>2.0735987964601608E-2</v>
      </c>
      <c r="AC63" s="47">
        <f t="shared" si="35"/>
        <v>1.0074303332834322</v>
      </c>
      <c r="AD63" s="50">
        <f t="shared" si="36"/>
        <v>0.27303176332337392</v>
      </c>
      <c r="AE63" s="50">
        <f t="shared" si="37"/>
        <v>0.20379348310709569</v>
      </c>
      <c r="AF63" s="50">
        <f t="shared" si="38"/>
        <v>0.66444312967789143</v>
      </c>
      <c r="AG63" s="50">
        <f t="shared" si="39"/>
        <v>1.0685989080430611</v>
      </c>
      <c r="AH63" s="50">
        <f t="shared" si="40"/>
        <v>0.20379348310709569</v>
      </c>
      <c r="AI63" s="50">
        <f t="shared" si="41"/>
        <v>0.33932902538334786</v>
      </c>
      <c r="AJ63" s="50">
        <f t="shared" si="42"/>
        <v>0.1355355422762522</v>
      </c>
      <c r="AK63" s="50">
        <f t="shared" si="43"/>
        <v>5.3184860555794362</v>
      </c>
      <c r="AL63" s="50">
        <f t="shared" si="44"/>
        <v>2.0036229525807396</v>
      </c>
      <c r="AM63" s="50">
        <f t="shared" si="45"/>
        <v>0.34128970415421744</v>
      </c>
      <c r="AN63" s="50">
        <f t="shared" si="46"/>
        <v>1</v>
      </c>
      <c r="AO63" s="50">
        <f t="shared" si="47"/>
        <v>5.3490257790084144</v>
      </c>
      <c r="AP63" s="50">
        <f t="shared" si="48"/>
        <v>0.66428711390000716</v>
      </c>
      <c r="AQ63" s="50">
        <f t="shared" si="49"/>
        <v>69.509088936261122</v>
      </c>
    </row>
    <row r="64" spans="2:43" x14ac:dyDescent="0.25">
      <c r="C64" s="40">
        <v>200</v>
      </c>
      <c r="D64" s="40">
        <v>50</v>
      </c>
      <c r="E64" s="40">
        <v>34.999999999999993</v>
      </c>
      <c r="V64">
        <v>13</v>
      </c>
      <c r="W64" s="48">
        <f t="shared" si="30"/>
        <v>108</v>
      </c>
      <c r="X64" s="47">
        <f t="shared" si="31"/>
        <v>4.6870830185273968</v>
      </c>
      <c r="Y64" s="48">
        <f t="shared" si="50"/>
        <v>111278.71705626437</v>
      </c>
      <c r="Z64" s="49">
        <f t="shared" si="32"/>
        <v>5.3244818972422747E+20</v>
      </c>
      <c r="AA64" s="49">
        <f t="shared" si="33"/>
        <v>2.8019686433357393E-8</v>
      </c>
      <c r="AB64" s="46">
        <f t="shared" si="34"/>
        <v>2.0526046935465482E-2</v>
      </c>
      <c r="AC64" s="47">
        <f t="shared" si="35"/>
        <v>1.186786863364053</v>
      </c>
      <c r="AD64" s="50">
        <f t="shared" si="36"/>
        <v>0.27237820373308408</v>
      </c>
      <c r="AE64" s="50">
        <f t="shared" si="37"/>
        <v>0.20338500836316453</v>
      </c>
      <c r="AF64" s="50">
        <f t="shared" si="38"/>
        <v>0.6643205872547121</v>
      </c>
      <c r="AG64" s="50">
        <f t="shared" si="39"/>
        <v>1.0679453484527712</v>
      </c>
      <c r="AH64" s="50">
        <f t="shared" si="40"/>
        <v>0.20338500836316453</v>
      </c>
      <c r="AI64" s="50">
        <f t="shared" si="41"/>
        <v>0.33867546579305802</v>
      </c>
      <c r="AJ64" s="50">
        <f t="shared" si="42"/>
        <v>0.13529045742989348</v>
      </c>
      <c r="AK64" s="50">
        <f t="shared" si="43"/>
        <v>5.3172606313476427</v>
      </c>
      <c r="AL64" s="50">
        <f t="shared" si="44"/>
        <v>2.0023975283489461</v>
      </c>
      <c r="AM64" s="50">
        <f t="shared" si="45"/>
        <v>0.34047275466635513</v>
      </c>
      <c r="AN64" s="50">
        <f t="shared" si="46"/>
        <v>1</v>
      </c>
      <c r="AO64" s="50">
        <f t="shared" si="47"/>
        <v>5.3457171335825713</v>
      </c>
      <c r="AP64" s="50">
        <f t="shared" si="48"/>
        <v>0.79006756572168135</v>
      </c>
      <c r="AQ64" s="50">
        <f t="shared" si="49"/>
        <v>70.172938978324666</v>
      </c>
    </row>
    <row r="65" spans="3:43" x14ac:dyDescent="0.25">
      <c r="C65" s="39"/>
      <c r="D65" s="39"/>
      <c r="E65" s="39"/>
      <c r="V65">
        <v>14</v>
      </c>
      <c r="W65" s="48">
        <f t="shared" si="30"/>
        <v>117</v>
      </c>
      <c r="X65" s="47">
        <f t="shared" si="31"/>
        <v>5.0776732700713465</v>
      </c>
      <c r="Y65" s="48">
        <f t="shared" si="50"/>
        <v>120551.94347761974</v>
      </c>
      <c r="Z65" s="49">
        <f t="shared" si="32"/>
        <v>5.7210850923049655E+20</v>
      </c>
      <c r="AA65" s="49">
        <f t="shared" si="33"/>
        <v>7.785196355500783E-9</v>
      </c>
      <c r="AB65" s="46">
        <f t="shared" si="34"/>
        <v>2.0342540349014712E-2</v>
      </c>
      <c r="AC65" s="47">
        <f t="shared" si="35"/>
        <v>1.3803741298044951</v>
      </c>
      <c r="AD65" s="50">
        <f t="shared" si="36"/>
        <v>0.2718251917720696</v>
      </c>
      <c r="AE65" s="50">
        <f t="shared" si="37"/>
        <v>0.20303937588753049</v>
      </c>
      <c r="AF65" s="50">
        <f t="shared" si="38"/>
        <v>0.66421689751202184</v>
      </c>
      <c r="AG65" s="50">
        <f t="shared" si="39"/>
        <v>1.0673923364917568</v>
      </c>
      <c r="AH65" s="50">
        <f t="shared" si="40"/>
        <v>0.20303937588753049</v>
      </c>
      <c r="AI65" s="50">
        <f t="shared" si="41"/>
        <v>0.33812245383204353</v>
      </c>
      <c r="AJ65" s="50">
        <f t="shared" si="42"/>
        <v>0.13508307794451307</v>
      </c>
      <c r="AK65" s="50">
        <f t="shared" si="43"/>
        <v>5.3162237339207401</v>
      </c>
      <c r="AL65" s="50">
        <f t="shared" si="44"/>
        <v>2.001360630922044</v>
      </c>
      <c r="AM65" s="50">
        <f t="shared" si="45"/>
        <v>0.33978148971508704</v>
      </c>
      <c r="AN65" s="50">
        <f t="shared" si="46"/>
        <v>1</v>
      </c>
      <c r="AO65" s="50">
        <f t="shared" si="47"/>
        <v>5.3429175105299356</v>
      </c>
      <c r="AP65" s="50">
        <f t="shared" si="48"/>
        <v>0.92674646990908904</v>
      </c>
      <c r="AQ65" s="50">
        <f t="shared" si="49"/>
        <v>70.890379681833394</v>
      </c>
    </row>
    <row r="66" spans="3:43" x14ac:dyDescent="0.25">
      <c r="C66" s="39"/>
      <c r="D66" s="39"/>
      <c r="E66" s="39"/>
      <c r="V66">
        <v>15</v>
      </c>
      <c r="W66" s="48">
        <f t="shared" si="30"/>
        <v>126</v>
      </c>
      <c r="X66" s="47">
        <f t="shared" si="31"/>
        <v>5.4682635216152971</v>
      </c>
      <c r="Y66" s="48">
        <f t="shared" si="50"/>
        <v>129825.16989897513</v>
      </c>
      <c r="Z66" s="49">
        <f t="shared" si="32"/>
        <v>6.0988831377802186E+20</v>
      </c>
      <c r="AA66" s="49">
        <f t="shared" si="33"/>
        <v>2.3785628786304144E-9</v>
      </c>
      <c r="AB66" s="46">
        <f t="shared" si="34"/>
        <v>2.0180582513598118E-2</v>
      </c>
      <c r="AC66" s="47">
        <f t="shared" si="35"/>
        <v>1.5881615964125713</v>
      </c>
      <c r="AD66" s="50">
        <f t="shared" si="36"/>
        <v>0.27135118151977144</v>
      </c>
      <c r="AE66" s="50">
        <f t="shared" si="37"/>
        <v>0.20274311947984414</v>
      </c>
      <c r="AF66" s="50">
        <f t="shared" si="38"/>
        <v>0.66412802058971598</v>
      </c>
      <c r="AG66" s="50">
        <f t="shared" si="39"/>
        <v>1.0669183262394586</v>
      </c>
      <c r="AH66" s="50">
        <f t="shared" si="40"/>
        <v>0.20274311947984414</v>
      </c>
      <c r="AI66" s="50">
        <f t="shared" si="41"/>
        <v>0.33764844357974538</v>
      </c>
      <c r="AJ66" s="50">
        <f t="shared" si="42"/>
        <v>0.13490532409990125</v>
      </c>
      <c r="AK66" s="50">
        <f t="shared" si="43"/>
        <v>5.3153349646976809</v>
      </c>
      <c r="AL66" s="50">
        <f t="shared" si="44"/>
        <v>2.0004718616989847</v>
      </c>
      <c r="AM66" s="50">
        <f t="shared" si="45"/>
        <v>0.33918897689971433</v>
      </c>
      <c r="AN66" s="50">
        <f t="shared" si="46"/>
        <v>1</v>
      </c>
      <c r="AO66" s="50">
        <f t="shared" si="47"/>
        <v>5.3405178336276755</v>
      </c>
      <c r="AP66" s="50">
        <f t="shared" si="48"/>
        <v>1.0743238264622306</v>
      </c>
      <c r="AQ66" s="50">
        <f t="shared" si="49"/>
        <v>71.661319438210768</v>
      </c>
    </row>
    <row r="67" spans="3:43" x14ac:dyDescent="0.25">
      <c r="V67">
        <v>16</v>
      </c>
      <c r="W67" s="48">
        <f t="shared" si="30"/>
        <v>135</v>
      </c>
      <c r="X67" s="47">
        <f t="shared" si="31"/>
        <v>5.8588537731592458</v>
      </c>
      <c r="Y67" s="48">
        <f t="shared" si="50"/>
        <v>139098.39632033047</v>
      </c>
      <c r="Z67" s="49">
        <f t="shared" si="32"/>
        <v>6.4588305253523469E+20</v>
      </c>
      <c r="AA67" s="49">
        <f t="shared" si="33"/>
        <v>7.8868405862691472E-10</v>
      </c>
      <c r="AB67" s="46">
        <f t="shared" si="34"/>
        <v>2.0036448794578745E-2</v>
      </c>
      <c r="AC67" s="47">
        <f t="shared" si="35"/>
        <v>1.810123429135738</v>
      </c>
      <c r="AD67" s="50">
        <f t="shared" si="36"/>
        <v>0.27094037263444642</v>
      </c>
      <c r="AE67" s="50">
        <f t="shared" si="37"/>
        <v>0.20248636392651598</v>
      </c>
      <c r="AF67" s="50">
        <f t="shared" si="38"/>
        <v>0.66405099392371758</v>
      </c>
      <c r="AG67" s="50">
        <f t="shared" si="39"/>
        <v>1.0665075173541334</v>
      </c>
      <c r="AH67" s="50">
        <f t="shared" si="40"/>
        <v>0.20248636392651598</v>
      </c>
      <c r="AI67" s="50">
        <f t="shared" si="41"/>
        <v>0.33723763469442036</v>
      </c>
      <c r="AJ67" s="50">
        <f t="shared" si="42"/>
        <v>0.13475127076790436</v>
      </c>
      <c r="AK67" s="50">
        <f t="shared" si="43"/>
        <v>5.3145646980376968</v>
      </c>
      <c r="AL67" s="50">
        <f t="shared" si="44"/>
        <v>1.9997015950390005</v>
      </c>
      <c r="AM67" s="50">
        <f t="shared" si="45"/>
        <v>0.33867546579305802</v>
      </c>
      <c r="AN67" s="50">
        <f t="shared" si="46"/>
        <v>1</v>
      </c>
      <c r="AO67" s="50">
        <f t="shared" si="47"/>
        <v>5.3384381136457177</v>
      </c>
      <c r="AP67" s="50">
        <f t="shared" si="48"/>
        <v>1.2327996353811048</v>
      </c>
      <c r="AQ67" s="50">
        <f t="shared" si="49"/>
        <v>72.485680745299135</v>
      </c>
    </row>
    <row r="68" spans="3:43" x14ac:dyDescent="0.25">
      <c r="V68">
        <v>17</v>
      </c>
      <c r="W68" s="48">
        <f t="shared" si="30"/>
        <v>144</v>
      </c>
      <c r="X68" s="47">
        <f t="shared" si="31"/>
        <v>6.2494440247031955</v>
      </c>
      <c r="Y68" s="48">
        <f t="shared" si="50"/>
        <v>148371.62274168583</v>
      </c>
      <c r="Z68" s="49">
        <f t="shared" si="32"/>
        <v>6.8019057290476139E+20</v>
      </c>
      <c r="AA68" s="49">
        <f t="shared" si="33"/>
        <v>2.808299903767694E-10</v>
      </c>
      <c r="AB68" s="46">
        <f t="shared" si="34"/>
        <v>1.9907244979166037E-2</v>
      </c>
      <c r="AC68" s="47">
        <f t="shared" si="35"/>
        <v>2.0462375353898423</v>
      </c>
      <c r="AD68" s="50">
        <f t="shared" si="36"/>
        <v>0.27058091485978697</v>
      </c>
      <c r="AE68" s="50">
        <f t="shared" si="37"/>
        <v>0.20226170281735384</v>
      </c>
      <c r="AF68" s="50">
        <f t="shared" si="38"/>
        <v>0.66398359559096887</v>
      </c>
      <c r="AG68" s="50">
        <f t="shared" si="39"/>
        <v>1.0661480595794741</v>
      </c>
      <c r="AH68" s="50">
        <f t="shared" si="40"/>
        <v>0.20226170281735384</v>
      </c>
      <c r="AI68" s="50">
        <f t="shared" si="41"/>
        <v>0.33687817691976091</v>
      </c>
      <c r="AJ68" s="50">
        <f t="shared" si="42"/>
        <v>0.1346164741024071</v>
      </c>
      <c r="AK68" s="50">
        <f t="shared" si="43"/>
        <v>5.3138907147102099</v>
      </c>
      <c r="AL68" s="50">
        <f t="shared" si="44"/>
        <v>1.999027611711514</v>
      </c>
      <c r="AM68" s="50">
        <f t="shared" si="45"/>
        <v>0.33822614357473374</v>
      </c>
      <c r="AN68" s="50">
        <f t="shared" si="46"/>
        <v>1</v>
      </c>
      <c r="AO68" s="50">
        <f t="shared" si="47"/>
        <v>5.3366183586615046</v>
      </c>
      <c r="AP68" s="50">
        <f t="shared" si="48"/>
        <v>1.4021738966657131</v>
      </c>
      <c r="AQ68" s="50">
        <f t="shared" si="49"/>
        <v>73.363397325346057</v>
      </c>
    </row>
    <row r="69" spans="3:43" x14ac:dyDescent="0.25">
      <c r="V69">
        <v>18</v>
      </c>
      <c r="W69" s="48">
        <f t="shared" si="30"/>
        <v>153</v>
      </c>
      <c r="X69" s="47">
        <f t="shared" si="31"/>
        <v>6.640034276247146</v>
      </c>
      <c r="Y69" s="48">
        <f t="shared" si="50"/>
        <v>157644.84916304122</v>
      </c>
      <c r="Z69" s="49">
        <f t="shared" si="32"/>
        <v>7.1290775288042448E+20</v>
      </c>
      <c r="AA69" s="49">
        <f t="shared" si="33"/>
        <v>1.0645853011448835E-10</v>
      </c>
      <c r="AB69" s="46">
        <f t="shared" si="34"/>
        <v>1.9790684699566456E-2</v>
      </c>
      <c r="AC69" s="47">
        <f t="shared" si="35"/>
        <v>2.2964848422112012</v>
      </c>
      <c r="AD69" s="50">
        <f t="shared" si="36"/>
        <v>0.27026374623508748</v>
      </c>
      <c r="AE69" s="50">
        <f t="shared" si="37"/>
        <v>0.20206347242691666</v>
      </c>
      <c r="AF69" s="50">
        <f t="shared" si="38"/>
        <v>0.66392412647383769</v>
      </c>
      <c r="AG69" s="50">
        <f t="shared" si="39"/>
        <v>1.0658308909547747</v>
      </c>
      <c r="AH69" s="50">
        <f t="shared" si="40"/>
        <v>0.20206347242691666</v>
      </c>
      <c r="AI69" s="50">
        <f t="shared" si="41"/>
        <v>0.33656100829506141</v>
      </c>
      <c r="AJ69" s="50">
        <f t="shared" si="42"/>
        <v>0.13449753586814478</v>
      </c>
      <c r="AK69" s="50">
        <f t="shared" si="43"/>
        <v>5.3132960235388991</v>
      </c>
      <c r="AL69" s="50">
        <f t="shared" si="44"/>
        <v>1.9984329205402025</v>
      </c>
      <c r="AM69" s="50">
        <f t="shared" si="45"/>
        <v>0.33782968279385939</v>
      </c>
      <c r="AN69" s="50">
        <f t="shared" si="46"/>
        <v>1</v>
      </c>
      <c r="AO69" s="50">
        <f t="shared" si="47"/>
        <v>5.3350126924989638</v>
      </c>
      <c r="AP69" s="50">
        <f t="shared" si="48"/>
        <v>1.5824466103160553</v>
      </c>
      <c r="AQ69" s="50">
        <f t="shared" si="49"/>
        <v>74.294411959460476</v>
      </c>
    </row>
    <row r="70" spans="3:43" x14ac:dyDescent="0.25">
      <c r="V70">
        <v>19</v>
      </c>
      <c r="W70" s="48">
        <f t="shared" si="30"/>
        <v>162</v>
      </c>
      <c r="X70" s="47">
        <f t="shared" si="31"/>
        <v>7.0306245277910948</v>
      </c>
      <c r="Y70" s="48">
        <f t="shared" si="50"/>
        <v>166918.07558439655</v>
      </c>
      <c r="Z70" s="49">
        <f t="shared" si="32"/>
        <v>7.441284704857416E+20</v>
      </c>
      <c r="AA70" s="49">
        <f t="shared" si="33"/>
        <v>4.2658258920499705E-11</v>
      </c>
      <c r="AB70" s="46">
        <f t="shared" si="34"/>
        <v>1.9684935534011273E-2</v>
      </c>
      <c r="AC70" s="47">
        <f t="shared" si="35"/>
        <v>2.5608487443106798</v>
      </c>
      <c r="AD70" s="50">
        <f t="shared" si="36"/>
        <v>0.26998181856868797</v>
      </c>
      <c r="AE70" s="50">
        <f t="shared" si="37"/>
        <v>0.20188726763541695</v>
      </c>
      <c r="AF70" s="50">
        <f t="shared" si="38"/>
        <v>0.66387126503638783</v>
      </c>
      <c r="AG70" s="50">
        <f t="shared" si="39"/>
        <v>1.065548963288375</v>
      </c>
      <c r="AH70" s="50">
        <f t="shared" si="40"/>
        <v>0.20188726763541695</v>
      </c>
      <c r="AI70" s="50">
        <f t="shared" si="41"/>
        <v>0.33627908062866191</v>
      </c>
      <c r="AJ70" s="50">
        <f t="shared" si="42"/>
        <v>0.13439181299324496</v>
      </c>
      <c r="AK70" s="50">
        <f t="shared" si="43"/>
        <v>5.3127674091643993</v>
      </c>
      <c r="AL70" s="50">
        <f t="shared" si="44"/>
        <v>1.9979043061657034</v>
      </c>
      <c r="AM70" s="50">
        <f t="shared" si="45"/>
        <v>0.33747727321085996</v>
      </c>
      <c r="AN70" s="50">
        <f t="shared" si="46"/>
        <v>1</v>
      </c>
      <c r="AO70" s="50">
        <f t="shared" si="47"/>
        <v>5.3335854336878166</v>
      </c>
      <c r="AP70" s="50">
        <f t="shared" si="48"/>
        <v>1.7736177763321304</v>
      </c>
      <c r="AQ70" s="50">
        <f t="shared" si="49"/>
        <v>75.278674831774993</v>
      </c>
    </row>
    <row r="71" spans="3:43" x14ac:dyDescent="0.25">
      <c r="V71">
        <v>20</v>
      </c>
      <c r="W71" s="48">
        <f t="shared" si="30"/>
        <v>171</v>
      </c>
      <c r="X71" s="47">
        <f t="shared" si="31"/>
        <v>7.4212147793350445</v>
      </c>
      <c r="Y71" s="48">
        <f t="shared" si="50"/>
        <v>176191.3020057519</v>
      </c>
      <c r="Z71" s="49">
        <f t="shared" si="32"/>
        <v>7.7394243470569754E+20</v>
      </c>
      <c r="AA71" s="49">
        <f t="shared" si="33"/>
        <v>1.7959969397695811E-11</v>
      </c>
      <c r="AB71" s="46">
        <f t="shared" si="34"/>
        <v>1.9588510087034248E-2</v>
      </c>
      <c r="AC71" s="47">
        <f t="shared" si="35"/>
        <v>2.8393146755091259</v>
      </c>
      <c r="AD71" s="50">
        <f t="shared" si="36"/>
        <v>0.26972956749875154</v>
      </c>
      <c r="AE71" s="50">
        <f t="shared" si="37"/>
        <v>0.20172961071670667</v>
      </c>
      <c r="AF71" s="50">
        <f t="shared" si="38"/>
        <v>0.6638239679607747</v>
      </c>
      <c r="AG71" s="50">
        <f t="shared" si="39"/>
        <v>1.0652967122184387</v>
      </c>
      <c r="AH71" s="50">
        <f t="shared" si="40"/>
        <v>0.20172961071670667</v>
      </c>
      <c r="AI71" s="50">
        <f t="shared" si="41"/>
        <v>0.33602682955872548</v>
      </c>
      <c r="AJ71" s="50">
        <f t="shared" si="42"/>
        <v>0.13429721884201878</v>
      </c>
      <c r="AK71" s="50">
        <f t="shared" si="43"/>
        <v>5.3122944384082684</v>
      </c>
      <c r="AL71" s="50">
        <f t="shared" si="44"/>
        <v>1.9974313354095725</v>
      </c>
      <c r="AM71" s="50">
        <f t="shared" si="45"/>
        <v>0.3371619593734394</v>
      </c>
      <c r="AN71" s="50">
        <f t="shared" si="46"/>
        <v>1</v>
      </c>
      <c r="AO71" s="50">
        <f t="shared" si="47"/>
        <v>5.3323084126462632</v>
      </c>
      <c r="AP71" s="50">
        <f t="shared" si="48"/>
        <v>1.9756873947139386</v>
      </c>
      <c r="AQ71" s="50">
        <f t="shared" si="49"/>
        <v>76.31614224375214</v>
      </c>
    </row>
    <row r="72" spans="3:43" x14ac:dyDescent="0.25">
      <c r="V72">
        <v>21</v>
      </c>
      <c r="W72" s="48">
        <f t="shared" si="30"/>
        <v>180</v>
      </c>
      <c r="X72" s="47">
        <f t="shared" si="31"/>
        <v>7.811805030878995</v>
      </c>
      <c r="Y72" s="48">
        <f t="shared" si="50"/>
        <v>185464.52842710732</v>
      </c>
      <c r="Z72" s="49">
        <f t="shared" si="32"/>
        <v>8.0243457253608024E+20</v>
      </c>
      <c r="AA72" s="49">
        <f t="shared" si="33"/>
        <v>7.9046615000954707E-12</v>
      </c>
      <c r="AB72" s="46">
        <f t="shared" si="34"/>
        <v>1.9500187309892305E-2</v>
      </c>
      <c r="AC72" s="47">
        <f t="shared" si="35"/>
        <v>3.1318697714068615</v>
      </c>
      <c r="AD72" s="50">
        <f t="shared" si="36"/>
        <v>0.26950254153580872</v>
      </c>
      <c r="AE72" s="50">
        <f t="shared" si="37"/>
        <v>0.20158771948986742</v>
      </c>
      <c r="AF72" s="50">
        <f t="shared" si="38"/>
        <v>0.66378140059272295</v>
      </c>
      <c r="AG72" s="50">
        <f t="shared" si="39"/>
        <v>1.0650696862554958</v>
      </c>
      <c r="AH72" s="50">
        <f t="shared" si="40"/>
        <v>0.20158771948986742</v>
      </c>
      <c r="AI72" s="50">
        <f t="shared" si="41"/>
        <v>0.33579980359578265</v>
      </c>
      <c r="AJ72" s="50">
        <f t="shared" si="42"/>
        <v>0.13421208410591523</v>
      </c>
      <c r="AK72" s="50">
        <f t="shared" si="43"/>
        <v>5.3118687647277509</v>
      </c>
      <c r="AL72" s="50">
        <f t="shared" si="44"/>
        <v>1.9970056617290548</v>
      </c>
      <c r="AM72" s="50">
        <f t="shared" si="45"/>
        <v>0.33687817691976091</v>
      </c>
      <c r="AN72" s="50">
        <f t="shared" si="46"/>
        <v>1</v>
      </c>
      <c r="AO72" s="50">
        <f t="shared" si="47"/>
        <v>5.3311590937088651</v>
      </c>
      <c r="AP72" s="50">
        <f t="shared" si="48"/>
        <v>2.1886554654614812</v>
      </c>
      <c r="AQ72" s="50">
        <f t="shared" si="49"/>
        <v>77.40677560219288</v>
      </c>
    </row>
    <row r="102" spans="2:21" x14ac:dyDescent="0.25">
      <c r="E102" s="12"/>
      <c r="F102" s="12"/>
      <c r="G102" s="13" t="s">
        <v>59</v>
      </c>
      <c r="H102" s="13"/>
      <c r="I102" s="13"/>
      <c r="J102" s="13"/>
      <c r="K102" s="13"/>
      <c r="L102" s="13"/>
      <c r="M102" s="13"/>
      <c r="N102" s="12"/>
      <c r="O102" s="12"/>
      <c r="P102" s="12"/>
      <c r="Q102" s="12"/>
      <c r="R102" s="12"/>
      <c r="S102" s="12"/>
      <c r="T102" s="12"/>
    </row>
    <row r="103" spans="2:21" x14ac:dyDescent="0.25">
      <c r="C103" t="s">
        <v>60</v>
      </c>
      <c r="E103" s="14"/>
      <c r="F103" s="14" t="s">
        <v>61</v>
      </c>
      <c r="G103" s="14">
        <v>0.375</v>
      </c>
      <c r="H103" s="14">
        <v>0.5</v>
      </c>
      <c r="I103" s="15">
        <v>1</v>
      </c>
      <c r="J103" s="14">
        <v>10</v>
      </c>
      <c r="K103" s="14">
        <v>20</v>
      </c>
      <c r="L103" s="14">
        <v>30</v>
      </c>
      <c r="M103" s="13">
        <v>40</v>
      </c>
      <c r="N103" s="14">
        <v>60</v>
      </c>
      <c r="O103" s="14">
        <v>80</v>
      </c>
      <c r="P103" s="14">
        <v>100</v>
      </c>
      <c r="Q103" s="14">
        <v>120</v>
      </c>
      <c r="R103" s="14">
        <v>140</v>
      </c>
      <c r="S103" s="14">
        <v>160</v>
      </c>
      <c r="T103" s="14" t="s">
        <v>62</v>
      </c>
    </row>
    <row r="104" spans="2:21" x14ac:dyDescent="0.25">
      <c r="B104">
        <v>1</v>
      </c>
      <c r="C104" s="14">
        <v>0.375</v>
      </c>
      <c r="D104">
        <v>1</v>
      </c>
      <c r="E104" s="14">
        <v>1</v>
      </c>
      <c r="F104" s="14">
        <v>0.5</v>
      </c>
      <c r="G104" s="14"/>
      <c r="H104" s="14"/>
      <c r="I104" s="14"/>
      <c r="J104" s="14"/>
      <c r="K104" s="14"/>
      <c r="L104" s="14"/>
      <c r="M104" s="13">
        <v>0.622</v>
      </c>
      <c r="N104" s="14"/>
      <c r="O104" s="14">
        <v>0.54600000000000004</v>
      </c>
      <c r="P104" s="14"/>
      <c r="Q104" s="14"/>
      <c r="R104" s="14"/>
      <c r="S104" s="14">
        <v>0.46600000000000003</v>
      </c>
      <c r="T104" s="14">
        <v>0.84</v>
      </c>
      <c r="U104" s="14">
        <v>1</v>
      </c>
    </row>
    <row r="105" spans="2:21" x14ac:dyDescent="0.25">
      <c r="B105">
        <v>2</v>
      </c>
      <c r="C105" s="14">
        <v>0.5</v>
      </c>
      <c r="D105">
        <v>2</v>
      </c>
      <c r="E105" s="14">
        <f t="shared" ref="E105:E136" si="51">1+E104</f>
        <v>2</v>
      </c>
      <c r="F105" s="14">
        <v>0.75</v>
      </c>
      <c r="G105" s="14"/>
      <c r="H105" s="14"/>
      <c r="I105" s="14"/>
      <c r="J105" s="14"/>
      <c r="K105" s="14"/>
      <c r="L105" s="14"/>
      <c r="M105" s="13">
        <v>0.82399999999999995</v>
      </c>
      <c r="N105" s="14"/>
      <c r="O105" s="14">
        <v>0.74199999999999999</v>
      </c>
      <c r="P105" s="14"/>
      <c r="Q105" s="14"/>
      <c r="R105" s="14"/>
      <c r="S105" s="14">
        <v>0.61199999999999999</v>
      </c>
      <c r="T105" s="14">
        <v>1.05</v>
      </c>
      <c r="U105" s="14">
        <f t="shared" ref="U105:U136" si="52">1+U104</f>
        <v>2</v>
      </c>
    </row>
    <row r="106" spans="2:21" x14ac:dyDescent="0.25">
      <c r="B106">
        <v>3</v>
      </c>
      <c r="C106" s="15">
        <v>1</v>
      </c>
      <c r="D106">
        <v>3</v>
      </c>
      <c r="E106" s="14">
        <f t="shared" si="51"/>
        <v>3</v>
      </c>
      <c r="F106" s="14">
        <v>1</v>
      </c>
      <c r="G106" s="14">
        <v>0.56499999999999995</v>
      </c>
      <c r="H106" s="14"/>
      <c r="I106" s="14"/>
      <c r="J106" s="14"/>
      <c r="K106" s="14"/>
      <c r="L106" s="14"/>
      <c r="M106" s="13">
        <v>1.0489999999999999</v>
      </c>
      <c r="N106" s="14"/>
      <c r="O106" s="14">
        <v>0.95699999999999996</v>
      </c>
      <c r="P106" s="14"/>
      <c r="Q106" s="14"/>
      <c r="R106" s="14"/>
      <c r="S106" s="14">
        <v>0.81499999999999995</v>
      </c>
      <c r="T106" s="14">
        <v>1.3149999999999999</v>
      </c>
      <c r="U106" s="14">
        <f t="shared" si="52"/>
        <v>3</v>
      </c>
    </row>
    <row r="107" spans="2:21" x14ac:dyDescent="0.25">
      <c r="B107">
        <v>4</v>
      </c>
      <c r="C107" s="14">
        <v>10</v>
      </c>
      <c r="D107">
        <v>4</v>
      </c>
      <c r="E107" s="14">
        <f t="shared" si="51"/>
        <v>4</v>
      </c>
      <c r="F107" s="14">
        <v>1.5</v>
      </c>
      <c r="G107" s="14">
        <v>1.1499999999999999</v>
      </c>
      <c r="H107" s="14"/>
      <c r="I107" s="14"/>
      <c r="J107" s="14"/>
      <c r="K107" s="14"/>
      <c r="L107" s="14"/>
      <c r="M107" s="13">
        <v>1.61</v>
      </c>
      <c r="N107" s="14"/>
      <c r="O107" s="14">
        <v>1.5</v>
      </c>
      <c r="P107" s="14"/>
      <c r="Q107" s="14"/>
      <c r="R107" s="14"/>
      <c r="S107" s="14">
        <v>1.3380000000000001</v>
      </c>
      <c r="T107" s="14">
        <v>1.9</v>
      </c>
      <c r="U107" s="14">
        <f t="shared" si="52"/>
        <v>4</v>
      </c>
    </row>
    <row r="108" spans="2:21" x14ac:dyDescent="0.25">
      <c r="B108">
        <v>5</v>
      </c>
      <c r="C108" s="14">
        <v>20</v>
      </c>
      <c r="D108">
        <v>5</v>
      </c>
      <c r="E108" s="14">
        <f t="shared" si="51"/>
        <v>5</v>
      </c>
      <c r="F108" s="14">
        <v>2</v>
      </c>
      <c r="G108" s="14">
        <v>1.625</v>
      </c>
      <c r="H108" s="14"/>
      <c r="I108" s="14"/>
      <c r="J108" s="14"/>
      <c r="K108" s="14"/>
      <c r="L108" s="14"/>
      <c r="M108" s="13">
        <v>2.0670000000000002</v>
      </c>
      <c r="N108" s="14"/>
      <c r="O108" s="14">
        <v>1.9390000000000001</v>
      </c>
      <c r="P108" s="14"/>
      <c r="Q108" s="14"/>
      <c r="R108" s="14"/>
      <c r="S108" s="14">
        <v>1.6870000000000001</v>
      </c>
      <c r="T108" s="14">
        <v>2.375</v>
      </c>
      <c r="U108" s="14">
        <f t="shared" si="52"/>
        <v>5</v>
      </c>
    </row>
    <row r="109" spans="2:21" x14ac:dyDescent="0.25">
      <c r="B109">
        <v>6</v>
      </c>
      <c r="C109" s="14">
        <v>30</v>
      </c>
      <c r="D109">
        <v>6</v>
      </c>
      <c r="E109" s="14">
        <f t="shared" si="51"/>
        <v>6</v>
      </c>
      <c r="F109" s="14">
        <v>3</v>
      </c>
      <c r="G109" s="14">
        <v>2.75</v>
      </c>
      <c r="H109" s="14"/>
      <c r="I109" s="14"/>
      <c r="J109" s="14"/>
      <c r="K109" s="14"/>
      <c r="L109" s="14"/>
      <c r="M109" s="13">
        <v>3.0680000000000001</v>
      </c>
      <c r="N109" s="14"/>
      <c r="O109" s="14">
        <v>2.9</v>
      </c>
      <c r="P109" s="14"/>
      <c r="Q109" s="14"/>
      <c r="R109" s="14"/>
      <c r="S109" s="14">
        <v>2.6240000000000001</v>
      </c>
      <c r="T109" s="14">
        <v>3.5</v>
      </c>
      <c r="U109" s="14">
        <f t="shared" si="52"/>
        <v>6</v>
      </c>
    </row>
    <row r="110" spans="2:21" x14ac:dyDescent="0.25">
      <c r="B110">
        <v>7</v>
      </c>
      <c r="C110" s="13">
        <v>40</v>
      </c>
      <c r="D110">
        <v>7</v>
      </c>
      <c r="E110" s="14">
        <f t="shared" si="51"/>
        <v>7</v>
      </c>
      <c r="F110" s="14">
        <v>4</v>
      </c>
      <c r="G110" s="14">
        <v>3.75</v>
      </c>
      <c r="H110" s="14"/>
      <c r="I110" s="14"/>
      <c r="J110" s="14"/>
      <c r="K110" s="14"/>
      <c r="L110" s="14"/>
      <c r="M110" s="13">
        <v>4.0259999999999998</v>
      </c>
      <c r="N110" s="14"/>
      <c r="O110" s="14">
        <v>3.8260000000000001</v>
      </c>
      <c r="P110" s="14"/>
      <c r="Q110" s="14">
        <v>3.6240000000000001</v>
      </c>
      <c r="R110" s="14"/>
      <c r="S110" s="14">
        <v>3.4380000000000002</v>
      </c>
      <c r="T110" s="14">
        <v>4.5</v>
      </c>
      <c r="U110" s="14">
        <f t="shared" si="52"/>
        <v>7</v>
      </c>
    </row>
    <row r="111" spans="2:21" x14ac:dyDescent="0.25">
      <c r="B111">
        <v>8</v>
      </c>
      <c r="C111" s="14">
        <v>60</v>
      </c>
      <c r="D111">
        <v>8</v>
      </c>
      <c r="E111" s="14">
        <f t="shared" si="51"/>
        <v>8</v>
      </c>
      <c r="F111" s="14">
        <v>6</v>
      </c>
      <c r="G111" s="14">
        <v>5.875</v>
      </c>
      <c r="H111" s="14"/>
      <c r="I111" s="14"/>
      <c r="J111" s="14"/>
      <c r="K111" s="14"/>
      <c r="L111" s="14"/>
      <c r="M111" s="13">
        <v>6.0650000000000004</v>
      </c>
      <c r="N111" s="14"/>
      <c r="O111" s="14">
        <v>5.7610000000000001</v>
      </c>
      <c r="P111" s="14"/>
      <c r="Q111" s="14">
        <v>5.5010000000000003</v>
      </c>
      <c r="R111" s="14"/>
      <c r="S111" s="14">
        <v>5.1870000000000003</v>
      </c>
      <c r="T111" s="14">
        <v>6.625</v>
      </c>
      <c r="U111" s="14">
        <f t="shared" si="52"/>
        <v>8</v>
      </c>
    </row>
    <row r="112" spans="2:21" x14ac:dyDescent="0.25">
      <c r="B112">
        <v>9</v>
      </c>
      <c r="C112" s="14">
        <v>80</v>
      </c>
      <c r="D112">
        <v>9</v>
      </c>
      <c r="E112" s="14">
        <f t="shared" si="51"/>
        <v>9</v>
      </c>
      <c r="F112" s="14">
        <v>8</v>
      </c>
      <c r="G112" s="14">
        <v>7.875</v>
      </c>
      <c r="H112" s="14">
        <v>7.625</v>
      </c>
      <c r="I112" s="14"/>
      <c r="J112" s="14"/>
      <c r="K112" s="14">
        <v>8.125</v>
      </c>
      <c r="L112" s="14">
        <v>8.0709999999999997</v>
      </c>
      <c r="M112" s="13">
        <v>7.9809999999999999</v>
      </c>
      <c r="N112" s="14">
        <v>7.8129999999999997</v>
      </c>
      <c r="O112" s="14">
        <v>7.625</v>
      </c>
      <c r="P112" s="14">
        <v>7.4370000000000003</v>
      </c>
      <c r="Q112" s="14">
        <v>7.1870000000000003</v>
      </c>
      <c r="R112" s="14">
        <v>7.0010000000000003</v>
      </c>
      <c r="S112" s="14">
        <v>6.8712999999999997</v>
      </c>
      <c r="T112" s="14">
        <v>8.625</v>
      </c>
      <c r="U112" s="14">
        <f t="shared" si="52"/>
        <v>9</v>
      </c>
    </row>
    <row r="113" spans="2:21" x14ac:dyDescent="0.25">
      <c r="B113">
        <v>10</v>
      </c>
      <c r="C113" s="14">
        <v>100</v>
      </c>
      <c r="D113">
        <v>10</v>
      </c>
      <c r="E113" s="14">
        <f t="shared" si="51"/>
        <v>10</v>
      </c>
      <c r="F113" s="14">
        <v>10</v>
      </c>
      <c r="G113" s="14">
        <v>10</v>
      </c>
      <c r="H113" s="14">
        <v>9.75</v>
      </c>
      <c r="I113" s="14"/>
      <c r="J113" s="14"/>
      <c r="K113" s="14">
        <v>10.25</v>
      </c>
      <c r="L113" s="14">
        <v>10.135999999999999</v>
      </c>
      <c r="M113" s="13">
        <v>10.02</v>
      </c>
      <c r="N113" s="14">
        <v>9.75</v>
      </c>
      <c r="O113" s="14">
        <v>9.5619999999999994</v>
      </c>
      <c r="P113" s="14">
        <v>9.3119999999999994</v>
      </c>
      <c r="Q113" s="14">
        <v>9.0619999999999994</v>
      </c>
      <c r="R113" s="14">
        <v>8.75</v>
      </c>
      <c r="S113" s="14">
        <v>8.5</v>
      </c>
      <c r="T113" s="14">
        <v>10.75</v>
      </c>
      <c r="U113" s="14">
        <f t="shared" si="52"/>
        <v>10</v>
      </c>
    </row>
    <row r="114" spans="2:21" x14ac:dyDescent="0.25">
      <c r="B114">
        <v>11</v>
      </c>
      <c r="C114" s="14">
        <v>120</v>
      </c>
      <c r="D114">
        <v>11</v>
      </c>
      <c r="E114" s="14">
        <f t="shared" si="51"/>
        <v>11</v>
      </c>
      <c r="F114" s="14">
        <v>12</v>
      </c>
      <c r="G114" s="14">
        <v>12</v>
      </c>
      <c r="H114" s="14">
        <v>11.75</v>
      </c>
      <c r="I114" s="14"/>
      <c r="J114" s="14"/>
      <c r="K114" s="14">
        <v>12.25</v>
      </c>
      <c r="L114" s="14">
        <v>12.06</v>
      </c>
      <c r="M114" s="13">
        <v>11.938000000000001</v>
      </c>
      <c r="N114" s="14">
        <v>11.625999999999999</v>
      </c>
      <c r="O114" s="14">
        <v>11.374000000000001</v>
      </c>
      <c r="P114" s="14">
        <v>11.061999999999999</v>
      </c>
      <c r="Q114" s="14">
        <v>10.75</v>
      </c>
      <c r="R114" s="14">
        <v>10.5</v>
      </c>
      <c r="S114" s="14">
        <v>10.125999999999999</v>
      </c>
      <c r="T114" s="14">
        <v>12.75</v>
      </c>
      <c r="U114" s="14">
        <f t="shared" si="52"/>
        <v>11</v>
      </c>
    </row>
    <row r="115" spans="2:21" x14ac:dyDescent="0.25">
      <c r="B115">
        <v>12</v>
      </c>
      <c r="C115" s="14">
        <v>140</v>
      </c>
      <c r="D115">
        <v>12</v>
      </c>
      <c r="E115" s="14">
        <f t="shared" si="51"/>
        <v>12</v>
      </c>
      <c r="F115" s="14">
        <v>14</v>
      </c>
      <c r="G115" s="14">
        <v>13.25</v>
      </c>
      <c r="H115" s="14">
        <v>13</v>
      </c>
      <c r="I115" s="14"/>
      <c r="J115" s="14">
        <v>13.5</v>
      </c>
      <c r="K115" s="14">
        <v>13.375999999999999</v>
      </c>
      <c r="L115" s="14">
        <v>13.25</v>
      </c>
      <c r="M115" s="13">
        <v>13.124000000000001</v>
      </c>
      <c r="N115" s="14">
        <v>12.811999999999999</v>
      </c>
      <c r="O115" s="14">
        <v>12.5</v>
      </c>
      <c r="P115" s="14">
        <v>12.124000000000001</v>
      </c>
      <c r="Q115" s="14">
        <v>11.811999999999999</v>
      </c>
      <c r="R115" s="14">
        <v>11.5</v>
      </c>
      <c r="S115" s="14">
        <v>11.188000000000001</v>
      </c>
      <c r="T115" s="14">
        <v>14</v>
      </c>
      <c r="U115" s="14">
        <f t="shared" si="52"/>
        <v>12</v>
      </c>
    </row>
    <row r="116" spans="2:21" x14ac:dyDescent="0.25">
      <c r="B116">
        <v>13</v>
      </c>
      <c r="C116" s="14">
        <v>160</v>
      </c>
      <c r="D116">
        <v>13</v>
      </c>
      <c r="E116" s="14">
        <f t="shared" si="51"/>
        <v>13</v>
      </c>
      <c r="F116" s="14">
        <v>16</v>
      </c>
      <c r="G116" s="14">
        <v>15.25</v>
      </c>
      <c r="H116" s="14">
        <v>15</v>
      </c>
      <c r="I116" s="14"/>
      <c r="J116" s="14">
        <v>15.5</v>
      </c>
      <c r="K116" s="14">
        <v>15.375999999999999</v>
      </c>
      <c r="L116" s="14">
        <v>15.25</v>
      </c>
      <c r="M116" s="13">
        <v>15</v>
      </c>
      <c r="N116" s="14">
        <v>14.688000000000001</v>
      </c>
      <c r="O116" s="14">
        <v>14.311999999999999</v>
      </c>
      <c r="P116" s="14">
        <v>13.938000000000001</v>
      </c>
      <c r="Q116" s="14">
        <v>13.561999999999999</v>
      </c>
      <c r="R116" s="14">
        <v>13.124000000000001</v>
      </c>
      <c r="S116" s="14">
        <v>12.811999999999999</v>
      </c>
      <c r="T116" s="14">
        <v>16</v>
      </c>
      <c r="U116" s="14">
        <f t="shared" si="52"/>
        <v>13</v>
      </c>
    </row>
    <row r="117" spans="2:21" x14ac:dyDescent="0.25">
      <c r="E117" s="14">
        <f t="shared" si="51"/>
        <v>14</v>
      </c>
      <c r="F117" s="14">
        <v>18</v>
      </c>
      <c r="G117" s="14">
        <v>17.25</v>
      </c>
      <c r="H117" s="14">
        <v>17</v>
      </c>
      <c r="I117" s="14"/>
      <c r="J117" s="14">
        <v>17.5</v>
      </c>
      <c r="K117" s="14">
        <v>17.376000000000001</v>
      </c>
      <c r="L117" s="14">
        <v>17.123999999999999</v>
      </c>
      <c r="M117" s="13">
        <v>16.876000000000001</v>
      </c>
      <c r="N117" s="14">
        <v>16.5</v>
      </c>
      <c r="O117" s="14">
        <v>16.123999999999999</v>
      </c>
      <c r="P117" s="14">
        <v>15.688000000000001</v>
      </c>
      <c r="Q117" s="14">
        <v>15.25</v>
      </c>
      <c r="R117" s="14">
        <v>14.875999999999999</v>
      </c>
      <c r="S117" s="14">
        <v>14.438000000000001</v>
      </c>
      <c r="T117" s="14">
        <v>18</v>
      </c>
      <c r="U117" s="14">
        <f t="shared" si="52"/>
        <v>14</v>
      </c>
    </row>
    <row r="118" spans="2:21" x14ac:dyDescent="0.25">
      <c r="E118" s="14">
        <f t="shared" si="51"/>
        <v>15</v>
      </c>
      <c r="F118" s="14">
        <v>20</v>
      </c>
      <c r="G118" s="14">
        <v>19.25</v>
      </c>
      <c r="H118" s="14">
        <v>19</v>
      </c>
      <c r="I118" s="14"/>
      <c r="J118" s="14">
        <v>19.5</v>
      </c>
      <c r="K118" s="14">
        <v>19.25</v>
      </c>
      <c r="L118" s="14">
        <v>19</v>
      </c>
      <c r="M118" s="13">
        <v>18.812000000000001</v>
      </c>
      <c r="N118" s="14">
        <v>18.376000000000001</v>
      </c>
      <c r="O118" s="14">
        <v>17.937999999999999</v>
      </c>
      <c r="P118" s="14">
        <v>17.437999999999999</v>
      </c>
      <c r="Q118" s="14">
        <v>17</v>
      </c>
      <c r="R118" s="14">
        <v>16.5</v>
      </c>
      <c r="S118" s="14">
        <v>16.062000000000001</v>
      </c>
      <c r="T118" s="14">
        <v>20</v>
      </c>
      <c r="U118" s="14">
        <f t="shared" si="52"/>
        <v>15</v>
      </c>
    </row>
    <row r="119" spans="2:21" x14ac:dyDescent="0.25">
      <c r="E119" s="14">
        <f t="shared" si="51"/>
        <v>16</v>
      </c>
      <c r="F119" s="14">
        <v>24</v>
      </c>
      <c r="G119" s="14">
        <v>23.25</v>
      </c>
      <c r="H119" s="14">
        <v>23</v>
      </c>
      <c r="I119" s="14"/>
      <c r="J119" s="14">
        <v>23.5</v>
      </c>
      <c r="K119" s="14">
        <v>23.25</v>
      </c>
      <c r="L119" s="14">
        <v>22.876000000000001</v>
      </c>
      <c r="M119" s="13">
        <v>22.623999999999999</v>
      </c>
      <c r="N119" s="14">
        <v>22.062000000000001</v>
      </c>
      <c r="O119" s="14">
        <v>21.562000000000001</v>
      </c>
      <c r="P119" s="14">
        <v>20.937999999999999</v>
      </c>
      <c r="Q119" s="14">
        <v>20.376000000000001</v>
      </c>
      <c r="R119" s="14">
        <v>19.876000000000001</v>
      </c>
      <c r="S119" s="14">
        <v>19.312000000000001</v>
      </c>
      <c r="T119" s="14">
        <v>24</v>
      </c>
      <c r="U119" s="14">
        <f t="shared" si="52"/>
        <v>16</v>
      </c>
    </row>
    <row r="120" spans="2:21" x14ac:dyDescent="0.25">
      <c r="E120" s="14">
        <f t="shared" si="51"/>
        <v>17</v>
      </c>
      <c r="F120" s="14">
        <v>26</v>
      </c>
      <c r="G120" s="14">
        <v>25.25</v>
      </c>
      <c r="H120" s="14">
        <v>25</v>
      </c>
      <c r="I120" s="14"/>
      <c r="J120" s="14">
        <v>25.376000000000001</v>
      </c>
      <c r="K120" s="14">
        <v>25</v>
      </c>
      <c r="L120" s="14"/>
      <c r="M120" s="13"/>
      <c r="N120" s="14"/>
      <c r="O120" s="14"/>
      <c r="P120" s="14"/>
      <c r="Q120" s="14"/>
      <c r="R120" s="14"/>
      <c r="S120" s="14"/>
      <c r="T120" s="14">
        <v>26</v>
      </c>
      <c r="U120" s="14">
        <f t="shared" si="52"/>
        <v>17</v>
      </c>
    </row>
    <row r="121" spans="2:21" x14ac:dyDescent="0.25">
      <c r="E121" s="14">
        <f t="shared" si="51"/>
        <v>18</v>
      </c>
      <c r="F121" s="14">
        <v>28</v>
      </c>
      <c r="G121" s="14">
        <v>27.25</v>
      </c>
      <c r="H121" s="14">
        <v>27</v>
      </c>
      <c r="I121" s="14"/>
      <c r="J121" s="14">
        <v>27.376000000000001</v>
      </c>
      <c r="K121" s="14">
        <v>27</v>
      </c>
      <c r="L121" s="14">
        <v>26.75</v>
      </c>
      <c r="M121" s="13"/>
      <c r="N121" s="14"/>
      <c r="O121" s="14"/>
      <c r="P121" s="14"/>
      <c r="Q121" s="14"/>
      <c r="R121" s="14"/>
      <c r="S121" s="14"/>
      <c r="T121" s="14">
        <v>28</v>
      </c>
      <c r="U121" s="14">
        <f t="shared" si="52"/>
        <v>18</v>
      </c>
    </row>
    <row r="122" spans="2:21" x14ac:dyDescent="0.25">
      <c r="E122" s="14">
        <f t="shared" si="51"/>
        <v>19</v>
      </c>
      <c r="F122" s="14">
        <v>30</v>
      </c>
      <c r="G122" s="14">
        <v>29.25</v>
      </c>
      <c r="H122" s="14">
        <v>29</v>
      </c>
      <c r="I122" s="14"/>
      <c r="J122" s="14">
        <v>29.376000000000001</v>
      </c>
      <c r="K122" s="14">
        <v>29</v>
      </c>
      <c r="L122" s="14">
        <v>28.75</v>
      </c>
      <c r="M122" s="13"/>
      <c r="N122" s="14"/>
      <c r="O122" s="14"/>
      <c r="P122" s="14"/>
      <c r="Q122" s="14"/>
      <c r="R122" s="14"/>
      <c r="S122" s="14"/>
      <c r="T122" s="14">
        <v>30</v>
      </c>
      <c r="U122" s="14">
        <f t="shared" si="52"/>
        <v>19</v>
      </c>
    </row>
    <row r="123" spans="2:21" x14ac:dyDescent="0.25">
      <c r="E123" s="14">
        <f t="shared" si="51"/>
        <v>20</v>
      </c>
      <c r="F123" s="14">
        <v>32</v>
      </c>
      <c r="G123" s="14">
        <v>31.25</v>
      </c>
      <c r="H123" s="14">
        <v>31</v>
      </c>
      <c r="I123" s="14"/>
      <c r="J123" s="14">
        <v>31.376000000000001</v>
      </c>
      <c r="K123" s="14">
        <v>31</v>
      </c>
      <c r="L123" s="14">
        <v>30.75</v>
      </c>
      <c r="M123" s="13">
        <v>30.623999999999999</v>
      </c>
      <c r="N123" s="14"/>
      <c r="O123" s="14"/>
      <c r="P123" s="14"/>
      <c r="Q123" s="14"/>
      <c r="R123" s="14"/>
      <c r="S123" s="14"/>
      <c r="T123" s="14">
        <v>32</v>
      </c>
      <c r="U123" s="14">
        <f t="shared" si="52"/>
        <v>20</v>
      </c>
    </row>
    <row r="124" spans="2:21" x14ac:dyDescent="0.25">
      <c r="E124" s="14">
        <f t="shared" si="51"/>
        <v>21</v>
      </c>
      <c r="F124" s="14">
        <v>34</v>
      </c>
      <c r="G124" s="14">
        <v>33.25</v>
      </c>
      <c r="H124" s="14">
        <v>33</v>
      </c>
      <c r="I124" s="14"/>
      <c r="J124" s="14">
        <v>33.311999999999998</v>
      </c>
      <c r="K124" s="14">
        <v>33</v>
      </c>
      <c r="L124" s="14">
        <v>32.75</v>
      </c>
      <c r="M124" s="13">
        <v>32.624000000000002</v>
      </c>
      <c r="N124" s="14"/>
      <c r="O124" s="14"/>
      <c r="P124" s="14"/>
      <c r="Q124" s="14"/>
      <c r="R124" s="14"/>
      <c r="S124" s="14"/>
      <c r="T124" s="14">
        <v>34</v>
      </c>
      <c r="U124" s="14">
        <f t="shared" si="52"/>
        <v>21</v>
      </c>
    </row>
    <row r="125" spans="2:21" x14ac:dyDescent="0.25">
      <c r="E125" s="14">
        <f t="shared" si="51"/>
        <v>22</v>
      </c>
      <c r="F125" s="14">
        <v>36</v>
      </c>
      <c r="G125" s="14">
        <v>35.25</v>
      </c>
      <c r="H125" s="14">
        <v>35</v>
      </c>
      <c r="I125" s="14"/>
      <c r="J125" s="14">
        <v>35.375999999999998</v>
      </c>
      <c r="K125" s="14">
        <v>35</v>
      </c>
      <c r="L125" s="14">
        <v>34.75</v>
      </c>
      <c r="M125" s="13">
        <v>34.5</v>
      </c>
      <c r="N125" s="14"/>
      <c r="O125" s="14"/>
      <c r="P125" s="14"/>
      <c r="Q125" s="14"/>
      <c r="R125" s="14"/>
      <c r="S125" s="14"/>
      <c r="T125" s="14">
        <v>36</v>
      </c>
      <c r="U125" s="14">
        <f t="shared" si="52"/>
        <v>22</v>
      </c>
    </row>
    <row r="126" spans="2:21" x14ac:dyDescent="0.25">
      <c r="E126" s="14">
        <f t="shared" si="51"/>
        <v>23</v>
      </c>
      <c r="F126" s="14">
        <v>38</v>
      </c>
      <c r="G126" s="14">
        <v>37.25</v>
      </c>
      <c r="H126" s="14">
        <v>37</v>
      </c>
      <c r="I126" s="14"/>
      <c r="J126" s="14"/>
      <c r="K126" s="14"/>
      <c r="L126" s="14"/>
      <c r="M126" s="13"/>
      <c r="N126" s="14"/>
      <c r="O126" s="14"/>
      <c r="P126" s="14"/>
      <c r="Q126" s="14"/>
      <c r="R126" s="14"/>
      <c r="S126" s="14"/>
      <c r="T126" s="14">
        <v>38</v>
      </c>
      <c r="U126" s="14">
        <f t="shared" si="52"/>
        <v>23</v>
      </c>
    </row>
    <row r="127" spans="2:21" x14ac:dyDescent="0.25">
      <c r="E127" s="14">
        <f t="shared" si="51"/>
        <v>24</v>
      </c>
      <c r="F127" s="14">
        <v>40</v>
      </c>
      <c r="G127" s="14">
        <v>39.25</v>
      </c>
      <c r="H127" s="14">
        <v>39</v>
      </c>
      <c r="I127" s="14"/>
      <c r="J127" s="14"/>
      <c r="K127" s="14"/>
      <c r="L127" s="14"/>
      <c r="M127" s="13"/>
      <c r="N127" s="14"/>
      <c r="O127" s="14"/>
      <c r="P127" s="14"/>
      <c r="Q127" s="14"/>
      <c r="R127" s="14"/>
      <c r="S127" s="14"/>
      <c r="T127" s="14">
        <v>40</v>
      </c>
      <c r="U127" s="14">
        <f t="shared" si="52"/>
        <v>24</v>
      </c>
    </row>
    <row r="128" spans="2:21" x14ac:dyDescent="0.25">
      <c r="E128" s="14">
        <f t="shared" si="51"/>
        <v>25</v>
      </c>
      <c r="F128" s="14">
        <v>42</v>
      </c>
      <c r="G128" s="14">
        <v>41.25</v>
      </c>
      <c r="H128" s="14">
        <v>41</v>
      </c>
      <c r="I128" s="14"/>
      <c r="J128" s="14"/>
      <c r="K128" s="14"/>
      <c r="L128" s="14"/>
      <c r="M128" s="13"/>
      <c r="N128" s="14"/>
      <c r="O128" s="14"/>
      <c r="P128" s="14"/>
      <c r="Q128" s="14"/>
      <c r="R128" s="14"/>
      <c r="S128" s="14"/>
      <c r="T128" s="14">
        <v>42</v>
      </c>
      <c r="U128" s="14">
        <f t="shared" si="52"/>
        <v>25</v>
      </c>
    </row>
    <row r="129" spans="5:21" x14ac:dyDescent="0.25">
      <c r="E129" s="14">
        <f t="shared" si="51"/>
        <v>26</v>
      </c>
      <c r="F129" s="14">
        <v>44</v>
      </c>
      <c r="G129" s="14">
        <v>43.25</v>
      </c>
      <c r="H129" s="14">
        <v>43</v>
      </c>
      <c r="I129" s="14"/>
      <c r="J129" s="14"/>
      <c r="K129" s="14"/>
      <c r="L129" s="14"/>
      <c r="M129" s="13"/>
      <c r="N129" s="14"/>
      <c r="O129" s="14"/>
      <c r="P129" s="14"/>
      <c r="Q129" s="14"/>
      <c r="R129" s="14"/>
      <c r="S129" s="14"/>
      <c r="T129" s="14">
        <v>44</v>
      </c>
      <c r="U129" s="14">
        <f t="shared" si="52"/>
        <v>26</v>
      </c>
    </row>
    <row r="130" spans="5:21" x14ac:dyDescent="0.25">
      <c r="E130" s="14">
        <f t="shared" si="51"/>
        <v>27</v>
      </c>
      <c r="F130" s="14">
        <v>46</v>
      </c>
      <c r="G130" s="14">
        <v>45.25</v>
      </c>
      <c r="H130" s="14">
        <v>45</v>
      </c>
      <c r="I130" s="14"/>
      <c r="J130" s="14"/>
      <c r="K130" s="14"/>
      <c r="L130" s="14"/>
      <c r="M130" s="13"/>
      <c r="N130" s="14"/>
      <c r="O130" s="14"/>
      <c r="P130" s="14"/>
      <c r="Q130" s="14"/>
      <c r="R130" s="14"/>
      <c r="S130" s="14"/>
      <c r="T130" s="14">
        <v>46</v>
      </c>
      <c r="U130" s="14">
        <f t="shared" si="52"/>
        <v>27</v>
      </c>
    </row>
    <row r="131" spans="5:21" x14ac:dyDescent="0.25">
      <c r="E131" s="14">
        <f t="shared" si="51"/>
        <v>28</v>
      </c>
      <c r="F131" s="14">
        <v>48</v>
      </c>
      <c r="G131" s="14">
        <v>47.25</v>
      </c>
      <c r="H131" s="14">
        <v>47</v>
      </c>
      <c r="I131" s="14"/>
      <c r="J131" s="14"/>
      <c r="K131" s="14"/>
      <c r="L131" s="14"/>
      <c r="M131" s="13"/>
      <c r="N131" s="14"/>
      <c r="O131" s="14"/>
      <c r="P131" s="14"/>
      <c r="Q131" s="14"/>
      <c r="R131" s="14"/>
      <c r="S131" s="14"/>
      <c r="T131" s="14">
        <v>48</v>
      </c>
      <c r="U131" s="14">
        <f t="shared" si="52"/>
        <v>28</v>
      </c>
    </row>
    <row r="132" spans="5:21" x14ac:dyDescent="0.25">
      <c r="E132" s="14">
        <f t="shared" si="51"/>
        <v>29</v>
      </c>
      <c r="F132" s="14">
        <v>50</v>
      </c>
      <c r="G132" s="14">
        <v>49.25</v>
      </c>
      <c r="H132" s="14">
        <v>49</v>
      </c>
      <c r="I132" s="14"/>
      <c r="J132" s="14"/>
      <c r="K132" s="14"/>
      <c r="L132" s="14"/>
      <c r="M132" s="13"/>
      <c r="N132" s="14"/>
      <c r="O132" s="14"/>
      <c r="P132" s="14"/>
      <c r="Q132" s="14"/>
      <c r="R132" s="14"/>
      <c r="S132" s="14"/>
      <c r="T132" s="14">
        <v>50</v>
      </c>
      <c r="U132" s="14">
        <f t="shared" si="52"/>
        <v>29</v>
      </c>
    </row>
    <row r="133" spans="5:21" x14ac:dyDescent="0.25">
      <c r="E133" s="14">
        <f t="shared" si="51"/>
        <v>30</v>
      </c>
      <c r="F133" s="14">
        <v>52</v>
      </c>
      <c r="G133" s="14">
        <v>51.25</v>
      </c>
      <c r="H133" s="14">
        <v>51</v>
      </c>
      <c r="I133" s="14"/>
      <c r="J133" s="14"/>
      <c r="K133" s="14"/>
      <c r="L133" s="14"/>
      <c r="M133" s="13"/>
      <c r="N133" s="14"/>
      <c r="O133" s="14"/>
      <c r="P133" s="14"/>
      <c r="Q133" s="14"/>
      <c r="R133" s="14"/>
      <c r="S133" s="14"/>
      <c r="T133" s="14">
        <v>52</v>
      </c>
      <c r="U133" s="14">
        <f t="shared" si="52"/>
        <v>30</v>
      </c>
    </row>
    <row r="134" spans="5:21" x14ac:dyDescent="0.25">
      <c r="E134" s="14">
        <f t="shared" si="51"/>
        <v>31</v>
      </c>
      <c r="F134" s="14">
        <v>54</v>
      </c>
      <c r="G134" s="14">
        <v>53.25</v>
      </c>
      <c r="H134" s="14">
        <v>53</v>
      </c>
      <c r="I134" s="14"/>
      <c r="J134" s="14"/>
      <c r="K134" s="14"/>
      <c r="L134" s="14"/>
      <c r="M134" s="13"/>
      <c r="N134" s="14"/>
      <c r="O134" s="14"/>
      <c r="P134" s="14"/>
      <c r="Q134" s="14"/>
      <c r="R134" s="14"/>
      <c r="S134" s="14"/>
      <c r="T134" s="14">
        <v>54</v>
      </c>
      <c r="U134" s="14">
        <f t="shared" si="52"/>
        <v>31</v>
      </c>
    </row>
    <row r="135" spans="5:21" x14ac:dyDescent="0.25">
      <c r="E135" s="14">
        <f t="shared" si="51"/>
        <v>32</v>
      </c>
      <c r="F135" s="14">
        <v>56</v>
      </c>
      <c r="G135" s="14">
        <v>55.25</v>
      </c>
      <c r="H135" s="14">
        <v>55</v>
      </c>
      <c r="I135" s="14"/>
      <c r="J135" s="14"/>
      <c r="K135" s="14"/>
      <c r="L135" s="14"/>
      <c r="M135" s="13"/>
      <c r="N135" s="14"/>
      <c r="O135" s="14"/>
      <c r="P135" s="14"/>
      <c r="Q135" s="14"/>
      <c r="R135" s="14"/>
      <c r="S135" s="14"/>
      <c r="T135" s="14">
        <v>56</v>
      </c>
      <c r="U135" s="14">
        <f t="shared" si="52"/>
        <v>32</v>
      </c>
    </row>
    <row r="136" spans="5:21" x14ac:dyDescent="0.25">
      <c r="E136" s="14">
        <f t="shared" si="51"/>
        <v>33</v>
      </c>
      <c r="F136" s="14">
        <v>58</v>
      </c>
      <c r="G136" s="14">
        <v>57.25</v>
      </c>
      <c r="H136" s="14">
        <v>57</v>
      </c>
      <c r="I136" s="14"/>
      <c r="J136" s="14"/>
      <c r="K136" s="14"/>
      <c r="L136" s="14"/>
      <c r="M136" s="13"/>
      <c r="N136" s="14"/>
      <c r="O136" s="14"/>
      <c r="P136" s="14"/>
      <c r="Q136" s="14"/>
      <c r="R136" s="14"/>
      <c r="S136" s="14"/>
      <c r="T136" s="14">
        <v>58</v>
      </c>
      <c r="U136" s="14">
        <f t="shared" si="52"/>
        <v>33</v>
      </c>
    </row>
    <row r="137" spans="5:21" x14ac:dyDescent="0.25">
      <c r="E137" s="14">
        <f>1+E136</f>
        <v>34</v>
      </c>
      <c r="F137" s="14">
        <v>60</v>
      </c>
      <c r="G137" s="14">
        <v>59.25</v>
      </c>
      <c r="H137" s="14">
        <v>59</v>
      </c>
      <c r="I137" s="14">
        <v>58</v>
      </c>
      <c r="J137" s="14"/>
      <c r="K137" s="14"/>
      <c r="L137" s="14"/>
      <c r="M137" s="13"/>
      <c r="N137" s="14"/>
      <c r="O137" s="14"/>
      <c r="P137" s="14"/>
      <c r="Q137" s="14"/>
      <c r="R137" s="14"/>
      <c r="S137" s="14"/>
      <c r="T137" s="14">
        <v>60</v>
      </c>
      <c r="U137" s="14">
        <f>1+U136</f>
        <v>34</v>
      </c>
    </row>
    <row r="138" spans="5:21" x14ac:dyDescent="0.25">
      <c r="E138" s="14">
        <f t="shared" ref="E138:E147" si="53">1+E137</f>
        <v>35</v>
      </c>
      <c r="F138" s="14">
        <v>66</v>
      </c>
      <c r="G138" s="14">
        <v>65.25</v>
      </c>
      <c r="H138" s="14">
        <v>65</v>
      </c>
      <c r="I138" s="14">
        <v>64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>
        <v>66</v>
      </c>
      <c r="U138" s="14">
        <f t="shared" ref="U138:U147" si="54">1+U137</f>
        <v>35</v>
      </c>
    </row>
    <row r="139" spans="5:21" x14ac:dyDescent="0.25">
      <c r="E139" s="14">
        <f t="shared" si="53"/>
        <v>36</v>
      </c>
      <c r="F139" s="14">
        <v>72</v>
      </c>
      <c r="G139" s="14">
        <v>71.25</v>
      </c>
      <c r="H139" s="14">
        <v>71</v>
      </c>
      <c r="I139" s="14">
        <v>70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>
        <v>72</v>
      </c>
      <c r="U139" s="14">
        <f t="shared" si="54"/>
        <v>36</v>
      </c>
    </row>
    <row r="140" spans="5:21" x14ac:dyDescent="0.25">
      <c r="E140" s="14">
        <f t="shared" si="53"/>
        <v>37</v>
      </c>
      <c r="F140" s="14">
        <v>78</v>
      </c>
      <c r="G140" s="14">
        <v>77.25</v>
      </c>
      <c r="H140" s="14">
        <v>77</v>
      </c>
      <c r="I140" s="14">
        <v>76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>
        <v>78</v>
      </c>
      <c r="U140" s="14">
        <f t="shared" si="54"/>
        <v>37</v>
      </c>
    </row>
    <row r="141" spans="5:21" x14ac:dyDescent="0.25">
      <c r="E141" s="14">
        <f t="shared" si="53"/>
        <v>38</v>
      </c>
      <c r="F141" s="14">
        <v>84</v>
      </c>
      <c r="G141" s="14">
        <v>83.25</v>
      </c>
      <c r="H141" s="14">
        <v>83</v>
      </c>
      <c r="I141" s="14">
        <v>82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>
        <v>84</v>
      </c>
      <c r="U141" s="14">
        <f t="shared" si="54"/>
        <v>38</v>
      </c>
    </row>
    <row r="142" spans="5:21" x14ac:dyDescent="0.25">
      <c r="E142" s="14">
        <f t="shared" si="53"/>
        <v>39</v>
      </c>
      <c r="F142" s="14">
        <v>90</v>
      </c>
      <c r="G142" s="14">
        <v>89.25</v>
      </c>
      <c r="H142" s="14">
        <v>89</v>
      </c>
      <c r="I142" s="14">
        <v>88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>
        <v>90</v>
      </c>
      <c r="U142" s="14">
        <f t="shared" si="54"/>
        <v>39</v>
      </c>
    </row>
    <row r="143" spans="5:21" x14ac:dyDescent="0.25">
      <c r="E143" s="14">
        <f t="shared" si="53"/>
        <v>40</v>
      </c>
      <c r="F143" s="14">
        <v>96</v>
      </c>
      <c r="G143" s="14">
        <v>95.25</v>
      </c>
      <c r="H143" s="14">
        <v>95</v>
      </c>
      <c r="I143" s="14">
        <v>94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>
        <v>96</v>
      </c>
      <c r="U143" s="14">
        <f t="shared" si="54"/>
        <v>40</v>
      </c>
    </row>
    <row r="144" spans="5:21" x14ac:dyDescent="0.25">
      <c r="E144" s="14">
        <f t="shared" si="53"/>
        <v>41</v>
      </c>
      <c r="F144" s="14">
        <v>102</v>
      </c>
      <c r="G144" s="14">
        <v>101.25</v>
      </c>
      <c r="H144" s="14">
        <v>101</v>
      </c>
      <c r="I144" s="14">
        <v>100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>
        <v>102</v>
      </c>
      <c r="U144" s="14">
        <f t="shared" si="54"/>
        <v>41</v>
      </c>
    </row>
    <row r="145" spans="5:21" x14ac:dyDescent="0.25">
      <c r="E145" s="14">
        <f t="shared" si="53"/>
        <v>42</v>
      </c>
      <c r="F145" s="14">
        <v>108</v>
      </c>
      <c r="G145" s="14">
        <v>107.25</v>
      </c>
      <c r="H145" s="14">
        <v>107</v>
      </c>
      <c r="I145" s="14">
        <v>106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>
        <v>108</v>
      </c>
      <c r="U145" s="14">
        <f t="shared" si="54"/>
        <v>42</v>
      </c>
    </row>
    <row r="146" spans="5:21" x14ac:dyDescent="0.25">
      <c r="E146" s="14">
        <f t="shared" si="53"/>
        <v>43</v>
      </c>
      <c r="F146" s="14">
        <v>114</v>
      </c>
      <c r="G146" s="14">
        <v>113.25</v>
      </c>
      <c r="H146" s="14">
        <v>113</v>
      </c>
      <c r="I146" s="14">
        <v>112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>
        <v>114</v>
      </c>
      <c r="U146" s="14">
        <f t="shared" si="54"/>
        <v>43</v>
      </c>
    </row>
    <row r="147" spans="5:21" x14ac:dyDescent="0.25">
      <c r="E147" s="14">
        <f t="shared" si="53"/>
        <v>44</v>
      </c>
      <c r="F147" s="14">
        <v>120</v>
      </c>
      <c r="G147" s="14">
        <v>119.25</v>
      </c>
      <c r="H147" s="14">
        <v>119</v>
      </c>
      <c r="I147" s="14">
        <v>118</v>
      </c>
      <c r="J147" s="14"/>
      <c r="K147" s="14"/>
      <c r="L147" s="14"/>
      <c r="M147" s="13"/>
      <c r="N147" s="14"/>
      <c r="O147" s="14"/>
      <c r="P147" s="14"/>
      <c r="Q147" s="14"/>
      <c r="R147" s="14"/>
      <c r="S147" s="14"/>
      <c r="T147" s="14">
        <v>120</v>
      </c>
      <c r="U147" s="14">
        <f t="shared" si="54"/>
        <v>44</v>
      </c>
    </row>
  </sheetData>
  <mergeCells count="7">
    <mergeCell ref="D6:E6"/>
    <mergeCell ref="M6:O6"/>
    <mergeCell ref="C2:M2"/>
    <mergeCell ref="F3:I3"/>
    <mergeCell ref="M3:O3"/>
    <mergeCell ref="M4:O4"/>
    <mergeCell ref="M5:O5"/>
  </mergeCells>
  <dataValidations count="2">
    <dataValidation type="list" allowBlank="1" showInputMessage="1" showErrorMessage="1" sqref="E28 M28">
      <formula1>$F$104:$F$147</formula1>
    </dataValidation>
    <dataValidation type="list" allowBlank="1" showInputMessage="1" showErrorMessage="1" sqref="E29 M29">
      <formula1>$C$104:$C$116</formula1>
    </dataValidation>
  </dataValidations>
  <hyperlinks>
    <hyperlink ref="B3" r:id="rId1"/>
  </hyperlinks>
  <pageMargins left="0.23622047244094491" right="0.23622047244094491" top="0.74803149606299213" bottom="0.74803149606299213" header="0.31496062992125984" footer="0.31496062992125984"/>
  <pageSetup paperSize="9"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7"/>
  <sheetViews>
    <sheetView showGridLines="0" tabSelected="1" topLeftCell="A4" zoomScaleNormal="100" workbookViewId="0">
      <selection activeCell="E10" sqref="E10"/>
    </sheetView>
  </sheetViews>
  <sheetFormatPr defaultRowHeight="15" x14ac:dyDescent="0.25"/>
  <cols>
    <col min="1" max="1" width="2.7109375" customWidth="1"/>
    <col min="2" max="2" width="6.7109375" customWidth="1"/>
    <col min="3" max="3" width="7.28515625" customWidth="1"/>
    <col min="4" max="4" width="7.5703125" customWidth="1"/>
    <col min="5" max="5" width="9.140625" customWidth="1"/>
    <col min="6" max="7" width="6.7109375" customWidth="1"/>
    <col min="8" max="8" width="2.7109375" customWidth="1"/>
    <col min="9" max="9" width="5" customWidth="1"/>
    <col min="10" max="12" width="6.7109375" customWidth="1"/>
    <col min="13" max="13" width="9.140625" customWidth="1"/>
    <col min="14" max="15" width="6.7109375" customWidth="1"/>
    <col min="16" max="16" width="5.28515625" customWidth="1"/>
    <col min="20" max="20" width="9.140625" customWidth="1"/>
  </cols>
  <sheetData>
    <row r="1" spans="1:29" x14ac:dyDescent="0.25">
      <c r="A1" s="1"/>
      <c r="B1" s="2"/>
      <c r="C1" s="2"/>
      <c r="D1" s="2"/>
      <c r="E1" s="2"/>
      <c r="F1" s="2"/>
      <c r="G1" s="2"/>
      <c r="H1" s="2"/>
    </row>
    <row r="2" spans="1:29" ht="18.75" x14ac:dyDescent="0.25">
      <c r="A2" s="3"/>
      <c r="C2" s="68" t="s">
        <v>7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4"/>
      <c r="O2" s="4"/>
    </row>
    <row r="3" spans="1:29" x14ac:dyDescent="0.25">
      <c r="A3" s="5"/>
      <c r="B3" s="62" t="s">
        <v>143</v>
      </c>
      <c r="C3" s="6"/>
      <c r="D3" s="6"/>
      <c r="E3" s="6"/>
      <c r="F3" s="69"/>
      <c r="G3" s="69"/>
      <c r="H3" s="69"/>
      <c r="I3" s="69"/>
      <c r="K3" s="7" t="s">
        <v>0</v>
      </c>
      <c r="M3" s="70" t="s">
        <v>5</v>
      </c>
      <c r="N3" s="71"/>
      <c r="O3" s="72"/>
      <c r="R3" s="22" t="s">
        <v>63</v>
      </c>
      <c r="V3" s="22" t="s">
        <v>66</v>
      </c>
      <c r="AA3" t="s">
        <v>80</v>
      </c>
    </row>
    <row r="4" spans="1:29" x14ac:dyDescent="0.25">
      <c r="A4" s="5"/>
      <c r="B4" s="8" t="s">
        <v>144</v>
      </c>
      <c r="C4" s="6"/>
      <c r="D4" s="6"/>
      <c r="E4" s="6"/>
      <c r="K4" s="9" t="s">
        <v>1</v>
      </c>
      <c r="M4" s="73" t="s">
        <v>6</v>
      </c>
      <c r="N4" s="74"/>
      <c r="O4" s="75"/>
      <c r="AA4" s="45">
        <f t="array" ref="AA4:AC6">LINEST(S23:S32,R23:R32^{1,2},TRUE,TRUE)</f>
        <v>-9.4335610951257462E-2</v>
      </c>
      <c r="AB4" s="45">
        <v>-0.54034250320755395</v>
      </c>
      <c r="AC4" s="45">
        <v>91.400251841996877</v>
      </c>
    </row>
    <row r="5" spans="1:29" x14ac:dyDescent="0.25">
      <c r="A5" s="5"/>
      <c r="B5" s="6"/>
      <c r="C5" s="6"/>
      <c r="D5" s="6"/>
      <c r="E5" s="6"/>
      <c r="K5" s="7" t="s">
        <v>2</v>
      </c>
      <c r="M5" s="76" t="s">
        <v>141</v>
      </c>
      <c r="N5" s="66"/>
      <c r="O5" s="67"/>
      <c r="R5" t="s">
        <v>64</v>
      </c>
      <c r="T5" s="45">
        <f>VLOOKUP(E28,$F$104:$U$147,16)</f>
        <v>6</v>
      </c>
      <c r="V5" t="s">
        <v>64</v>
      </c>
      <c r="X5" s="45">
        <f>VLOOKUP(M28,$F$104:$U$147,16)</f>
        <v>6</v>
      </c>
      <c r="AA5" s="45">
        <v>4.2079329063658948E-4</v>
      </c>
      <c r="AB5" s="45">
        <v>1.0654214935822704E-2</v>
      </c>
      <c r="AC5" s="45">
        <v>5.0870150897195827E-2</v>
      </c>
    </row>
    <row r="6" spans="1:29" x14ac:dyDescent="0.25">
      <c r="A6" s="5"/>
      <c r="B6" s="10" t="s">
        <v>3</v>
      </c>
      <c r="D6" s="63"/>
      <c r="E6" s="64"/>
      <c r="K6" s="7" t="s">
        <v>4</v>
      </c>
      <c r="M6" s="65" t="s">
        <v>142</v>
      </c>
      <c r="N6" s="66"/>
      <c r="O6" s="67"/>
      <c r="R6" t="s">
        <v>65</v>
      </c>
      <c r="T6" s="45">
        <f>VLOOKUP(E29,$C$104:$D$116,2)</f>
        <v>7</v>
      </c>
      <c r="V6" t="s">
        <v>65</v>
      </c>
      <c r="X6" s="45">
        <f>VLOOKUP(M29,$C$104:$D$116,2)</f>
        <v>7</v>
      </c>
      <c r="AA6" s="45">
        <v>0.99999522880056502</v>
      </c>
      <c r="AB6" s="45">
        <v>6.4124476392925442E-2</v>
      </c>
      <c r="AC6" s="45" t="e">
        <v>#N/A</v>
      </c>
    </row>
    <row r="7" spans="1:29" x14ac:dyDescent="0.25">
      <c r="R7" t="s">
        <v>26</v>
      </c>
      <c r="T7" s="45">
        <f>VLOOKUP(T5,$E$104:$S$147,T6+2)</f>
        <v>3.0680000000000001</v>
      </c>
      <c r="U7" t="s">
        <v>29</v>
      </c>
      <c r="V7" t="s">
        <v>26</v>
      </c>
      <c r="X7" s="45">
        <f>VLOOKUP(X5,$E$104:$S$147,X6+2)</f>
        <v>3.0680000000000001</v>
      </c>
      <c r="Y7" t="s">
        <v>29</v>
      </c>
    </row>
    <row r="8" spans="1:29" x14ac:dyDescent="0.25">
      <c r="T8" s="45">
        <f>T7</f>
        <v>3.0680000000000001</v>
      </c>
      <c r="U8" t="s">
        <v>29</v>
      </c>
      <c r="X8" s="45">
        <f>X7</f>
        <v>3.0680000000000001</v>
      </c>
      <c r="Y8" t="s">
        <v>29</v>
      </c>
      <c r="AA8" t="s">
        <v>81</v>
      </c>
    </row>
    <row r="9" spans="1:29" x14ac:dyDescent="0.25">
      <c r="R9" t="s">
        <v>67</v>
      </c>
      <c r="T9" s="46">
        <f>PI()*(T8*25.4/1000)^2/4</f>
        <v>4.7694469787326055E-3</v>
      </c>
      <c r="U9" t="s">
        <v>135</v>
      </c>
      <c r="V9" t="s">
        <v>67</v>
      </c>
      <c r="X9" s="46">
        <f>PI()*(X8*25.4/1000)^2/4</f>
        <v>4.7694469787326055E-3</v>
      </c>
      <c r="Y9" t="s">
        <v>135</v>
      </c>
      <c r="AA9" s="45">
        <f t="array" ref="AA9:AC11">LINEST(T23:T32,R23:R32^{1,2},TRUE,TRUE)</f>
        <v>-0.20305808573500314</v>
      </c>
      <c r="AB9" s="45">
        <v>5.5931621358501831</v>
      </c>
      <c r="AC9" s="45">
        <v>30.205168380984937</v>
      </c>
    </row>
    <row r="10" spans="1:29" x14ac:dyDescent="0.25">
      <c r="B10" t="s">
        <v>8</v>
      </c>
      <c r="E10" s="20">
        <v>21.3</v>
      </c>
      <c r="F10" s="24" t="s">
        <v>129</v>
      </c>
      <c r="R10" t="s">
        <v>45</v>
      </c>
      <c r="T10" s="47">
        <f>E10/(T9*3600)</f>
        <v>1.2405351591179474</v>
      </c>
      <c r="U10" t="s">
        <v>136</v>
      </c>
      <c r="V10" t="s">
        <v>45</v>
      </c>
      <c r="X10" s="47">
        <f>E10/(X9*3600)</f>
        <v>1.2405351591179474</v>
      </c>
      <c r="Y10" t="s">
        <v>136</v>
      </c>
      <c r="AA10" s="45">
        <v>1.8183481314959886E-3</v>
      </c>
      <c r="AB10" s="45">
        <v>4.6039402842668116E-2</v>
      </c>
      <c r="AC10" s="45">
        <v>0.21982205013986481</v>
      </c>
    </row>
    <row r="11" spans="1:29" x14ac:dyDescent="0.25">
      <c r="B11" t="s">
        <v>11</v>
      </c>
      <c r="E11" s="52">
        <v>1350</v>
      </c>
      <c r="F11" s="24" t="s">
        <v>130</v>
      </c>
      <c r="R11" t="s">
        <v>69</v>
      </c>
      <c r="T11" s="48">
        <f>(T8*25.4/1000)*T10*E11*1000/E12</f>
        <v>318308.37185288238</v>
      </c>
      <c r="V11" t="s">
        <v>69</v>
      </c>
      <c r="X11" s="48">
        <f>(X8*25.4/1000)*X10*E11*1000/E12</f>
        <v>318308.37185288238</v>
      </c>
      <c r="AA11" s="45">
        <v>0.99955232399121863</v>
      </c>
      <c r="AB11" s="45">
        <v>0.27709715061244794</v>
      </c>
      <c r="AC11" s="45" t="e">
        <v>#N/A</v>
      </c>
    </row>
    <row r="12" spans="1:29" x14ac:dyDescent="0.25">
      <c r="B12" t="s">
        <v>13</v>
      </c>
      <c r="E12" s="19">
        <v>0.41</v>
      </c>
      <c r="F12" s="24" t="s">
        <v>14</v>
      </c>
      <c r="R12" t="s">
        <v>70</v>
      </c>
      <c r="T12" s="45">
        <f>E32/E30</f>
        <v>5.8670143415906126E-4</v>
      </c>
      <c r="V12" t="s">
        <v>70</v>
      </c>
      <c r="X12" s="45">
        <f>M32/M30</f>
        <v>5.8670143415906126E-4</v>
      </c>
    </row>
    <row r="13" spans="1:29" x14ac:dyDescent="0.25">
      <c r="B13" t="s">
        <v>15</v>
      </c>
      <c r="E13" s="20">
        <v>1.0342136</v>
      </c>
      <c r="F13" s="24" t="s">
        <v>132</v>
      </c>
      <c r="R13" t="s">
        <v>71</v>
      </c>
      <c r="T13" s="49">
        <f>(-2.457*LN((7/T11)^0.9+0.27*T12))^16</f>
        <v>1.1041433806402224E+21</v>
      </c>
      <c r="V13" t="s">
        <v>71</v>
      </c>
      <c r="X13" s="49">
        <f>(-2.457*LN((7/X11)^0.9+0.27*X12))^16</f>
        <v>1.1041433806402224E+21</v>
      </c>
      <c r="AA13" t="s">
        <v>106</v>
      </c>
    </row>
    <row r="14" spans="1:29" x14ac:dyDescent="0.25">
      <c r="R14" t="s">
        <v>72</v>
      </c>
      <c r="T14" s="50">
        <f>(37530/T11)^16</f>
        <v>1.3947232854222123E-15</v>
      </c>
      <c r="V14" t="s">
        <v>72</v>
      </c>
      <c r="X14" s="50">
        <f>(37530/X11)^16</f>
        <v>1.3947232854222123E-15</v>
      </c>
      <c r="AA14" s="45">
        <f t="array" ref="AA14:AC16">LINEST(AS27:AS47,W27:W47^{1,2},TRUE,TRUE)</f>
        <v>5.3234263208732655E-3</v>
      </c>
      <c r="AB14" s="45">
        <v>6.295667990539708E-3</v>
      </c>
      <c r="AC14" s="45">
        <v>41.877371213460869</v>
      </c>
    </row>
    <row r="15" spans="1:29" x14ac:dyDescent="0.25">
      <c r="B15" t="s">
        <v>104</v>
      </c>
      <c r="E15" s="30">
        <f>IFERROR(M50-E50,"")</f>
        <v>5.8837620634733403</v>
      </c>
      <c r="F15" s="24" t="s">
        <v>131</v>
      </c>
      <c r="G15" s="31"/>
      <c r="R15" t="s">
        <v>73</v>
      </c>
      <c r="T15" s="46">
        <f>8*((8/T11)^12+1/(T13+T14)^1.5)^(1/12)</f>
        <v>1.8737506773140795E-2</v>
      </c>
      <c r="V15" t="s">
        <v>73</v>
      </c>
      <c r="X15" s="46">
        <f>8*((8/X11)^12+1/(X13+X14)^1.5)^(1/12)</f>
        <v>1.8737506773140795E-2</v>
      </c>
      <c r="AA15" s="45">
        <v>3.3596884125283191E-6</v>
      </c>
      <c r="AB15" s="45">
        <v>1.4226629232024198E-4</v>
      </c>
      <c r="AC15" s="45">
        <v>1.2550430571343077E-3</v>
      </c>
    </row>
    <row r="16" spans="1:29" x14ac:dyDescent="0.25">
      <c r="B16" t="s">
        <v>103</v>
      </c>
      <c r="E16" s="27">
        <f>IFERROR(E15*100000/(E11*9.81),"")</f>
        <v>44.427546067681057</v>
      </c>
      <c r="F16" s="24" t="s">
        <v>133</v>
      </c>
      <c r="G16" s="36"/>
      <c r="R16" t="s">
        <v>74</v>
      </c>
      <c r="T16" s="47">
        <f>E11*T15*100*T10^2/((T8*25.4/1000)*2*100000)</f>
        <v>0.24977252187503582</v>
      </c>
      <c r="U16" t="s">
        <v>137</v>
      </c>
      <c r="V16" t="s">
        <v>44</v>
      </c>
      <c r="X16" s="47">
        <f>E11*X15*100*X10^2/((X8*25.4/1000)*2*100000)</f>
        <v>0.24977252187503582</v>
      </c>
      <c r="Y16" t="s">
        <v>137</v>
      </c>
      <c r="AA16" s="45">
        <v>0.99999953851918866</v>
      </c>
      <c r="AB16" s="45">
        <v>2.1025833767629168E-3</v>
      </c>
      <c r="AC16" s="45" t="e">
        <v>#N/A</v>
      </c>
    </row>
    <row r="17" spans="2:47" x14ac:dyDescent="0.25">
      <c r="B17" t="s">
        <v>52</v>
      </c>
      <c r="E17" s="28">
        <f>IFERROR(E16*E10*(E11/1000)*9.8/3600,"")</f>
        <v>3.4776772373129048</v>
      </c>
      <c r="F17" s="24" t="s">
        <v>138</v>
      </c>
      <c r="G17" s="2"/>
      <c r="R17" t="s">
        <v>17</v>
      </c>
      <c r="T17" s="50">
        <f>E21+E22*(E11*9.81/100000)-E23-E24-G46-E49*E27/100</f>
        <v>1.6124877390757071</v>
      </c>
      <c r="U17" t="s">
        <v>131</v>
      </c>
      <c r="V17" t="s">
        <v>17</v>
      </c>
      <c r="X17" s="50">
        <f>M21+M22*(E11*9.81/100000)+M23+M24+O46+M49*M27/100</f>
        <v>7.4962498025490474</v>
      </c>
      <c r="Y17" t="s">
        <v>131</v>
      </c>
    </row>
    <row r="18" spans="2:47" x14ac:dyDescent="0.25">
      <c r="B18" t="s">
        <v>53</v>
      </c>
      <c r="E18" s="34">
        <f>IFERROR((E50-E13)*100000/(E11*9.81),"")</f>
        <v>4.3664751695224613</v>
      </c>
      <c r="F18" s="24" t="s">
        <v>133</v>
      </c>
      <c r="G18" s="53"/>
      <c r="AA18" t="s">
        <v>107</v>
      </c>
      <c r="AG18" t="s">
        <v>79</v>
      </c>
      <c r="AH18" s="50">
        <f>AA9*AC23^2+AB9*AC23+AC9</f>
        <v>61.543933479744517</v>
      </c>
      <c r="AI18" t="s">
        <v>57</v>
      </c>
    </row>
    <row r="19" spans="2:47" x14ac:dyDescent="0.25">
      <c r="AA19" s="45">
        <f>AA4-AA14</f>
        <v>-9.9659037272130727E-2</v>
      </c>
      <c r="AB19" s="45">
        <f>AB4-AB14</f>
        <v>-0.54663817119809366</v>
      </c>
      <c r="AC19" s="45">
        <f>AC4-AC14</f>
        <v>49.522880628536008</v>
      </c>
    </row>
    <row r="20" spans="2:47" x14ac:dyDescent="0.25">
      <c r="B20" s="35" t="s">
        <v>75</v>
      </c>
      <c r="J20" s="35" t="s">
        <v>76</v>
      </c>
      <c r="R20" t="s">
        <v>78</v>
      </c>
      <c r="W20" t="s">
        <v>82</v>
      </c>
      <c r="Y20" s="51">
        <f>M53</f>
        <v>40.882446999999999</v>
      </c>
    </row>
    <row r="21" spans="2:47" x14ac:dyDescent="0.25">
      <c r="B21" t="s">
        <v>17</v>
      </c>
      <c r="D21" s="9" t="s">
        <v>121</v>
      </c>
      <c r="E21" s="20">
        <f>1.01325+0.45</f>
        <v>1.4632499999999999</v>
      </c>
      <c r="F21" s="24" t="s">
        <v>132</v>
      </c>
      <c r="J21" t="s">
        <v>17</v>
      </c>
      <c r="L21" s="9" t="s">
        <v>122</v>
      </c>
      <c r="M21" s="20">
        <f>1.01325+6</f>
        <v>7.0132500000000002</v>
      </c>
      <c r="N21" s="24" t="s">
        <v>132</v>
      </c>
      <c r="W21" t="s">
        <v>83</v>
      </c>
      <c r="Y21" s="45">
        <v>20</v>
      </c>
      <c r="AA21" t="s">
        <v>108</v>
      </c>
      <c r="AC21" s="45">
        <f>AB19^2-4*AA19*AC19</f>
        <v>20.040423715740999</v>
      </c>
      <c r="AD21" s="45" t="b">
        <f>IF(AC21&lt;0,FALSE,TRUE)</f>
        <v>1</v>
      </c>
      <c r="AE21" s="45">
        <f>SQRT(AC21)</f>
        <v>4.476653182427806</v>
      </c>
      <c r="AH21" t="s">
        <v>111</v>
      </c>
      <c r="AI21" t="s">
        <v>112</v>
      </c>
    </row>
    <row r="22" spans="2:47" x14ac:dyDescent="0.25">
      <c r="B22" t="s">
        <v>18</v>
      </c>
      <c r="D22" s="9" t="s">
        <v>127</v>
      </c>
      <c r="E22" s="20">
        <v>1.524</v>
      </c>
      <c r="F22" s="24" t="s">
        <v>133</v>
      </c>
      <c r="J22" t="s">
        <v>18</v>
      </c>
      <c r="L22" s="9" t="s">
        <v>128</v>
      </c>
      <c r="M22" s="20">
        <v>1.5</v>
      </c>
      <c r="N22" s="24" t="s">
        <v>133</v>
      </c>
      <c r="R22" t="s">
        <v>55</v>
      </c>
      <c r="S22" t="s">
        <v>56</v>
      </c>
      <c r="T22" t="s">
        <v>79</v>
      </c>
      <c r="W22" t="s">
        <v>84</v>
      </c>
      <c r="Y22" s="51">
        <f>Y20/Y21</f>
        <v>2.0441223499999999</v>
      </c>
      <c r="AA22" t="s">
        <v>109</v>
      </c>
      <c r="AC22" s="45">
        <f>(-1*AB19+AE21)/(2*AA19)</f>
        <v>-25.202387516092553</v>
      </c>
      <c r="AD22" s="50">
        <f>(-1*AB19-AE21)/(2*AA19)</f>
        <v>19.717303712749821</v>
      </c>
      <c r="AH22" s="47">
        <f>AC23</f>
        <v>19.717303712749821</v>
      </c>
      <c r="AI22" s="45">
        <v>0</v>
      </c>
    </row>
    <row r="23" spans="2:47" x14ac:dyDescent="0.25">
      <c r="B23" t="s">
        <v>20</v>
      </c>
      <c r="E23" s="19">
        <v>0</v>
      </c>
      <c r="F23" s="24" t="s">
        <v>131</v>
      </c>
      <c r="J23" t="s">
        <v>20</v>
      </c>
      <c r="M23" s="19">
        <v>0</v>
      </c>
      <c r="N23" s="24" t="s">
        <v>131</v>
      </c>
      <c r="Q23">
        <v>1</v>
      </c>
      <c r="R23" s="45">
        <f>C57</f>
        <v>0</v>
      </c>
      <c r="S23" s="45">
        <f>D57</f>
        <v>91.44</v>
      </c>
      <c r="T23" s="45">
        <f>E57</f>
        <v>30</v>
      </c>
      <c r="AA23" t="s">
        <v>110</v>
      </c>
      <c r="AC23" s="47">
        <f>IF(AD21,IF(AC22&gt;0,AC22,IF(AD22&gt;0,AD22,0)),0)</f>
        <v>19.717303712749821</v>
      </c>
      <c r="AD23" t="s">
        <v>86</v>
      </c>
      <c r="AE23" t="s">
        <v>56</v>
      </c>
      <c r="AF23" s="50">
        <f>AA14*AC23^2+AB14*AC23+AC14</f>
        <v>44.071104258676982</v>
      </c>
      <c r="AG23" t="s">
        <v>19</v>
      </c>
      <c r="AH23" s="47">
        <f>AC23</f>
        <v>19.717303712749821</v>
      </c>
      <c r="AI23" s="50">
        <f>AF23</f>
        <v>44.071104258676982</v>
      </c>
    </row>
    <row r="24" spans="2:47" x14ac:dyDescent="0.25">
      <c r="B24" t="s">
        <v>21</v>
      </c>
      <c r="E24" s="19">
        <v>0</v>
      </c>
      <c r="F24" s="24" t="s">
        <v>131</v>
      </c>
      <c r="J24" t="s">
        <v>21</v>
      </c>
      <c r="M24" s="19">
        <v>0</v>
      </c>
      <c r="N24" s="24" t="s">
        <v>131</v>
      </c>
      <c r="Q24">
        <v>2</v>
      </c>
      <c r="R24" s="45">
        <f t="shared" ref="R24:R32" si="0">IF(C58="",R23,C58)</f>
        <v>2.2712471000000001</v>
      </c>
      <c r="S24" s="45">
        <f t="shared" ref="S24:S32" si="1">IF(D58="",S23,D58)</f>
        <v>89.611199999999997</v>
      </c>
      <c r="T24" s="45">
        <f t="shared" ref="T24:T32" si="2">IF(E58="",T23,E58)</f>
        <v>42</v>
      </c>
      <c r="X24" t="s">
        <v>85</v>
      </c>
    </row>
    <row r="25" spans="2:47" x14ac:dyDescent="0.25">
      <c r="Q25">
        <v>3</v>
      </c>
      <c r="R25" s="45">
        <f t="shared" si="0"/>
        <v>5.6781177500000002</v>
      </c>
      <c r="S25" s="45">
        <f t="shared" si="1"/>
        <v>85.343999999999994</v>
      </c>
      <c r="T25" s="45">
        <f t="shared" si="2"/>
        <v>55.5</v>
      </c>
      <c r="W25" t="s">
        <v>55</v>
      </c>
      <c r="X25" t="s">
        <v>45</v>
      </c>
      <c r="Y25" t="s">
        <v>87</v>
      </c>
      <c r="Z25" t="s">
        <v>71</v>
      </c>
      <c r="AA25" t="s">
        <v>72</v>
      </c>
      <c r="AB25" t="s">
        <v>73</v>
      </c>
      <c r="AC25" t="s">
        <v>74</v>
      </c>
      <c r="AD25" t="s">
        <v>88</v>
      </c>
      <c r="AE25" t="s">
        <v>89</v>
      </c>
      <c r="AF25" t="s">
        <v>33</v>
      </c>
      <c r="AG25" t="s">
        <v>90</v>
      </c>
      <c r="AH25" t="s">
        <v>91</v>
      </c>
      <c r="AI25" t="s">
        <v>92</v>
      </c>
      <c r="AJ25" t="s">
        <v>93</v>
      </c>
      <c r="AK25" t="s">
        <v>94</v>
      </c>
      <c r="AL25" t="s">
        <v>95</v>
      </c>
      <c r="AM25" t="s">
        <v>96</v>
      </c>
      <c r="AN25" t="s">
        <v>97</v>
      </c>
      <c r="AO25" t="s">
        <v>98</v>
      </c>
      <c r="AP25" t="s">
        <v>44</v>
      </c>
      <c r="AQ25" t="s">
        <v>99</v>
      </c>
      <c r="AR25" t="s">
        <v>102</v>
      </c>
      <c r="AS25" t="s">
        <v>113</v>
      </c>
      <c r="AT25" t="s">
        <v>105</v>
      </c>
      <c r="AU25" t="s">
        <v>114</v>
      </c>
    </row>
    <row r="26" spans="2:47" x14ac:dyDescent="0.25">
      <c r="B26" s="22" t="s">
        <v>23</v>
      </c>
      <c r="J26" s="22" t="s">
        <v>23</v>
      </c>
      <c r="Q26">
        <v>4</v>
      </c>
      <c r="R26" s="45">
        <f t="shared" si="0"/>
        <v>9.0849884000000003</v>
      </c>
      <c r="S26" s="45">
        <f t="shared" si="1"/>
        <v>78.638400000000004</v>
      </c>
      <c r="T26" s="45">
        <f t="shared" si="2"/>
        <v>64.5</v>
      </c>
      <c r="W26" t="s">
        <v>139</v>
      </c>
      <c r="X26" t="s">
        <v>136</v>
      </c>
      <c r="AD26" s="45">
        <f>IF(E35="",0,E35)</f>
        <v>1</v>
      </c>
      <c r="AE26" s="45">
        <f>IF(E36="",0,E36)</f>
        <v>1</v>
      </c>
      <c r="AF26" s="45">
        <f>IF(E37="",0,E37)</f>
        <v>1</v>
      </c>
      <c r="AG26" s="45">
        <f>IF(E38="",0,E38)</f>
        <v>1</v>
      </c>
      <c r="AH26" s="45">
        <f>IF(E39="",0,E39)</f>
        <v>0</v>
      </c>
      <c r="AI26" s="45">
        <f>IF(E40="",0,E40)</f>
        <v>0</v>
      </c>
      <c r="AJ26" s="45">
        <f>IF(E41="",0,E41)</f>
        <v>1</v>
      </c>
      <c r="AK26" s="45">
        <f>IF(E42="",0,E42)</f>
        <v>0</v>
      </c>
      <c r="AL26" s="45">
        <f>IF(E43="",0,E43)</f>
        <v>1</v>
      </c>
      <c r="AM26" s="45">
        <f>IF(E44="",0,E44)</f>
        <v>0</v>
      </c>
      <c r="AN26" s="45">
        <f>IF(E45="",0,E45)</f>
        <v>1</v>
      </c>
      <c r="AU26" t="s">
        <v>57</v>
      </c>
    </row>
    <row r="27" spans="2:47" x14ac:dyDescent="0.25">
      <c r="B27" t="s">
        <v>24</v>
      </c>
      <c r="D27" s="9" t="s">
        <v>123</v>
      </c>
      <c r="E27" s="20">
        <v>1</v>
      </c>
      <c r="F27" s="24" t="s">
        <v>133</v>
      </c>
      <c r="J27" t="s">
        <v>24</v>
      </c>
      <c r="L27" s="9" t="s">
        <v>124</v>
      </c>
      <c r="M27" s="20">
        <v>100</v>
      </c>
      <c r="N27" s="24" t="s">
        <v>133</v>
      </c>
      <c r="Q27">
        <v>5</v>
      </c>
      <c r="R27" s="45">
        <f t="shared" si="0"/>
        <v>11.3562355</v>
      </c>
      <c r="S27" s="45">
        <f t="shared" si="1"/>
        <v>73.152000000000001</v>
      </c>
      <c r="T27" s="45">
        <f t="shared" si="2"/>
        <v>67.5</v>
      </c>
      <c r="V27">
        <v>1</v>
      </c>
      <c r="W27" s="51">
        <v>0</v>
      </c>
      <c r="X27" s="47">
        <f>(W27)/($T$9*3600)</f>
        <v>0</v>
      </c>
      <c r="Y27" s="48">
        <f>($T$8*25.4/1000)*X27*$E$11*1000/$E$12</f>
        <v>0</v>
      </c>
      <c r="Z27" s="49">
        <f>IFERROR((-2.457*LN((7/Y27)^0.9+0.27*$T$12))^16,0)</f>
        <v>0</v>
      </c>
      <c r="AA27" s="49">
        <f>IFERROR((37530/Y27)^16,0)</f>
        <v>0</v>
      </c>
      <c r="AB27" s="46">
        <f>IFERROR(8*((8/Y27)^12+1/(Z27+AA27)^1.5)^(1/12),0)</f>
        <v>0</v>
      </c>
      <c r="AC27" s="47">
        <f>IFERROR($E$11*AB27*100*X27^2/(($T$8*25.4/1000)*2*100000),0)</f>
        <v>0</v>
      </c>
      <c r="AD27" s="50">
        <f>IFERROR(800/Y27+0.2*(1+1/$T$8),0)</f>
        <v>0</v>
      </c>
      <c r="AE27" s="50">
        <f>IFERROR(500/Y27+0.15*(1+1/$T$8),0)</f>
        <v>0</v>
      </c>
      <c r="AF27" s="50">
        <f>IFERROR(150/Y27+0.5*(1+1/$T$8),0)</f>
        <v>0</v>
      </c>
      <c r="AG27" s="50">
        <f>IFERROR(800/Y27+0.8*(1+1/$T$8),0)</f>
        <v>0</v>
      </c>
      <c r="AH27" s="50">
        <f>IFERROR(500/Y27+0.15*(1+1/$T$8),0)</f>
        <v>0</v>
      </c>
      <c r="AI27" s="50">
        <f>IFERROR(800/Y27+0.25*(1+1/$T$8),0)</f>
        <v>0</v>
      </c>
      <c r="AJ27" s="50">
        <f>IFERROR(300/Y27+0.1*(1+1/$T$8),0)</f>
        <v>0</v>
      </c>
      <c r="AK27" s="50">
        <f>IFERROR(1500/Y27+4*(1+1/$T$8),0)</f>
        <v>0</v>
      </c>
      <c r="AL27" s="50">
        <f>IFERROR(1500/Y27+1.5*(1+1/$T$8),0)</f>
        <v>0</v>
      </c>
      <c r="AM27" s="50">
        <f>IFERROR(1000/Y27+0.25*(1+1/$T$8),0)</f>
        <v>0</v>
      </c>
      <c r="AN27" s="50">
        <f>IFERROR(160/Y27+0.5,0)</f>
        <v>0</v>
      </c>
      <c r="AO27" s="50">
        <f>SUMPRODUCT($AD$26:$AN$26,AD27:AN27)</f>
        <v>0</v>
      </c>
      <c r="AP27" s="47">
        <f>AO27*X27^2*($E$11)/(2*100000)</f>
        <v>0</v>
      </c>
      <c r="AQ27" s="50">
        <f>$E$21+$E$22*($E$11*9.81)/100000-$E$23-$E$24-AP27-AC27*$E$27/100</f>
        <v>1.66508094</v>
      </c>
      <c r="AR27" s="50">
        <f>AQ52-AQ27</f>
        <v>5.5468215599999997</v>
      </c>
      <c r="AS27" s="51">
        <f>AR27*100000/($E$11*9.81)</f>
        <v>41.8833507758523</v>
      </c>
      <c r="AT27" s="51">
        <f>$AA$4*W27^2+$AB$4*W27+$AC$4</f>
        <v>91.400251841996877</v>
      </c>
      <c r="AU27" s="50">
        <f>$AA$9*W27^2+$AB$9*W27+$AC$9</f>
        <v>30.205168380984937</v>
      </c>
    </row>
    <row r="28" spans="2:47" x14ac:dyDescent="0.25">
      <c r="B28" t="s">
        <v>28</v>
      </c>
      <c r="E28" s="16">
        <v>3</v>
      </c>
      <c r="F28" s="24" t="s">
        <v>29</v>
      </c>
      <c r="J28" t="s">
        <v>28</v>
      </c>
      <c r="M28" s="16">
        <v>3</v>
      </c>
      <c r="N28" s="24" t="s">
        <v>29</v>
      </c>
      <c r="Q28">
        <v>6</v>
      </c>
      <c r="R28" s="45">
        <f t="shared" si="0"/>
        <v>17.034353249999999</v>
      </c>
      <c r="S28" s="45">
        <f t="shared" si="1"/>
        <v>54.863999999999997</v>
      </c>
      <c r="T28" s="45">
        <f t="shared" si="2"/>
        <v>66</v>
      </c>
      <c r="V28">
        <v>2</v>
      </c>
      <c r="W28" s="51">
        <f>W27+$Y$22</f>
        <v>2.0441223499999999</v>
      </c>
      <c r="X28" s="47">
        <f t="shared" ref="X28:X47" si="3">(W28)/($T$9*3600)</f>
        <v>0.11905190820252592</v>
      </c>
      <c r="Y28" s="48">
        <f t="shared" ref="Y28:Y47" si="4">($T$8*25.4/1000)*X28*$E$11*1000/$E$12</f>
        <v>30547.476858994727</v>
      </c>
      <c r="Z28" s="49">
        <f t="shared" ref="Z28:Z47" si="5">IFERROR((-2.457*LN((7/Y28)^0.9+0.27*$T$12))^16,0)</f>
        <v>1.101387004756896E+20</v>
      </c>
      <c r="AA28" s="49">
        <f>IFERROR((37530/Y28)^16,0)</f>
        <v>26.943345420343743</v>
      </c>
      <c r="AB28" s="46">
        <f t="shared" ref="AB28:AB47" si="6">IFERROR(8*((8/Y28)^12+1/(Z28+AA28)^1.5)^(1/12),0)</f>
        <v>2.499467496574212E-2</v>
      </c>
      <c r="AC28" s="47">
        <f t="shared" ref="AC28:AC47" si="7">IFERROR($E$11*AB28*100*X28^2/(($T$8*25.4/1000)*2*100000),0)</f>
        <v>3.0685620951371403E-3</v>
      </c>
      <c r="AD28" s="50">
        <f t="shared" ref="AD28:AD47" si="8">IFERROR(800/Y28+0.2*(1+1/$T$8),0)</f>
        <v>0.29137779056034169</v>
      </c>
      <c r="AE28" s="50">
        <f t="shared" ref="AE28:AE47" si="9">IFERROR(500/Y28+0.15*(1+1/$T$8),0)</f>
        <v>0.21525975013020054</v>
      </c>
      <c r="AF28" s="50">
        <f t="shared" ref="AF28:AF47" si="10">IFERROR(150/Y28+0.5*(1+1/$T$8),0)</f>
        <v>0.66788300978482285</v>
      </c>
      <c r="AG28" s="50">
        <f t="shared" ref="AG28:AG47" si="11">IFERROR(800/Y28+0.8*(1+1/$T$8),0)</f>
        <v>1.0869449352800289</v>
      </c>
      <c r="AH28" s="50">
        <f t="shared" ref="AH28:AH47" si="12">IFERROR(500/Y28+0.15*(1+1/$T$8),0)</f>
        <v>0.21525975013020054</v>
      </c>
      <c r="AI28" s="50">
        <f t="shared" ref="AI28:AI47" si="13">IFERROR(800/Y28+0.25*(1+1/$T$8),0)</f>
        <v>0.35767505262031563</v>
      </c>
      <c r="AJ28" s="50">
        <f t="shared" ref="AJ28:AJ47" si="14">IFERROR(300/Y28+0.1*(1+1/$T$8),0)</f>
        <v>0.14241530249011511</v>
      </c>
      <c r="AK28" s="50">
        <f t="shared" ref="AK28:AK47" si="15">IFERROR(1500/Y28+4*(1+1/$T$8),0)</f>
        <v>5.3528848566487506</v>
      </c>
      <c r="AL28" s="50">
        <f t="shared" ref="AL28:AL47" si="16">IFERROR(1500/Y28+1.5*(1+1/$T$8),0)</f>
        <v>2.038021753650054</v>
      </c>
      <c r="AM28" s="50">
        <f t="shared" ref="AM28:AM47" si="17">IFERROR(1000/Y28+0.25*(1+1/$T$8),0)</f>
        <v>0.36422223820042715</v>
      </c>
      <c r="AN28" s="50">
        <f t="shared" ref="AN28:AN47" si="18">IFERROR(160/Y28+0.5,0)</f>
        <v>0.5052377484640892</v>
      </c>
      <c r="AO28" s="50">
        <f t="shared" ref="AO28:AO47" si="19">SUMPRODUCT($AD$26:$AN$26,AD28:AN28)</f>
        <v>4.947140290359652</v>
      </c>
      <c r="AP28" s="47">
        <f t="shared" ref="AP28:AP47" si="20">AO28*X28^2*($E$11)/(2*100000)</f>
        <v>4.7329369676394527E-4</v>
      </c>
      <c r="AQ28" s="50">
        <f t="shared" ref="AQ28:AQ47" si="21">$E$21+$E$22*($E$11*9.81)/100000-$E$23-$E$24-AP28-AC28*$E$27/100</f>
        <v>1.6645769606822847</v>
      </c>
      <c r="AR28" s="50">
        <f t="shared" ref="AR28:AR47" si="22">AQ53-AQ28</f>
        <v>5.5507197512281117</v>
      </c>
      <c r="AS28" s="51">
        <f t="shared" ref="AS28:AS47" si="23">AR28*100000/($E$11*9.81)</f>
        <v>41.912785526696958</v>
      </c>
      <c r="AT28" s="51">
        <f t="shared" ref="AT28:AT47" si="24">$AA$4*W28^2+$AB$4*W28+$AC$4</f>
        <v>89.901550324507298</v>
      </c>
      <c r="AU28" s="50">
        <f t="shared" ref="AU28:AU47" si="25">$AA$9*W28^2+$AB$9*W28+$AC$9</f>
        <v>40.789810857614036</v>
      </c>
    </row>
    <row r="29" spans="2:47" x14ac:dyDescent="0.25">
      <c r="B29" t="s">
        <v>25</v>
      </c>
      <c r="E29" s="18">
        <v>40</v>
      </c>
      <c r="J29" t="s">
        <v>25</v>
      </c>
      <c r="M29" s="18">
        <v>40</v>
      </c>
      <c r="Q29">
        <v>7</v>
      </c>
      <c r="R29" s="45">
        <f t="shared" si="0"/>
        <v>20.441223900000001</v>
      </c>
      <c r="S29" s="45">
        <f t="shared" si="1"/>
        <v>40.843200000000003</v>
      </c>
      <c r="T29" s="45">
        <f t="shared" si="2"/>
        <v>60</v>
      </c>
      <c r="V29">
        <v>3</v>
      </c>
      <c r="W29" s="51">
        <f t="shared" ref="W29:W47" si="26">W28+$Y$22</f>
        <v>4.0882446999999997</v>
      </c>
      <c r="X29" s="47">
        <f t="shared" si="3"/>
        <v>0.23810381640505185</v>
      </c>
      <c r="Y29" s="48">
        <f t="shared" si="4"/>
        <v>61094.953717989454</v>
      </c>
      <c r="Z29" s="49">
        <f t="shared" si="5"/>
        <v>2.8280415649611373E+20</v>
      </c>
      <c r="AA29" s="49">
        <f t="shared" ref="AA29:AA47" si="27">IFERROR((37530/Y29)^16,0)</f>
        <v>4.1112282440710057E-4</v>
      </c>
      <c r="AB29" s="46">
        <f t="shared" si="6"/>
        <v>2.2215406451394026E-2</v>
      </c>
      <c r="AC29" s="47">
        <f t="shared" si="7"/>
        <v>1.0909420387862006E-2</v>
      </c>
      <c r="AD29" s="50">
        <f t="shared" si="8"/>
        <v>0.27828341940011869</v>
      </c>
      <c r="AE29" s="50">
        <f t="shared" si="9"/>
        <v>0.20707576815506115</v>
      </c>
      <c r="AF29" s="50">
        <f t="shared" si="10"/>
        <v>0.66542781519228111</v>
      </c>
      <c r="AG29" s="50">
        <f t="shared" si="11"/>
        <v>1.0738505641198057</v>
      </c>
      <c r="AH29" s="50">
        <f t="shared" si="12"/>
        <v>0.20707576815506115</v>
      </c>
      <c r="AI29" s="50">
        <f t="shared" si="13"/>
        <v>0.34458068146009263</v>
      </c>
      <c r="AJ29" s="50">
        <f t="shared" si="14"/>
        <v>0.13750491330503148</v>
      </c>
      <c r="AK29" s="50">
        <f t="shared" si="15"/>
        <v>5.3283329107233319</v>
      </c>
      <c r="AL29" s="50">
        <f t="shared" si="16"/>
        <v>2.0134698077246358</v>
      </c>
      <c r="AM29" s="50">
        <f t="shared" si="17"/>
        <v>0.34785427425014837</v>
      </c>
      <c r="AN29" s="50">
        <f t="shared" si="18"/>
        <v>0.50261887423204465</v>
      </c>
      <c r="AO29" s="50">
        <f t="shared" si="19"/>
        <v>4.8782311621289782</v>
      </c>
      <c r="AP29" s="47">
        <f t="shared" si="20"/>
        <v>1.8668045981168251E-3</v>
      </c>
      <c r="AQ29" s="50">
        <f t="shared" si="21"/>
        <v>1.6631050411980046</v>
      </c>
      <c r="AR29" s="50">
        <f t="shared" si="22"/>
        <v>5.5609935060086588</v>
      </c>
      <c r="AS29" s="51">
        <f t="shared" si="23"/>
        <v>41.990361354692183</v>
      </c>
      <c r="AT29" s="51">
        <f t="shared" si="24"/>
        <v>87.614498146961594</v>
      </c>
      <c r="AU29" s="50">
        <f t="shared" si="25"/>
        <v>49.677522829371142</v>
      </c>
    </row>
    <row r="30" spans="2:47" x14ac:dyDescent="0.25">
      <c r="B30" t="s">
        <v>27</v>
      </c>
      <c r="D30" s="9" t="s">
        <v>126</v>
      </c>
      <c r="E30" s="28">
        <f>IF(T8=0,"",T8*25.4)</f>
        <v>77.927199999999999</v>
      </c>
      <c r="F30" s="24" t="s">
        <v>134</v>
      </c>
      <c r="J30" t="s">
        <v>27</v>
      </c>
      <c r="L30" s="9" t="s">
        <v>125</v>
      </c>
      <c r="M30" s="28">
        <f>IF(X8=0,"",X8*25.4)</f>
        <v>77.927199999999999</v>
      </c>
      <c r="N30" s="24" t="s">
        <v>134</v>
      </c>
      <c r="Q30">
        <v>8</v>
      </c>
      <c r="R30" s="45">
        <f t="shared" si="0"/>
        <v>22.712471000000001</v>
      </c>
      <c r="S30" s="45">
        <f t="shared" si="1"/>
        <v>30.48</v>
      </c>
      <c r="T30" s="45">
        <f t="shared" si="2"/>
        <v>52.5</v>
      </c>
      <c r="V30">
        <v>4</v>
      </c>
      <c r="W30" s="51">
        <f t="shared" si="26"/>
        <v>6.1323670499999992</v>
      </c>
      <c r="X30" s="47">
        <f t="shared" si="3"/>
        <v>0.35715572460757777</v>
      </c>
      <c r="Y30" s="48">
        <f t="shared" si="4"/>
        <v>91642.430576984174</v>
      </c>
      <c r="Z30" s="49">
        <f t="shared" si="5"/>
        <v>4.4188400560142379E+20</v>
      </c>
      <c r="AA30" s="49">
        <f t="shared" si="27"/>
        <v>6.2590935603071285E-7</v>
      </c>
      <c r="AB30" s="46">
        <f t="shared" si="6"/>
        <v>2.1010019317855556E-2</v>
      </c>
      <c r="AC30" s="47">
        <f t="shared" si="7"/>
        <v>2.3214342289592082E-2</v>
      </c>
      <c r="AD30" s="50">
        <f t="shared" si="8"/>
        <v>0.27391862901337771</v>
      </c>
      <c r="AE30" s="50">
        <f t="shared" si="9"/>
        <v>0.20434777416334804</v>
      </c>
      <c r="AF30" s="50">
        <f t="shared" si="10"/>
        <v>0.66460941699476717</v>
      </c>
      <c r="AG30" s="50">
        <f t="shared" si="11"/>
        <v>1.0694857737330647</v>
      </c>
      <c r="AH30" s="50">
        <f t="shared" si="12"/>
        <v>0.20434777416334804</v>
      </c>
      <c r="AI30" s="50">
        <f t="shared" si="13"/>
        <v>0.34021589107335165</v>
      </c>
      <c r="AJ30" s="50">
        <f t="shared" si="14"/>
        <v>0.13586811691000361</v>
      </c>
      <c r="AK30" s="50">
        <f t="shared" si="15"/>
        <v>5.3201489287481927</v>
      </c>
      <c r="AL30" s="50">
        <f t="shared" si="16"/>
        <v>2.0052858257494965</v>
      </c>
      <c r="AM30" s="50">
        <f t="shared" si="17"/>
        <v>0.34239828626672214</v>
      </c>
      <c r="AN30" s="50">
        <f t="shared" si="18"/>
        <v>0.50174591615469644</v>
      </c>
      <c r="AO30" s="50">
        <f t="shared" si="19"/>
        <v>4.8552614527187554</v>
      </c>
      <c r="AP30" s="47">
        <f t="shared" si="20"/>
        <v>4.1805327040586419E-3</v>
      </c>
      <c r="AQ30" s="50">
        <f t="shared" si="21"/>
        <v>1.6606682638730452</v>
      </c>
      <c r="AR30" s="50">
        <f t="shared" si="22"/>
        <v>5.5773315094271769</v>
      </c>
      <c r="AS30" s="51">
        <f t="shared" si="23"/>
        <v>42.113727560140269</v>
      </c>
      <c r="AT30" s="51">
        <f t="shared" si="24"/>
        <v>84.539095309359752</v>
      </c>
      <c r="AU30" s="50">
        <f t="shared" si="25"/>
        <v>56.868304296256269</v>
      </c>
    </row>
    <row r="31" spans="2:47" x14ac:dyDescent="0.25">
      <c r="B31" s="26" t="str">
        <f>IF(T8=0,"Pipe Not Found !!","")</f>
        <v/>
      </c>
      <c r="C31" s="11"/>
      <c r="D31" s="11"/>
      <c r="E31" s="11"/>
      <c r="F31" s="25"/>
      <c r="J31" s="26" t="str">
        <f>IF(X8=0,"Pipe Not Found !!","")</f>
        <v/>
      </c>
      <c r="K31" s="11"/>
      <c r="L31" s="11"/>
      <c r="M31" s="11"/>
      <c r="N31" s="25"/>
      <c r="Q31">
        <v>9</v>
      </c>
      <c r="R31" s="45">
        <f t="shared" si="0"/>
        <v>22.712471000000001</v>
      </c>
      <c r="S31" s="45">
        <f t="shared" si="1"/>
        <v>30.48</v>
      </c>
      <c r="T31" s="45">
        <f t="shared" si="2"/>
        <v>52.5</v>
      </c>
      <c r="V31">
        <v>5</v>
      </c>
      <c r="W31" s="51">
        <f t="shared" si="26"/>
        <v>8.1764893999999995</v>
      </c>
      <c r="X31" s="47">
        <f t="shared" si="3"/>
        <v>0.4762076328101037</v>
      </c>
      <c r="Y31" s="48">
        <f t="shared" si="4"/>
        <v>122189.90743597891</v>
      </c>
      <c r="Z31" s="49">
        <f t="shared" si="5"/>
        <v>5.7891578213081134E+20</v>
      </c>
      <c r="AA31" s="49">
        <f t="shared" si="27"/>
        <v>6.2732364564071742E-9</v>
      </c>
      <c r="AB31" s="46">
        <f t="shared" si="6"/>
        <v>2.031248526759102E-2</v>
      </c>
      <c r="AC31" s="47">
        <f t="shared" si="7"/>
        <v>3.9899777011281966E-2</v>
      </c>
      <c r="AD31" s="50">
        <f t="shared" si="8"/>
        <v>0.27173623382000722</v>
      </c>
      <c r="AE31" s="50">
        <f t="shared" si="9"/>
        <v>0.20298377716749147</v>
      </c>
      <c r="AF31" s="50">
        <f t="shared" si="10"/>
        <v>0.66420021789601014</v>
      </c>
      <c r="AG31" s="50">
        <f t="shared" si="11"/>
        <v>1.0673033785396944</v>
      </c>
      <c r="AH31" s="50">
        <f t="shared" si="12"/>
        <v>0.20298377716749147</v>
      </c>
      <c r="AI31" s="50">
        <f t="shared" si="13"/>
        <v>0.33803349587998116</v>
      </c>
      <c r="AJ31" s="50">
        <f t="shared" si="14"/>
        <v>0.13504971871248966</v>
      </c>
      <c r="AK31" s="50">
        <f t="shared" si="15"/>
        <v>5.3160569377606235</v>
      </c>
      <c r="AL31" s="50">
        <f t="shared" si="16"/>
        <v>2.0011938347619269</v>
      </c>
      <c r="AM31" s="50">
        <f t="shared" si="17"/>
        <v>0.339670292275009</v>
      </c>
      <c r="AN31" s="50">
        <f t="shared" si="18"/>
        <v>0.50130943711602227</v>
      </c>
      <c r="AO31" s="50">
        <f t="shared" si="19"/>
        <v>4.8437765980136422</v>
      </c>
      <c r="AP31" s="47">
        <f t="shared" si="20"/>
        <v>7.4144780145893908E-3</v>
      </c>
      <c r="AQ31" s="50">
        <f t="shared" si="21"/>
        <v>1.6572674642152976</v>
      </c>
      <c r="AR31" s="50">
        <f t="shared" si="22"/>
        <v>5.5996493751867291</v>
      </c>
      <c r="AS31" s="51">
        <f t="shared" si="23"/>
        <v>42.282246952744586</v>
      </c>
      <c r="AT31" s="51">
        <f t="shared" si="24"/>
        <v>80.67534181170177</v>
      </c>
      <c r="AU31" s="50">
        <f t="shared" si="25"/>
        <v>62.362155258269397</v>
      </c>
    </row>
    <row r="32" spans="2:47" x14ac:dyDescent="0.25">
      <c r="B32" t="s">
        <v>58</v>
      </c>
      <c r="E32" s="23">
        <f>25.4*0.0018</f>
        <v>4.5719999999999997E-2</v>
      </c>
      <c r="F32" t="s">
        <v>134</v>
      </c>
      <c r="J32" t="s">
        <v>58</v>
      </c>
      <c r="M32" s="23">
        <f>25.4*0.0018</f>
        <v>4.5719999999999997E-2</v>
      </c>
      <c r="N32" t="s">
        <v>134</v>
      </c>
      <c r="Q32">
        <v>10</v>
      </c>
      <c r="R32" s="45">
        <f t="shared" si="0"/>
        <v>22.712471000000001</v>
      </c>
      <c r="S32" s="45">
        <f t="shared" si="1"/>
        <v>30.48</v>
      </c>
      <c r="T32" s="45">
        <f t="shared" si="2"/>
        <v>52.5</v>
      </c>
      <c r="V32">
        <v>6</v>
      </c>
      <c r="W32" s="51">
        <f t="shared" si="26"/>
        <v>10.22061175</v>
      </c>
      <c r="X32" s="47">
        <f t="shared" si="3"/>
        <v>0.59525954101262968</v>
      </c>
      <c r="Y32" s="48">
        <f t="shared" si="4"/>
        <v>152737.38429497366</v>
      </c>
      <c r="Z32" s="49">
        <f t="shared" si="5"/>
        <v>6.9578585595543985E+20</v>
      </c>
      <c r="AA32" s="49">
        <f t="shared" si="27"/>
        <v>1.7657590854676441E-10</v>
      </c>
      <c r="AB32" s="46">
        <f t="shared" si="6"/>
        <v>1.9850915353163859E-2</v>
      </c>
      <c r="AC32" s="47">
        <f t="shared" si="7"/>
        <v>6.0926743886431184E-2</v>
      </c>
      <c r="AD32" s="50">
        <f t="shared" si="8"/>
        <v>0.2704267967039849</v>
      </c>
      <c r="AE32" s="50">
        <f t="shared" si="9"/>
        <v>0.20216537896997755</v>
      </c>
      <c r="AF32" s="50">
        <f t="shared" si="10"/>
        <v>0.66395469843675603</v>
      </c>
      <c r="AG32" s="50">
        <f t="shared" si="11"/>
        <v>1.0659939414236721</v>
      </c>
      <c r="AH32" s="50">
        <f t="shared" si="12"/>
        <v>0.20216537896997755</v>
      </c>
      <c r="AI32" s="50">
        <f t="shared" si="13"/>
        <v>0.33672405876395883</v>
      </c>
      <c r="AJ32" s="50">
        <f t="shared" si="14"/>
        <v>0.13455867979398131</v>
      </c>
      <c r="AK32" s="50">
        <f t="shared" si="15"/>
        <v>5.3136017431680811</v>
      </c>
      <c r="AL32" s="50">
        <f t="shared" si="16"/>
        <v>1.998738640169385</v>
      </c>
      <c r="AM32" s="50">
        <f t="shared" si="17"/>
        <v>0.33803349587998116</v>
      </c>
      <c r="AN32" s="50">
        <f t="shared" si="18"/>
        <v>0.50104754969281784</v>
      </c>
      <c r="AO32" s="50">
        <f t="shared" si="19"/>
        <v>4.836885685190575</v>
      </c>
      <c r="AP32" s="47">
        <f t="shared" si="20"/>
        <v>1.1568640529709079E-2</v>
      </c>
      <c r="AQ32" s="50">
        <f t="shared" si="21"/>
        <v>1.6529030320314266</v>
      </c>
      <c r="AR32" s="50">
        <f t="shared" si="22"/>
        <v>5.6279077328141476</v>
      </c>
      <c r="AS32" s="51">
        <f t="shared" si="23"/>
        <v>42.495622251022368</v>
      </c>
      <c r="AT32" s="51">
        <f t="shared" si="24"/>
        <v>76.02323765398765</v>
      </c>
      <c r="AU32" s="50">
        <f t="shared" si="25"/>
        <v>66.159075715410552</v>
      </c>
    </row>
    <row r="33" spans="2:47" x14ac:dyDescent="0.25">
      <c r="V33">
        <v>7</v>
      </c>
      <c r="W33" s="51">
        <f t="shared" si="26"/>
        <v>12.2647341</v>
      </c>
      <c r="X33" s="47">
        <f t="shared" si="3"/>
        <v>0.71431144921515566</v>
      </c>
      <c r="Y33" s="48">
        <f t="shared" si="4"/>
        <v>183284.86115396838</v>
      </c>
      <c r="Z33" s="49">
        <f t="shared" si="5"/>
        <v>7.9585203420309396E+20</v>
      </c>
      <c r="AA33" s="49">
        <f t="shared" si="27"/>
        <v>9.550618835917837E-12</v>
      </c>
      <c r="AB33" s="46">
        <f t="shared" si="6"/>
        <v>1.9520275628341716E-2</v>
      </c>
      <c r="AC33" s="47">
        <f t="shared" si="7"/>
        <v>8.6273192455066969E-2</v>
      </c>
      <c r="AD33" s="50">
        <f t="shared" si="8"/>
        <v>0.26955383862663668</v>
      </c>
      <c r="AE33" s="50">
        <f t="shared" si="9"/>
        <v>0.2016197801716349</v>
      </c>
      <c r="AF33" s="50">
        <f t="shared" si="10"/>
        <v>0.66379101879725322</v>
      </c>
      <c r="AG33" s="50">
        <f t="shared" si="11"/>
        <v>1.0651209833463238</v>
      </c>
      <c r="AH33" s="50">
        <f t="shared" si="12"/>
        <v>0.2016197801716349</v>
      </c>
      <c r="AI33" s="50">
        <f t="shared" si="13"/>
        <v>0.33585110068661062</v>
      </c>
      <c r="AJ33" s="50">
        <f t="shared" si="14"/>
        <v>0.13423132051497572</v>
      </c>
      <c r="AK33" s="50">
        <f t="shared" si="15"/>
        <v>5.3119649467730534</v>
      </c>
      <c r="AL33" s="50">
        <f t="shared" si="16"/>
        <v>1.9971018437743573</v>
      </c>
      <c r="AM33" s="50">
        <f t="shared" si="17"/>
        <v>0.33694229828329586</v>
      </c>
      <c r="AN33" s="50">
        <f t="shared" si="18"/>
        <v>0.50087295807734822</v>
      </c>
      <c r="AO33" s="50">
        <f t="shared" si="19"/>
        <v>4.83229174330853</v>
      </c>
      <c r="AP33" s="47">
        <f t="shared" si="20"/>
        <v>1.66430202494177E-2</v>
      </c>
      <c r="AQ33" s="50">
        <f t="shared" si="21"/>
        <v>1.6475751878260316</v>
      </c>
      <c r="AR33" s="50">
        <f t="shared" si="22"/>
        <v>5.662084311344862</v>
      </c>
      <c r="AS33" s="51">
        <f t="shared" si="23"/>
        <v>42.753685289725993</v>
      </c>
      <c r="AT33" s="51">
        <f t="shared" si="24"/>
        <v>70.582782836217405</v>
      </c>
      <c r="AU33" s="50">
        <f t="shared" si="25"/>
        <v>68.259065667679693</v>
      </c>
    </row>
    <row r="34" spans="2:47" x14ac:dyDescent="0.25">
      <c r="B34" s="22" t="s">
        <v>30</v>
      </c>
      <c r="E34" t="s">
        <v>42</v>
      </c>
      <c r="F34" t="s">
        <v>43</v>
      </c>
      <c r="G34" t="s">
        <v>44</v>
      </c>
      <c r="J34" s="22" t="s">
        <v>30</v>
      </c>
      <c r="M34" t="s">
        <v>42</v>
      </c>
      <c r="N34" t="s">
        <v>43</v>
      </c>
      <c r="O34" t="s">
        <v>44</v>
      </c>
      <c r="V34">
        <v>8</v>
      </c>
      <c r="W34" s="51">
        <f t="shared" si="26"/>
        <v>14.30885645</v>
      </c>
      <c r="X34" s="47">
        <f t="shared" si="3"/>
        <v>0.83336335741768164</v>
      </c>
      <c r="Y34" s="48">
        <f t="shared" si="4"/>
        <v>213832.33801296313</v>
      </c>
      <c r="Z34" s="49">
        <f t="shared" si="5"/>
        <v>8.8219768325569184E+20</v>
      </c>
      <c r="AA34" s="49">
        <f t="shared" si="27"/>
        <v>8.1074238589687823E-13</v>
      </c>
      <c r="AB34" s="46">
        <f t="shared" si="6"/>
        <v>1.9270556117158468E-2</v>
      </c>
      <c r="AC34" s="47">
        <f t="shared" si="7"/>
        <v>0.11592517240509459</v>
      </c>
      <c r="AD34" s="50">
        <f t="shared" si="8"/>
        <v>0.26893029714281658</v>
      </c>
      <c r="AE34" s="50">
        <f t="shared" si="9"/>
        <v>0.20123006674424732</v>
      </c>
      <c r="AF34" s="50">
        <f t="shared" si="10"/>
        <v>0.66367410476903688</v>
      </c>
      <c r="AG34" s="50">
        <f t="shared" si="11"/>
        <v>1.0644974418625037</v>
      </c>
      <c r="AH34" s="50">
        <f t="shared" si="12"/>
        <v>0.20123006674424732</v>
      </c>
      <c r="AI34" s="50">
        <f t="shared" si="13"/>
        <v>0.33522755920279051</v>
      </c>
      <c r="AJ34" s="50">
        <f t="shared" si="14"/>
        <v>0.13399749245854317</v>
      </c>
      <c r="AK34" s="50">
        <f t="shared" si="15"/>
        <v>5.3107958064908907</v>
      </c>
      <c r="AL34" s="50">
        <f t="shared" si="16"/>
        <v>1.9959327034921943</v>
      </c>
      <c r="AM34" s="50">
        <f t="shared" si="17"/>
        <v>0.33616287142852069</v>
      </c>
      <c r="AN34" s="50">
        <f t="shared" si="18"/>
        <v>0.50074824978058419</v>
      </c>
      <c r="AO34" s="50">
        <f t="shared" si="19"/>
        <v>4.8290103562499267</v>
      </c>
      <c r="AP34" s="47">
        <f t="shared" si="20"/>
        <v>2.2637617173715263E-2</v>
      </c>
      <c r="AQ34" s="50">
        <f t="shared" si="21"/>
        <v>1.6412840711022338</v>
      </c>
      <c r="AR34" s="50">
        <f t="shared" si="22"/>
        <v>5.7021650209636565</v>
      </c>
      <c r="AS34" s="51">
        <f t="shared" si="23"/>
        <v>43.056329678435887</v>
      </c>
      <c r="AT34" s="51">
        <f t="shared" si="24"/>
        <v>64.35397735839102</v>
      </c>
      <c r="AU34" s="50">
        <f t="shared" si="25"/>
        <v>68.662125115076861</v>
      </c>
    </row>
    <row r="35" spans="2:47" x14ac:dyDescent="0.25">
      <c r="B35" t="s">
        <v>32</v>
      </c>
      <c r="E35" s="41">
        <v>1</v>
      </c>
      <c r="F35" s="42">
        <f>IF($E$30="","",800/$E$48+0.2*(1+25.4/$E$30))</f>
        <v>0.26770233431950202</v>
      </c>
      <c r="G35" s="56">
        <f>IF($E$30="","",IF(E35="","",E35*F35*$E$47^2*($E$11)/(2*100000)))</f>
        <v>2.780827733345963E-3</v>
      </c>
      <c r="J35" t="s">
        <v>32</v>
      </c>
      <c r="M35" s="41">
        <v>1</v>
      </c>
      <c r="N35" s="42">
        <f>IF($M$30="","",800/$M$48+0.2*(1+25.4/$M$30))</f>
        <v>0.26770233431950202</v>
      </c>
      <c r="O35" s="56">
        <f>IF($M$30="","",IF(M35="","",M35*N35*$M$47^2*($E$11)/(2*100000)))</f>
        <v>2.780827733345963E-3</v>
      </c>
      <c r="V35">
        <v>9</v>
      </c>
      <c r="W35" s="51">
        <f t="shared" si="26"/>
        <v>16.352978799999999</v>
      </c>
      <c r="X35" s="47">
        <f t="shared" si="3"/>
        <v>0.9524152656202074</v>
      </c>
      <c r="Y35" s="48">
        <f t="shared" si="4"/>
        <v>244379.81487195782</v>
      </c>
      <c r="Z35" s="49">
        <f t="shared" si="5"/>
        <v>9.5734374629991186E+20</v>
      </c>
      <c r="AA35" s="49">
        <f t="shared" si="27"/>
        <v>9.5721991827502048E-14</v>
      </c>
      <c r="AB35" s="46">
        <f t="shared" si="6"/>
        <v>1.9074646532899538E-2</v>
      </c>
      <c r="AC35" s="47">
        <f t="shared" si="7"/>
        <v>0.14987317075297002</v>
      </c>
      <c r="AD35" s="50">
        <f t="shared" si="8"/>
        <v>0.26846264102995143</v>
      </c>
      <c r="AE35" s="50">
        <f t="shared" si="9"/>
        <v>0.20093778167370663</v>
      </c>
      <c r="AF35" s="50">
        <f t="shared" si="10"/>
        <v>0.66358641924787476</v>
      </c>
      <c r="AG35" s="50">
        <f t="shared" si="11"/>
        <v>1.0640297857496386</v>
      </c>
      <c r="AH35" s="50">
        <f t="shared" si="12"/>
        <v>0.20093778167370663</v>
      </c>
      <c r="AI35" s="50">
        <f t="shared" si="13"/>
        <v>0.33475990308992537</v>
      </c>
      <c r="AJ35" s="50">
        <f t="shared" si="14"/>
        <v>0.13382212141621874</v>
      </c>
      <c r="AK35" s="50">
        <f t="shared" si="15"/>
        <v>5.3099189512792684</v>
      </c>
      <c r="AL35" s="50">
        <f t="shared" si="16"/>
        <v>1.9950558482805723</v>
      </c>
      <c r="AM35" s="50">
        <f t="shared" si="17"/>
        <v>0.33557830128743932</v>
      </c>
      <c r="AN35" s="50">
        <f t="shared" si="18"/>
        <v>0.50065471855801114</v>
      </c>
      <c r="AO35" s="50">
        <f t="shared" si="19"/>
        <v>4.8265493159559734</v>
      </c>
      <c r="AP35" s="47">
        <f t="shared" si="20"/>
        <v>2.9552431302601736E-2</v>
      </c>
      <c r="AQ35" s="50">
        <f t="shared" si="21"/>
        <v>1.6340297769898686</v>
      </c>
      <c r="AR35" s="50">
        <f t="shared" si="22"/>
        <v>5.7481402535571524</v>
      </c>
      <c r="AS35" s="51">
        <f t="shared" si="23"/>
        <v>43.403482867498411</v>
      </c>
      <c r="AT35" s="51">
        <f t="shared" si="24"/>
        <v>57.336821220508511</v>
      </c>
      <c r="AU35" s="50">
        <f t="shared" si="25"/>
        <v>67.36825405760203</v>
      </c>
    </row>
    <row r="36" spans="2:47" x14ac:dyDescent="0.25">
      <c r="B36" t="s">
        <v>31</v>
      </c>
      <c r="E36" s="41">
        <v>1</v>
      </c>
      <c r="F36" s="43">
        <f>IF($E$30="","",500/$E$48+0.15*(1+25.4/$E$30))</f>
        <v>0.20046258997967573</v>
      </c>
      <c r="G36" s="29">
        <f>IF($E$30="","",IF(E36="","",E36*F36*$E$47^2*($E$11)/(2*100000)))</f>
        <v>2.0823573732776102E-3</v>
      </c>
      <c r="J36" t="s">
        <v>31</v>
      </c>
      <c r="M36" s="41">
        <v>1</v>
      </c>
      <c r="N36" s="43">
        <f>IF($M$30="","",500/$M$48+0.15*(1+25.4/$M$30))</f>
        <v>0.20046258997967573</v>
      </c>
      <c r="O36" s="29">
        <f>IF($M$30="","",IF(M36="","",M36*N36*$M$47^2*($E$11)/(2*100000)))</f>
        <v>2.0823573732776102E-3</v>
      </c>
      <c r="V36">
        <v>10</v>
      </c>
      <c r="W36" s="51">
        <f t="shared" si="26"/>
        <v>18.397101149999997</v>
      </c>
      <c r="X36" s="47">
        <f t="shared" si="3"/>
        <v>1.0714671738227333</v>
      </c>
      <c r="Y36" s="48">
        <f t="shared" si="4"/>
        <v>274927.29173095251</v>
      </c>
      <c r="Z36" s="49">
        <f t="shared" si="5"/>
        <v>1.0232885242685261E+21</v>
      </c>
      <c r="AA36" s="49">
        <f t="shared" si="27"/>
        <v>1.4540233065155253E-14</v>
      </c>
      <c r="AB36" s="46">
        <f t="shared" si="6"/>
        <v>1.8916475576811614E-2</v>
      </c>
      <c r="AC36" s="47">
        <f t="shared" si="7"/>
        <v>0.18811033872855637</v>
      </c>
      <c r="AD36" s="50">
        <f t="shared" si="8"/>
        <v>0.26809890849772305</v>
      </c>
      <c r="AE36" s="50">
        <f t="shared" si="9"/>
        <v>0.20071044884106387</v>
      </c>
      <c r="AF36" s="50">
        <f t="shared" si="10"/>
        <v>0.66351821939808187</v>
      </c>
      <c r="AG36" s="50">
        <f t="shared" si="11"/>
        <v>1.06366605321741</v>
      </c>
      <c r="AH36" s="50">
        <f t="shared" si="12"/>
        <v>0.20071044884106387</v>
      </c>
      <c r="AI36" s="50">
        <f t="shared" si="13"/>
        <v>0.33439617055769699</v>
      </c>
      <c r="AJ36" s="50">
        <f t="shared" si="14"/>
        <v>0.13368572171663309</v>
      </c>
      <c r="AK36" s="50">
        <f t="shared" si="15"/>
        <v>5.3092369527813403</v>
      </c>
      <c r="AL36" s="50">
        <f t="shared" si="16"/>
        <v>1.994373849782644</v>
      </c>
      <c r="AM36" s="50">
        <f t="shared" si="17"/>
        <v>0.3351236356221538</v>
      </c>
      <c r="AN36" s="50">
        <f t="shared" si="18"/>
        <v>0.50058197205156552</v>
      </c>
      <c r="AO36" s="50">
        <f t="shared" si="19"/>
        <v>4.8246351735051212</v>
      </c>
      <c r="AP36" s="47">
        <f t="shared" si="20"/>
        <v>3.7387462636077153E-2</v>
      </c>
      <c r="AQ36" s="50">
        <f t="shared" si="21"/>
        <v>1.6258123739766372</v>
      </c>
      <c r="AR36" s="50">
        <f t="shared" si="22"/>
        <v>5.8000030918675094</v>
      </c>
      <c r="AS36" s="51">
        <f t="shared" si="23"/>
        <v>43.795092625571101</v>
      </c>
      <c r="AT36" s="51">
        <f t="shared" si="24"/>
        <v>49.531314422569857</v>
      </c>
      <c r="AU36" s="50">
        <f t="shared" si="25"/>
        <v>64.377452495255199</v>
      </c>
    </row>
    <row r="37" spans="2:47" x14ac:dyDescent="0.25">
      <c r="B37" t="s">
        <v>33</v>
      </c>
      <c r="E37" s="41">
        <v>1</v>
      </c>
      <c r="F37" s="43">
        <f>IF($E$30="","",150/$E$48+0.5*(1+25.4/$E$30))</f>
        <v>0.66344386173966541</v>
      </c>
      <c r="G37" s="29">
        <f>IF($E$30="","",IF(E37="","",E37*F37*$E$47^2*($E$11)/(2*100000)))</f>
        <v>6.8916959388254555E-3</v>
      </c>
      <c r="J37" t="s">
        <v>33</v>
      </c>
      <c r="M37" s="41">
        <v>1</v>
      </c>
      <c r="N37" s="43">
        <f>IF($M$30="","",150/$M$48+0.5*(1+25.4/$M$30))</f>
        <v>0.66344386173966541</v>
      </c>
      <c r="O37" s="29">
        <f t="shared" ref="O37:O45" si="28">IF($M$30="","",IF(M37="","",M37*N37*$M$47^2*($E$11)/(2*100000)))</f>
        <v>6.8916959388254555E-3</v>
      </c>
      <c r="V37">
        <v>11</v>
      </c>
      <c r="W37" s="51">
        <f t="shared" si="26"/>
        <v>20.441223499999996</v>
      </c>
      <c r="X37" s="47">
        <f t="shared" si="3"/>
        <v>1.1905190820252591</v>
      </c>
      <c r="Y37" s="48">
        <f t="shared" si="4"/>
        <v>305474.7685899472</v>
      </c>
      <c r="Z37" s="49">
        <f t="shared" si="5"/>
        <v>1.081607558306026E+21</v>
      </c>
      <c r="AA37" s="49">
        <f t="shared" si="27"/>
        <v>2.6943345420343828E-15</v>
      </c>
      <c r="AB37" s="46">
        <f t="shared" si="6"/>
        <v>1.8785868276508261E-2</v>
      </c>
      <c r="AC37" s="47">
        <f t="shared" si="7"/>
        <v>0.23063153810378409</v>
      </c>
      <c r="AD37" s="50">
        <f t="shared" si="8"/>
        <v>0.2678079224719403</v>
      </c>
      <c r="AE37" s="50">
        <f t="shared" si="9"/>
        <v>0.20052858257494965</v>
      </c>
      <c r="AF37" s="50">
        <f t="shared" si="10"/>
        <v>0.66346365951824759</v>
      </c>
      <c r="AG37" s="50">
        <f t="shared" si="11"/>
        <v>1.0633750671916273</v>
      </c>
      <c r="AH37" s="50">
        <f t="shared" si="12"/>
        <v>0.20052858257494965</v>
      </c>
      <c r="AI37" s="50">
        <f t="shared" si="13"/>
        <v>0.33410518453191423</v>
      </c>
      <c r="AJ37" s="50">
        <f t="shared" si="14"/>
        <v>0.13357660195696458</v>
      </c>
      <c r="AK37" s="50">
        <f t="shared" si="15"/>
        <v>5.3086913539829981</v>
      </c>
      <c r="AL37" s="50">
        <f t="shared" si="16"/>
        <v>1.9938282509843015</v>
      </c>
      <c r="AM37" s="50">
        <f t="shared" si="17"/>
        <v>0.33475990308992537</v>
      </c>
      <c r="AN37" s="50">
        <f t="shared" si="18"/>
        <v>0.50052377484640898</v>
      </c>
      <c r="AO37" s="50">
        <f t="shared" si="19"/>
        <v>4.8231038595444389</v>
      </c>
      <c r="AP37" s="47">
        <f t="shared" si="20"/>
        <v>4.6142711174141503E-2</v>
      </c>
      <c r="AQ37" s="50">
        <f t="shared" si="21"/>
        <v>1.6166319134448206</v>
      </c>
      <c r="AR37" s="50">
        <f t="shared" si="22"/>
        <v>5.857748346284378</v>
      </c>
      <c r="AS37" s="51">
        <f t="shared" si="23"/>
        <v>44.231119766560028</v>
      </c>
      <c r="AT37" s="51">
        <f t="shared" si="24"/>
        <v>40.937456964575077</v>
      </c>
      <c r="AU37" s="50">
        <f t="shared" si="25"/>
        <v>59.689720428036416</v>
      </c>
    </row>
    <row r="38" spans="2:47" x14ac:dyDescent="0.25">
      <c r="B38" t="s">
        <v>34</v>
      </c>
      <c r="E38" s="41">
        <v>1</v>
      </c>
      <c r="F38" s="43">
        <f>IF($E$30="","",800/$E$48+0.8*(1+25.4/$E$30))</f>
        <v>1.063269479039189</v>
      </c>
      <c r="G38" s="29">
        <f>IF($E$30="","",IF(E38="","",E38*F38*$E$47^2*($E$11)/(2*100000)))</f>
        <v>1.1044988691819156E-2</v>
      </c>
      <c r="J38" t="s">
        <v>34</v>
      </c>
      <c r="M38" s="41">
        <v>1</v>
      </c>
      <c r="N38" s="43">
        <f>IF($M$30="","",800/$M$48+0.8*(1+25.4/$M$30))</f>
        <v>1.063269479039189</v>
      </c>
      <c r="O38" s="29">
        <f t="shared" si="28"/>
        <v>1.1044988691819156E-2</v>
      </c>
      <c r="V38">
        <v>12</v>
      </c>
      <c r="W38" s="51">
        <f t="shared" si="26"/>
        <v>22.485345849999995</v>
      </c>
      <c r="X38" s="47">
        <f t="shared" si="3"/>
        <v>1.309570990227785</v>
      </c>
      <c r="Y38" s="48">
        <f t="shared" si="4"/>
        <v>336022.24544894189</v>
      </c>
      <c r="Z38" s="49">
        <f t="shared" si="5"/>
        <v>1.1335481238812987E+21</v>
      </c>
      <c r="AA38" s="49">
        <f t="shared" si="27"/>
        <v>5.8636569791249023E-16</v>
      </c>
      <c r="AB38" s="46">
        <f t="shared" si="6"/>
        <v>1.8676048439729507E-2</v>
      </c>
      <c r="AC38" s="47">
        <f t="shared" si="7"/>
        <v>0.27743278691662315</v>
      </c>
      <c r="AD38" s="50">
        <f t="shared" si="8"/>
        <v>0.26756984299629988</v>
      </c>
      <c r="AE38" s="50">
        <f t="shared" si="9"/>
        <v>0.20037978290267441</v>
      </c>
      <c r="AF38" s="50">
        <f t="shared" si="10"/>
        <v>0.66341901961656502</v>
      </c>
      <c r="AG38" s="50">
        <f t="shared" si="11"/>
        <v>1.0631369877159871</v>
      </c>
      <c r="AH38" s="50">
        <f t="shared" si="12"/>
        <v>0.20037978290267441</v>
      </c>
      <c r="AI38" s="50">
        <f t="shared" si="13"/>
        <v>0.33386710505627382</v>
      </c>
      <c r="AJ38" s="50">
        <f t="shared" si="14"/>
        <v>0.13348732215359943</v>
      </c>
      <c r="AK38" s="50">
        <f t="shared" si="15"/>
        <v>5.3082449549661721</v>
      </c>
      <c r="AL38" s="50">
        <f t="shared" si="16"/>
        <v>1.9933818519674757</v>
      </c>
      <c r="AM38" s="50">
        <f t="shared" si="17"/>
        <v>0.33446230374537489</v>
      </c>
      <c r="AN38" s="50">
        <f t="shared" si="18"/>
        <v>0.50047615895128084</v>
      </c>
      <c r="AO38" s="50">
        <f t="shared" si="19"/>
        <v>4.8218509663038818</v>
      </c>
      <c r="AP38" s="47">
        <f t="shared" si="20"/>
        <v>5.5818176916794804E-2</v>
      </c>
      <c r="AQ38" s="50">
        <f t="shared" si="21"/>
        <v>1.6064884352140389</v>
      </c>
      <c r="AR38" s="50">
        <f t="shared" si="22"/>
        <v>5.9213719950261092</v>
      </c>
      <c r="AS38" s="51">
        <f t="shared" si="23"/>
        <v>44.711533922498653</v>
      </c>
      <c r="AT38" s="51">
        <f t="shared" si="24"/>
        <v>31.555248846524165</v>
      </c>
      <c r="AU38" s="50">
        <f t="shared" si="25"/>
        <v>53.305057855945627</v>
      </c>
    </row>
    <row r="39" spans="2:47" x14ac:dyDescent="0.25">
      <c r="B39" t="s">
        <v>35</v>
      </c>
      <c r="E39" s="41"/>
      <c r="F39" s="43">
        <f>IF($E$30="","",500/$E$48+0.15*(1+25.4/$E$30))</f>
        <v>0.20046258997967573</v>
      </c>
      <c r="G39" s="29" t="str">
        <f t="shared" ref="G39:G45" si="29">IF($E$30="","",IF(E39="","",E39*F39*$E$47^2*($E$11)/(2*100000)))</f>
        <v/>
      </c>
      <c r="J39" t="s">
        <v>35</v>
      </c>
      <c r="M39" s="41"/>
      <c r="N39" s="43">
        <f>IF($M$30="","",500/$M$48+0.15*(1+25.4/$M$30))</f>
        <v>0.20046258997967573</v>
      </c>
      <c r="O39" s="29" t="str">
        <f t="shared" si="28"/>
        <v/>
      </c>
      <c r="V39">
        <v>13</v>
      </c>
      <c r="W39" s="51">
        <f t="shared" si="26"/>
        <v>24.529468199999993</v>
      </c>
      <c r="X39" s="47">
        <f t="shared" si="3"/>
        <v>1.4286228984303109</v>
      </c>
      <c r="Y39" s="48">
        <f t="shared" si="4"/>
        <v>366569.72230793664</v>
      </c>
      <c r="Z39" s="49">
        <f t="shared" si="5"/>
        <v>1.1801052878585945E+21</v>
      </c>
      <c r="AA39" s="49">
        <f t="shared" si="27"/>
        <v>1.4573087823361012E-16</v>
      </c>
      <c r="AB39" s="46">
        <f t="shared" si="6"/>
        <v>1.8582318194323516E-2</v>
      </c>
      <c r="AC39" s="47">
        <f t="shared" si="7"/>
        <v>0.32851091744063771</v>
      </c>
      <c r="AD39" s="50">
        <f t="shared" si="8"/>
        <v>0.26737144343326619</v>
      </c>
      <c r="AE39" s="50">
        <f t="shared" si="9"/>
        <v>0.20025578317577836</v>
      </c>
      <c r="AF39" s="50">
        <f t="shared" si="10"/>
        <v>0.66338181969849619</v>
      </c>
      <c r="AG39" s="50">
        <f t="shared" si="11"/>
        <v>1.0629385881529534</v>
      </c>
      <c r="AH39" s="50">
        <f t="shared" si="12"/>
        <v>0.20025578317577836</v>
      </c>
      <c r="AI39" s="50">
        <f t="shared" si="13"/>
        <v>0.33366870549324013</v>
      </c>
      <c r="AJ39" s="50">
        <f t="shared" si="14"/>
        <v>0.1334129223174618</v>
      </c>
      <c r="AK39" s="50">
        <f t="shared" si="15"/>
        <v>5.3078729557854842</v>
      </c>
      <c r="AL39" s="50">
        <f t="shared" si="16"/>
        <v>1.9930098527867874</v>
      </c>
      <c r="AM39" s="50">
        <f t="shared" si="17"/>
        <v>0.33421430429158278</v>
      </c>
      <c r="AN39" s="50">
        <f t="shared" si="18"/>
        <v>0.50043647903867405</v>
      </c>
      <c r="AO39" s="50">
        <f t="shared" si="19"/>
        <v>4.8208068886034177</v>
      </c>
      <c r="AP39" s="47">
        <f t="shared" si="20"/>
        <v>6.6413859864037028E-2</v>
      </c>
      <c r="AQ39" s="50">
        <f t="shared" si="21"/>
        <v>1.5953819709615567</v>
      </c>
      <c r="AR39" s="50">
        <f t="shared" si="22"/>
        <v>5.9908708386890002</v>
      </c>
      <c r="AS39" s="51">
        <f t="shared" si="23"/>
        <v>45.236310935092682</v>
      </c>
      <c r="AT39" s="51">
        <f t="shared" si="24"/>
        <v>21.384690068417115</v>
      </c>
      <c r="AU39" s="50">
        <f t="shared" si="25"/>
        <v>45.223464778982866</v>
      </c>
    </row>
    <row r="40" spans="2:47" x14ac:dyDescent="0.25">
      <c r="B40" t="s">
        <v>36</v>
      </c>
      <c r="E40" s="41"/>
      <c r="F40" s="43">
        <f>IF($E$30="","",800/$E$48+0.25*(1+25.4/$E$30))</f>
        <v>0.33399959637947596</v>
      </c>
      <c r="G40" s="29" t="str">
        <f t="shared" si="29"/>
        <v/>
      </c>
      <c r="J40" t="s">
        <v>36</v>
      </c>
      <c r="M40" s="41"/>
      <c r="N40" s="43">
        <f>IF($M$30="","",800/$M$48+0.25*(1+25.4/$M$30))</f>
        <v>0.33399959637947596</v>
      </c>
      <c r="O40" s="29" t="str">
        <f t="shared" si="28"/>
        <v/>
      </c>
      <c r="V40">
        <v>14</v>
      </c>
      <c r="W40" s="51">
        <f t="shared" si="26"/>
        <v>26.573590549999992</v>
      </c>
      <c r="X40" s="47">
        <f t="shared" si="3"/>
        <v>1.5476748066328367</v>
      </c>
      <c r="Y40" s="48">
        <f t="shared" si="4"/>
        <v>397117.19916693133</v>
      </c>
      <c r="Z40" s="49">
        <f t="shared" si="5"/>
        <v>1.222080114110669E+21</v>
      </c>
      <c r="AA40" s="49">
        <f t="shared" si="27"/>
        <v>4.0490942138366023E-17</v>
      </c>
      <c r="AB40" s="46">
        <f t="shared" si="6"/>
        <v>1.8501312014068214E-2</v>
      </c>
      <c r="AC40" s="47">
        <f t="shared" si="7"/>
        <v>0.38386335477570455</v>
      </c>
      <c r="AD40" s="50">
        <f t="shared" si="8"/>
        <v>0.26720356687993002</v>
      </c>
      <c r="AE40" s="50">
        <f t="shared" si="9"/>
        <v>0.20015086032994323</v>
      </c>
      <c r="AF40" s="50">
        <f t="shared" si="10"/>
        <v>0.6633503428447457</v>
      </c>
      <c r="AG40" s="50">
        <f t="shared" si="11"/>
        <v>1.062770711599617</v>
      </c>
      <c r="AH40" s="50">
        <f t="shared" si="12"/>
        <v>0.20015086032994323</v>
      </c>
      <c r="AI40" s="50">
        <f t="shared" si="13"/>
        <v>0.33350082893990396</v>
      </c>
      <c r="AJ40" s="50">
        <f t="shared" si="14"/>
        <v>0.13334996860996071</v>
      </c>
      <c r="AK40" s="50">
        <f t="shared" si="15"/>
        <v>5.3075581872479782</v>
      </c>
      <c r="AL40" s="50">
        <f t="shared" si="16"/>
        <v>1.9926950842492821</v>
      </c>
      <c r="AM40" s="50">
        <f t="shared" si="17"/>
        <v>0.33400445859991251</v>
      </c>
      <c r="AN40" s="50">
        <f t="shared" si="18"/>
        <v>0.50040290372800689</v>
      </c>
      <c r="AO40" s="50">
        <f t="shared" si="19"/>
        <v>4.8199234382414851</v>
      </c>
      <c r="AP40" s="47">
        <f t="shared" si="20"/>
        <v>7.7929760015868155E-2</v>
      </c>
      <c r="AQ40" s="50">
        <f t="shared" si="21"/>
        <v>1.5833125464363746</v>
      </c>
      <c r="AR40" s="50">
        <f t="shared" si="22"/>
        <v>6.0662422766239299</v>
      </c>
      <c r="AS40" s="51">
        <f t="shared" si="23"/>
        <v>45.805431167168273</v>
      </c>
      <c r="AT40" s="51">
        <f t="shared" si="24"/>
        <v>10.425780630253925</v>
      </c>
      <c r="AU40" s="50">
        <f t="shared" si="25"/>
        <v>35.444941197148076</v>
      </c>
    </row>
    <row r="41" spans="2:47" x14ac:dyDescent="0.25">
      <c r="B41" t="s">
        <v>37</v>
      </c>
      <c r="E41" s="41">
        <v>1</v>
      </c>
      <c r="F41" s="43">
        <f>IF($E$30="","",300/$E$48+0.1*(1+25.4/$E$30))</f>
        <v>0.13353700639980021</v>
      </c>
      <c r="G41" s="29">
        <f t="shared" si="29"/>
        <v>1.3871504399411191E-3</v>
      </c>
      <c r="J41" t="s">
        <v>37</v>
      </c>
      <c r="M41" s="41">
        <v>1</v>
      </c>
      <c r="N41" s="43">
        <f>IF($M$30="","",300/$M$48+0.1*(1+25.4/$M$30))</f>
        <v>0.13353700639980021</v>
      </c>
      <c r="O41" s="29">
        <f t="shared" si="28"/>
        <v>1.3871504399411191E-3</v>
      </c>
      <c r="V41">
        <v>15</v>
      </c>
      <c r="W41" s="51">
        <f t="shared" si="26"/>
        <v>28.61771289999999</v>
      </c>
      <c r="X41" s="47">
        <f t="shared" si="3"/>
        <v>1.6667267148353626</v>
      </c>
      <c r="Y41" s="48">
        <f t="shared" si="4"/>
        <v>427664.67602592602</v>
      </c>
      <c r="Z41" s="49">
        <f t="shared" si="5"/>
        <v>1.2601235119376617E+21</v>
      </c>
      <c r="AA41" s="49">
        <f t="shared" si="27"/>
        <v>1.2370947050428577E-17</v>
      </c>
      <c r="AB41" s="46">
        <f t="shared" si="6"/>
        <v>1.8430552211297108E-2</v>
      </c>
      <c r="AC41" s="47">
        <f t="shared" si="7"/>
        <v>0.44348796778382943</v>
      </c>
      <c r="AD41" s="50">
        <f t="shared" si="8"/>
        <v>0.26705967269135611</v>
      </c>
      <c r="AE41" s="50">
        <f t="shared" si="9"/>
        <v>0.20006092646208457</v>
      </c>
      <c r="AF41" s="50">
        <f t="shared" si="10"/>
        <v>0.66332336268438807</v>
      </c>
      <c r="AG41" s="50">
        <f t="shared" si="11"/>
        <v>1.0626268174110431</v>
      </c>
      <c r="AH41" s="50">
        <f t="shared" si="12"/>
        <v>0.20006092646208457</v>
      </c>
      <c r="AI41" s="50">
        <f t="shared" si="13"/>
        <v>0.33335693475133005</v>
      </c>
      <c r="AJ41" s="50">
        <f t="shared" si="14"/>
        <v>0.13329600828924551</v>
      </c>
      <c r="AK41" s="50">
        <f t="shared" si="15"/>
        <v>5.3072883856444024</v>
      </c>
      <c r="AL41" s="50">
        <f t="shared" si="16"/>
        <v>1.9924252826457061</v>
      </c>
      <c r="AM41" s="50">
        <f t="shared" si="17"/>
        <v>0.33382459086419519</v>
      </c>
      <c r="AN41" s="50">
        <f t="shared" si="18"/>
        <v>0.50037412489029209</v>
      </c>
      <c r="AO41" s="50">
        <f t="shared" si="19"/>
        <v>4.8191661950741151</v>
      </c>
      <c r="AP41" s="47">
        <f t="shared" si="20"/>
        <v>9.0365877372288267E-2</v>
      </c>
      <c r="AQ41" s="50">
        <f t="shared" si="21"/>
        <v>1.5702801829498734</v>
      </c>
      <c r="AR41" s="50">
        <f t="shared" si="22"/>
        <v>6.1474841563815215</v>
      </c>
      <c r="AS41" s="51">
        <f t="shared" si="23"/>
        <v>46.418878365851334</v>
      </c>
      <c r="AT41" s="51">
        <f t="shared" si="24"/>
        <v>-1.321479467965375</v>
      </c>
      <c r="AU41" s="50">
        <f t="shared" si="25"/>
        <v>23.969487110441328</v>
      </c>
    </row>
    <row r="42" spans="2:47" x14ac:dyDescent="0.25">
      <c r="B42" t="s">
        <v>38</v>
      </c>
      <c r="E42" s="41"/>
      <c r="F42" s="43">
        <f>IF($E$30="","",1500/$E$48+4*(1+25.4/$E$30))</f>
        <v>5.308493376197176</v>
      </c>
      <c r="G42" s="29" t="str">
        <f t="shared" si="29"/>
        <v/>
      </c>
      <c r="J42" t="s">
        <v>38</v>
      </c>
      <c r="M42" s="41"/>
      <c r="N42" s="43">
        <f>IF($M$30="","",1500/$M$48+4*(1+25.4/$M$30))</f>
        <v>5.308493376197176</v>
      </c>
      <c r="O42" s="29" t="str">
        <f t="shared" si="28"/>
        <v/>
      </c>
      <c r="V42">
        <v>16</v>
      </c>
      <c r="W42" s="51">
        <f t="shared" si="26"/>
        <v>30.661835249999989</v>
      </c>
      <c r="X42" s="47">
        <f t="shared" si="3"/>
        <v>1.7857786230378885</v>
      </c>
      <c r="Y42" s="48">
        <f>($T$8*25.4/1000)*X42*$E$11*1000/$E$12</f>
        <v>458212.15288492071</v>
      </c>
      <c r="Z42" s="49">
        <f t="shared" si="5"/>
        <v>1.2947692077751649E+21</v>
      </c>
      <c r="AA42" s="49">
        <f t="shared" si="27"/>
        <v>4.101959555682901E-18</v>
      </c>
      <c r="AB42" s="46">
        <f t="shared" si="6"/>
        <v>1.8368172177821759E-2</v>
      </c>
      <c r="AC42" s="47">
        <f t="shared" si="7"/>
        <v>0.50738296538324923</v>
      </c>
      <c r="AD42" s="50">
        <f t="shared" si="8"/>
        <v>0.26693496439459208</v>
      </c>
      <c r="AE42" s="50">
        <f t="shared" si="9"/>
        <v>0.19998298377660703</v>
      </c>
      <c r="AF42" s="50">
        <f t="shared" si="10"/>
        <v>0.66329997987874489</v>
      </c>
      <c r="AG42" s="50">
        <f t="shared" si="11"/>
        <v>1.0625021091142792</v>
      </c>
      <c r="AH42" s="50">
        <f t="shared" si="12"/>
        <v>0.19998298377660703</v>
      </c>
      <c r="AI42" s="50">
        <f t="shared" si="13"/>
        <v>0.33323222645456602</v>
      </c>
      <c r="AJ42" s="50">
        <f t="shared" si="14"/>
        <v>0.13324924267795901</v>
      </c>
      <c r="AK42" s="50">
        <f t="shared" si="15"/>
        <v>5.3070545575879695</v>
      </c>
      <c r="AL42" s="50">
        <f t="shared" si="16"/>
        <v>1.9921914545892736</v>
      </c>
      <c r="AM42" s="50">
        <f t="shared" si="17"/>
        <v>0.33366870549324013</v>
      </c>
      <c r="AN42" s="50">
        <f t="shared" si="18"/>
        <v>0.50034918323093924</v>
      </c>
      <c r="AO42" s="50">
        <f t="shared" si="19"/>
        <v>4.8185099176623947</v>
      </c>
      <c r="AP42" s="47">
        <f t="shared" si="20"/>
        <v>0.10372221193329728</v>
      </c>
      <c r="AQ42" s="50">
        <f t="shared" si="21"/>
        <v>1.5562848984128703</v>
      </c>
      <c r="AR42" s="50">
        <f t="shared" si="22"/>
        <v>6.2345946689691951</v>
      </c>
      <c r="AS42" s="51">
        <f t="shared" si="23"/>
        <v>47.076638871666823</v>
      </c>
      <c r="AT42" s="51">
        <f t="shared" si="24"/>
        <v>-13.857090226240814</v>
      </c>
      <c r="AU42" s="50">
        <f t="shared" si="25"/>
        <v>10.797102518862609</v>
      </c>
    </row>
    <row r="43" spans="2:47" x14ac:dyDescent="0.25">
      <c r="B43" t="s">
        <v>39</v>
      </c>
      <c r="E43" s="41">
        <v>1</v>
      </c>
      <c r="F43" s="43">
        <f>IF($E$30="","",1500/$E$48+1.5*(1+25.4/$E$30))</f>
        <v>1.9936302731984796</v>
      </c>
      <c r="G43" s="29">
        <f t="shared" si="29"/>
        <v>2.070935379716092E-2</v>
      </c>
      <c r="J43" t="s">
        <v>39</v>
      </c>
      <c r="M43" s="41"/>
      <c r="N43" s="43">
        <f>IF($M$30="","",1500/$M$48+1.5*(1+25.4/$M$30))</f>
        <v>1.9936302731984796</v>
      </c>
      <c r="O43" s="29" t="str">
        <f t="shared" si="28"/>
        <v/>
      </c>
      <c r="V43">
        <v>17</v>
      </c>
      <c r="W43" s="51">
        <f t="shared" si="26"/>
        <v>32.705957599999991</v>
      </c>
      <c r="X43" s="47">
        <f t="shared" si="3"/>
        <v>1.9048305312404146</v>
      </c>
      <c r="Y43" s="48">
        <f t="shared" si="4"/>
        <v>488759.62974391552</v>
      </c>
      <c r="Z43" s="49">
        <f t="shared" si="5"/>
        <v>1.3264586463301657E+21</v>
      </c>
      <c r="AA43" s="49">
        <f t="shared" si="27"/>
        <v>1.4606016819382071E-18</v>
      </c>
      <c r="AB43" s="46">
        <f t="shared" si="6"/>
        <v>1.8312737604208169E-2</v>
      </c>
      <c r="AC43" s="47">
        <f t="shared" si="7"/>
        <v>0.57554682235941201</v>
      </c>
      <c r="AD43" s="50">
        <f t="shared" si="8"/>
        <v>0.26682584463492359</v>
      </c>
      <c r="AE43" s="50">
        <f t="shared" si="9"/>
        <v>0.19991478392681422</v>
      </c>
      <c r="AF43" s="50">
        <f t="shared" si="10"/>
        <v>0.66327951992380696</v>
      </c>
      <c r="AG43" s="50">
        <f t="shared" si="11"/>
        <v>1.0623929893546107</v>
      </c>
      <c r="AH43" s="50">
        <f t="shared" si="12"/>
        <v>0.19991478392681422</v>
      </c>
      <c r="AI43" s="50">
        <f t="shared" si="13"/>
        <v>0.33312310669489753</v>
      </c>
      <c r="AJ43" s="50">
        <f t="shared" si="14"/>
        <v>0.13320832276808331</v>
      </c>
      <c r="AK43" s="50">
        <f t="shared" si="15"/>
        <v>5.3068499580385913</v>
      </c>
      <c r="AL43" s="50">
        <f t="shared" si="16"/>
        <v>1.9919868550398951</v>
      </c>
      <c r="AM43" s="50">
        <f t="shared" si="17"/>
        <v>0.3335323057936545</v>
      </c>
      <c r="AN43" s="50">
        <f t="shared" si="18"/>
        <v>0.50032735927900562</v>
      </c>
      <c r="AO43" s="50">
        <f t="shared" si="19"/>
        <v>4.8179356749271385</v>
      </c>
      <c r="AP43" s="47">
        <f t="shared" si="20"/>
        <v>0.11799876369889525</v>
      </c>
      <c r="AQ43" s="50">
        <f t="shared" si="21"/>
        <v>1.5413267080775106</v>
      </c>
      <c r="AR43" s="50">
        <f t="shared" si="22"/>
        <v>6.3275722739202518</v>
      </c>
      <c r="AS43" s="51">
        <f t="shared" si="23"/>
        <v>47.778701052744758</v>
      </c>
      <c r="AT43" s="51">
        <f t="shared" si="24"/>
        <v>-27.181051644572435</v>
      </c>
      <c r="AU43" s="50">
        <f t="shared" si="25"/>
        <v>-4.0722125775881395</v>
      </c>
    </row>
    <row r="44" spans="2:47" x14ac:dyDescent="0.25">
      <c r="B44" t="s">
        <v>40</v>
      </c>
      <c r="E44" s="41"/>
      <c r="F44" s="43">
        <f>IF($E$30="","",1000/$E$48+0.25*(1+25.4/$E$30))</f>
        <v>0.33462791789937751</v>
      </c>
      <c r="G44" s="29" t="str">
        <f t="shared" si="29"/>
        <v/>
      </c>
      <c r="J44" t="s">
        <v>40</v>
      </c>
      <c r="M44" s="41"/>
      <c r="N44" s="43">
        <f>IF($M$30="","",1000/$M$48+0.25*(1+25.4/$M$30))</f>
        <v>0.33462791789937751</v>
      </c>
      <c r="O44" s="29" t="str">
        <f t="shared" si="28"/>
        <v/>
      </c>
      <c r="V44">
        <v>18</v>
      </c>
      <c r="W44" s="51">
        <f t="shared" si="26"/>
        <v>34.750079949999993</v>
      </c>
      <c r="X44" s="47">
        <f t="shared" si="3"/>
        <v>2.0238824394429407</v>
      </c>
      <c r="Y44" s="48">
        <f t="shared" si="4"/>
        <v>519307.10660291027</v>
      </c>
      <c r="Z44" s="49">
        <f t="shared" si="5"/>
        <v>1.3555599325516868E+21</v>
      </c>
      <c r="AA44" s="49">
        <f t="shared" si="27"/>
        <v>5.5369267339744086E-19</v>
      </c>
      <c r="AB44" s="46">
        <f t="shared" si="6"/>
        <v>1.8263127310474952E-2</v>
      </c>
      <c r="AC44" s="47">
        <f t="shared" si="7"/>
        <v>0.6479782250033298</v>
      </c>
      <c r="AD44" s="50">
        <f t="shared" si="8"/>
        <v>0.26672956249403956</v>
      </c>
      <c r="AE44" s="50">
        <f t="shared" si="9"/>
        <v>0.19985460758876172</v>
      </c>
      <c r="AF44" s="50">
        <f t="shared" si="10"/>
        <v>0.66326146702239119</v>
      </c>
      <c r="AG44" s="50">
        <f t="shared" si="11"/>
        <v>1.0622967072137266</v>
      </c>
      <c r="AH44" s="50">
        <f t="shared" si="12"/>
        <v>0.19985460758876172</v>
      </c>
      <c r="AI44" s="50">
        <f t="shared" si="13"/>
        <v>0.3330268245540135</v>
      </c>
      <c r="AJ44" s="50">
        <f t="shared" si="14"/>
        <v>0.13317221696525181</v>
      </c>
      <c r="AK44" s="50">
        <f t="shared" si="15"/>
        <v>5.3066694290244341</v>
      </c>
      <c r="AL44" s="50">
        <f t="shared" si="16"/>
        <v>1.9918063260257375</v>
      </c>
      <c r="AM44" s="50">
        <f t="shared" si="17"/>
        <v>0.33341195311754951</v>
      </c>
      <c r="AN44" s="50">
        <f t="shared" si="18"/>
        <v>0.50030810285082883</v>
      </c>
      <c r="AO44" s="50">
        <f t="shared" si="19"/>
        <v>4.817428990160737</v>
      </c>
      <c r="AP44" s="47">
        <f t="shared" si="20"/>
        <v>0.13319553266908216</v>
      </c>
      <c r="AQ44" s="50">
        <f t="shared" si="21"/>
        <v>1.5254056250808845</v>
      </c>
      <c r="AR44" s="50">
        <f t="shared" si="22"/>
        <v>6.4264156443886176</v>
      </c>
      <c r="AS44" s="51">
        <f t="shared" si="23"/>
        <v>48.525054890237612</v>
      </c>
      <c r="AT44" s="51">
        <f t="shared" si="24"/>
        <v>-41.293363722960166</v>
      </c>
      <c r="AU44" s="50">
        <f t="shared" si="25"/>
        <v>-20.638458178910888</v>
      </c>
    </row>
    <row r="45" spans="2:47" x14ac:dyDescent="0.25">
      <c r="B45" t="s">
        <v>41</v>
      </c>
      <c r="E45" s="41">
        <v>1</v>
      </c>
      <c r="F45" s="44">
        <f>IF($E$30="","",160/$E$48+0.5*(1))</f>
        <v>0.50050265721592124</v>
      </c>
      <c r="G45" s="29">
        <f t="shared" si="29"/>
        <v>5.1991017311722749E-3</v>
      </c>
      <c r="J45" t="s">
        <v>51</v>
      </c>
      <c r="M45" s="41">
        <v>1</v>
      </c>
      <c r="N45" s="44">
        <f>IF($M$30="","",1)</f>
        <v>1</v>
      </c>
      <c r="O45" s="29">
        <f t="shared" si="28"/>
        <v>1.038776049680259E-2</v>
      </c>
      <c r="V45">
        <v>19</v>
      </c>
      <c r="W45" s="51">
        <f t="shared" si="26"/>
        <v>36.794202299999995</v>
      </c>
      <c r="X45" s="47">
        <f t="shared" si="3"/>
        <v>2.1429343476454665</v>
      </c>
      <c r="Y45" s="48">
        <f t="shared" si="4"/>
        <v>549854.58346190501</v>
      </c>
      <c r="Z45" s="49">
        <f t="shared" si="5"/>
        <v>1.3823823628171388E+21</v>
      </c>
      <c r="AA45" s="49">
        <f t="shared" si="27"/>
        <v>2.2186634926079182E-19</v>
      </c>
      <c r="AB45" s="46">
        <f t="shared" si="6"/>
        <v>1.8218451632624533E-2</v>
      </c>
      <c r="AC45" s="47">
        <f t="shared" si="7"/>
        <v>0.72467603043853235</v>
      </c>
      <c r="AD45" s="50">
        <f t="shared" si="8"/>
        <v>0.26664397836880938</v>
      </c>
      <c r="AE45" s="50">
        <f t="shared" si="9"/>
        <v>0.19980111751049281</v>
      </c>
      <c r="AF45" s="50">
        <f t="shared" si="10"/>
        <v>0.66324541999891062</v>
      </c>
      <c r="AG45" s="50">
        <f t="shared" si="11"/>
        <v>1.0622111230884965</v>
      </c>
      <c r="AH45" s="50">
        <f t="shared" si="12"/>
        <v>0.19980111751049281</v>
      </c>
      <c r="AI45" s="50">
        <f t="shared" si="13"/>
        <v>0.33294124042878331</v>
      </c>
      <c r="AJ45" s="50">
        <f t="shared" si="14"/>
        <v>0.13314012291829047</v>
      </c>
      <c r="AK45" s="50">
        <f t="shared" si="15"/>
        <v>5.3065089587896273</v>
      </c>
      <c r="AL45" s="50">
        <f t="shared" si="16"/>
        <v>1.9916458557909309</v>
      </c>
      <c r="AM45" s="50">
        <f t="shared" si="17"/>
        <v>0.33330497296101169</v>
      </c>
      <c r="AN45" s="50">
        <f t="shared" si="18"/>
        <v>0.5002909860257827</v>
      </c>
      <c r="AO45" s="50">
        <f t="shared" si="19"/>
        <v>4.8169786037017133</v>
      </c>
      <c r="AP45" s="47">
        <f t="shared" si="20"/>
        <v>0.14931251884385802</v>
      </c>
      <c r="AQ45" s="50">
        <f t="shared" si="21"/>
        <v>1.5085216608517567</v>
      </c>
      <c r="AR45" s="50">
        <f t="shared" si="22"/>
        <v>6.5311236260690544</v>
      </c>
      <c r="AS45" s="51">
        <f t="shared" si="23"/>
        <v>49.315691668131947</v>
      </c>
      <c r="AT45" s="51">
        <f t="shared" si="24"/>
        <v>-56.19402646140405</v>
      </c>
      <c r="AU45" s="50">
        <f t="shared" si="25"/>
        <v>-38.901634285105665</v>
      </c>
    </row>
    <row r="46" spans="2:47" x14ac:dyDescent="0.25">
      <c r="G46" s="55">
        <f>SUM(G35:G45)</f>
        <v>5.00954757055425E-2</v>
      </c>
      <c r="O46" s="55">
        <f>SUM(O35:O45)</f>
        <v>3.4574780674011894E-2</v>
      </c>
      <c r="V46">
        <v>20</v>
      </c>
      <c r="W46" s="51">
        <f t="shared" si="26"/>
        <v>38.838324649999997</v>
      </c>
      <c r="X46" s="47">
        <f t="shared" si="3"/>
        <v>2.2619862558479928</v>
      </c>
      <c r="Y46" s="48">
        <f t="shared" si="4"/>
        <v>580402.06032089982</v>
      </c>
      <c r="Z46" s="49">
        <f t="shared" si="5"/>
        <v>1.4071876718802651E+21</v>
      </c>
      <c r="AA46" s="49">
        <f t="shared" si="27"/>
        <v>9.3410114335149944E-20</v>
      </c>
      <c r="AB46" s="46">
        <f t="shared" si="6"/>
        <v>1.8177995194623424E-2</v>
      </c>
      <c r="AC46" s="47">
        <f t="shared" si="7"/>
        <v>0.80563923562717465</v>
      </c>
      <c r="AD46" s="50">
        <f t="shared" si="8"/>
        <v>0.26656740309886656</v>
      </c>
      <c r="AE46" s="50">
        <f t="shared" si="9"/>
        <v>0.19975325796677856</v>
      </c>
      <c r="AF46" s="50">
        <f t="shared" si="10"/>
        <v>0.6632310621357963</v>
      </c>
      <c r="AG46" s="50">
        <f t="shared" si="11"/>
        <v>1.0621345478185535</v>
      </c>
      <c r="AH46" s="50">
        <f t="shared" si="12"/>
        <v>0.19975325796677856</v>
      </c>
      <c r="AI46" s="50">
        <f t="shared" si="13"/>
        <v>0.3328646651588405</v>
      </c>
      <c r="AJ46" s="50">
        <f t="shared" si="14"/>
        <v>0.13311140719206191</v>
      </c>
      <c r="AK46" s="50">
        <f t="shared" si="15"/>
        <v>5.3063653801584847</v>
      </c>
      <c r="AL46" s="50">
        <f t="shared" si="16"/>
        <v>1.9915022771597881</v>
      </c>
      <c r="AM46" s="50">
        <f t="shared" si="17"/>
        <v>0.33320925387358319</v>
      </c>
      <c r="AN46" s="50">
        <f t="shared" si="18"/>
        <v>0.50027567097179415</v>
      </c>
      <c r="AO46" s="50">
        <f t="shared" si="19"/>
        <v>4.8165756263436386</v>
      </c>
      <c r="AP46" s="47">
        <f t="shared" si="20"/>
        <v>0.16634972222322281</v>
      </c>
      <c r="AQ46" s="50">
        <f t="shared" si="21"/>
        <v>1.4906748254205053</v>
      </c>
      <c r="AR46" s="50">
        <f t="shared" si="22"/>
        <v>6.6416952058933383</v>
      </c>
      <c r="AS46" s="51">
        <f t="shared" si="23"/>
        <v>50.150603736877251</v>
      </c>
      <c r="AT46" s="51">
        <f t="shared" si="24"/>
        <v>-71.883039859904059</v>
      </c>
      <c r="AU46" s="50">
        <f t="shared" si="25"/>
        <v>-58.861740896172357</v>
      </c>
    </row>
    <row r="47" spans="2:47" x14ac:dyDescent="0.25">
      <c r="B47" t="s">
        <v>45</v>
      </c>
      <c r="E47" s="30">
        <f>IFERROR(T10,"")</f>
        <v>1.2405351591179474</v>
      </c>
      <c r="F47" s="24" t="s">
        <v>136</v>
      </c>
      <c r="J47" t="s">
        <v>45</v>
      </c>
      <c r="M47" s="30">
        <f>IFERROR(X10,"")</f>
        <v>1.2405351591179474</v>
      </c>
      <c r="N47" s="24" t="s">
        <v>136</v>
      </c>
      <c r="V47">
        <v>21</v>
      </c>
      <c r="W47" s="51">
        <f t="shared" si="26"/>
        <v>40.882446999999999</v>
      </c>
      <c r="X47" s="47">
        <f t="shared" si="3"/>
        <v>2.3810381640505187</v>
      </c>
      <c r="Y47" s="48">
        <f t="shared" si="4"/>
        <v>610949.53717989463</v>
      </c>
      <c r="Z47" s="49">
        <f t="shared" si="5"/>
        <v>1.4301988155781965E+21</v>
      </c>
      <c r="AA47" s="49">
        <f t="shared" si="27"/>
        <v>4.1112282440709977E-20</v>
      </c>
      <c r="AB47" s="46">
        <f t="shared" si="6"/>
        <v>1.8141175937411151E-2</v>
      </c>
      <c r="AC47" s="47">
        <f t="shared" si="7"/>
        <v>0.89086695336589694</v>
      </c>
      <c r="AD47" s="50">
        <f t="shared" si="8"/>
        <v>0.26649848535591802</v>
      </c>
      <c r="AE47" s="50">
        <f t="shared" si="9"/>
        <v>0.19971018437743573</v>
      </c>
      <c r="AF47" s="50">
        <f t="shared" si="10"/>
        <v>0.66321814005899349</v>
      </c>
      <c r="AG47" s="50">
        <f t="shared" si="11"/>
        <v>1.0620656300756051</v>
      </c>
      <c r="AH47" s="50">
        <f t="shared" si="12"/>
        <v>0.19971018437743573</v>
      </c>
      <c r="AI47" s="50">
        <f t="shared" si="13"/>
        <v>0.33279574741589196</v>
      </c>
      <c r="AJ47" s="50">
        <f t="shared" si="14"/>
        <v>0.1330855630384562</v>
      </c>
      <c r="AK47" s="50">
        <f t="shared" si="15"/>
        <v>5.3062361593904557</v>
      </c>
      <c r="AL47" s="50">
        <f t="shared" si="16"/>
        <v>1.9913730563917595</v>
      </c>
      <c r="AM47" s="50">
        <f t="shared" si="17"/>
        <v>0.33312310669489753</v>
      </c>
      <c r="AN47" s="50">
        <f t="shared" si="18"/>
        <v>0.50026188742320443</v>
      </c>
      <c r="AO47" s="50">
        <f t="shared" si="19"/>
        <v>4.8162129467213726</v>
      </c>
      <c r="AP47" s="47">
        <f t="shared" si="20"/>
        <v>0.18430714280717653</v>
      </c>
      <c r="AQ47" s="50">
        <f t="shared" si="21"/>
        <v>1.4718651276591646</v>
      </c>
      <c r="AR47" s="50">
        <f t="shared" si="22"/>
        <v>6.7581294877860785</v>
      </c>
      <c r="AS47" s="51">
        <f t="shared" si="23"/>
        <v>51.029784330321128</v>
      </c>
      <c r="AT47" s="51">
        <f t="shared" si="24"/>
        <v>-88.360403918460221</v>
      </c>
      <c r="AU47" s="50">
        <f t="shared" si="25"/>
        <v>-80.518778012111113</v>
      </c>
    </row>
    <row r="48" spans="2:47" x14ac:dyDescent="0.25">
      <c r="B48" t="s">
        <v>46</v>
      </c>
      <c r="E48" s="17">
        <f>IFERROR(T11,"")</f>
        <v>318308.37185288238</v>
      </c>
      <c r="F48" s="24"/>
      <c r="J48" t="s">
        <v>46</v>
      </c>
      <c r="M48" s="17">
        <f>IFERROR(X11,"")</f>
        <v>318308.37185288238</v>
      </c>
      <c r="N48" s="24"/>
    </row>
    <row r="49" spans="2:43" x14ac:dyDescent="0.25">
      <c r="B49" t="s">
        <v>47</v>
      </c>
      <c r="E49" s="29">
        <f>IFERROR(T16,"")</f>
        <v>0.24977252187503582</v>
      </c>
      <c r="F49" s="24" t="s">
        <v>137</v>
      </c>
      <c r="J49" t="s">
        <v>47</v>
      </c>
      <c r="M49" s="29">
        <f>IFERROR(X16,"")</f>
        <v>0.24977252187503582</v>
      </c>
      <c r="N49" s="24" t="s">
        <v>137</v>
      </c>
      <c r="Q49" s="2"/>
      <c r="R49" s="54"/>
      <c r="X49" t="s">
        <v>100</v>
      </c>
    </row>
    <row r="50" spans="2:43" x14ac:dyDescent="0.25">
      <c r="B50" t="s">
        <v>48</v>
      </c>
      <c r="E50" s="34">
        <f>IFERROR(T17,"")</f>
        <v>1.6124877390757071</v>
      </c>
      <c r="F50" s="24" t="s">
        <v>131</v>
      </c>
      <c r="H50" s="31"/>
      <c r="J50" t="s">
        <v>77</v>
      </c>
      <c r="M50" s="34">
        <f>IFERROR(X17,"")</f>
        <v>7.4962498025490474</v>
      </c>
      <c r="N50" s="24" t="s">
        <v>131</v>
      </c>
      <c r="P50" s="31"/>
      <c r="W50" t="s">
        <v>55</v>
      </c>
      <c r="X50" t="s">
        <v>45</v>
      </c>
      <c r="Y50" t="s">
        <v>87</v>
      </c>
      <c r="Z50" t="s">
        <v>71</v>
      </c>
      <c r="AA50" t="s">
        <v>72</v>
      </c>
      <c r="AB50" t="s">
        <v>73</v>
      </c>
      <c r="AC50" t="s">
        <v>74</v>
      </c>
      <c r="AD50" t="s">
        <v>88</v>
      </c>
      <c r="AE50" t="s">
        <v>89</v>
      </c>
      <c r="AF50" t="s">
        <v>33</v>
      </c>
      <c r="AG50" t="s">
        <v>90</v>
      </c>
      <c r="AH50" t="s">
        <v>91</v>
      </c>
      <c r="AI50" t="s">
        <v>92</v>
      </c>
      <c r="AJ50" t="s">
        <v>93</v>
      </c>
      <c r="AK50" t="s">
        <v>94</v>
      </c>
      <c r="AL50" t="s">
        <v>95</v>
      </c>
      <c r="AM50" t="s">
        <v>96</v>
      </c>
      <c r="AN50" t="s">
        <v>97</v>
      </c>
      <c r="AO50" t="s">
        <v>98</v>
      </c>
      <c r="AP50" t="s">
        <v>44</v>
      </c>
      <c r="AQ50" t="s">
        <v>101</v>
      </c>
    </row>
    <row r="51" spans="2:43" x14ac:dyDescent="0.25">
      <c r="G51" s="58"/>
      <c r="O51" s="58"/>
      <c r="W51" t="s">
        <v>86</v>
      </c>
      <c r="X51" t="s">
        <v>136</v>
      </c>
      <c r="AD51" s="45">
        <f>IF(M35="",0,M35)</f>
        <v>1</v>
      </c>
      <c r="AE51" s="45">
        <f>IF(M36="",0,M36)</f>
        <v>1</v>
      </c>
      <c r="AF51" s="45">
        <f>IF(M37="",0,M37)</f>
        <v>1</v>
      </c>
      <c r="AG51" s="45">
        <f>IF(M38="",0,M38)</f>
        <v>1</v>
      </c>
      <c r="AH51" s="45">
        <f>IF(M39="",0,M39)</f>
        <v>0</v>
      </c>
      <c r="AI51" s="45">
        <f>IF(M40="",0,M40)</f>
        <v>0</v>
      </c>
      <c r="AJ51" s="45">
        <f>IF(M41="",0,M41)</f>
        <v>1</v>
      </c>
      <c r="AK51" s="45">
        <f>IF(M42="",0,M42)</f>
        <v>0</v>
      </c>
      <c r="AL51" s="45">
        <f>IF(M43="",0,M43)</f>
        <v>0</v>
      </c>
      <c r="AM51" s="45">
        <f>IF(M44="",0,M44)</f>
        <v>0</v>
      </c>
      <c r="AN51" s="45">
        <f>IF(M45="",0,M45)</f>
        <v>1</v>
      </c>
    </row>
    <row r="52" spans="2:43" x14ac:dyDescent="0.25">
      <c r="V52">
        <v>1</v>
      </c>
      <c r="W52" s="51">
        <f>W27</f>
        <v>0</v>
      </c>
      <c r="X52" s="47">
        <f>(W52)/($X$9*3600)</f>
        <v>0</v>
      </c>
      <c r="Y52" s="48">
        <f>($X$8*25.4/1000)*X52*$E$11*1000/$E$12</f>
        <v>0</v>
      </c>
      <c r="Z52" s="49">
        <f>IFERROR((-2.457*LN((7/Y52)^0.9+0.27*$X$12))^16,0)</f>
        <v>0</v>
      </c>
      <c r="AA52" s="49">
        <f>IFERROR((37530/Y52)^16,0)</f>
        <v>0</v>
      </c>
      <c r="AB52" s="46">
        <f>IFERROR(8*((8/Y52)^12+1/(Z52+AA52)^1.5)^(1/12),0)</f>
        <v>0</v>
      </c>
      <c r="AC52" s="47">
        <f>IFERROR($E$11*AB52*100*X52^2/(($X$8*25.4/1000)*2*100000),0)</f>
        <v>0</v>
      </c>
      <c r="AD52" s="50">
        <f>IFERROR(800/Y52+0.2*(1+1/$X$8),0)</f>
        <v>0</v>
      </c>
      <c r="AE52" s="50">
        <f>IFERROR(500/Y52+0.15*(1+1/$X$8),0)</f>
        <v>0</v>
      </c>
      <c r="AF52" s="50">
        <f>IFERROR(150/Y52+0.5*(1+1/$X$8),0)</f>
        <v>0</v>
      </c>
      <c r="AG52" s="50">
        <f>IFERROR(800/Y52+0.8*(1+1/$X$8),0)</f>
        <v>0</v>
      </c>
      <c r="AH52" s="50">
        <f>IFERROR(500/Y52+0.15*(1+1/$X$8),0)</f>
        <v>0</v>
      </c>
      <c r="AI52" s="50">
        <f>IFERROR(800/Y52+0.25*(1+1/$X$8),0)</f>
        <v>0</v>
      </c>
      <c r="AJ52" s="50">
        <f>IFERROR(300/Y52+0.1*(1+1/$X$8),0)</f>
        <v>0</v>
      </c>
      <c r="AK52" s="50">
        <f>IFERROR(1500/Y52+4*(1+1/$X$8),0)</f>
        <v>0</v>
      </c>
      <c r="AL52" s="50">
        <f>IFERROR(1500/Y52+1.5*(1+1/$X$8),0)</f>
        <v>0</v>
      </c>
      <c r="AM52" s="50">
        <f>IFERROR(1000/Y52+0.25*(1+1/$X$8),0)</f>
        <v>0</v>
      </c>
      <c r="AN52" s="50">
        <f>IFERROR(1,0)</f>
        <v>1</v>
      </c>
      <c r="AO52" s="50">
        <f>SUMPRODUCT($AD$51:$AN$51,AD52:AN52)</f>
        <v>1</v>
      </c>
      <c r="AP52" s="47">
        <f>AO52*X52^2*($E$11)/(2*100000)</f>
        <v>0</v>
      </c>
      <c r="AQ52" s="50">
        <f>$M$21+$M$22*($E$11*9.81)/100000+$M$23+$M$24+AP52+AC52*$M$27/100</f>
        <v>7.2119024999999999</v>
      </c>
    </row>
    <row r="53" spans="2:43" x14ac:dyDescent="0.25">
      <c r="C53" s="22" t="s">
        <v>115</v>
      </c>
      <c r="J53" s="22" t="s">
        <v>82</v>
      </c>
      <c r="M53" s="59">
        <v>40.882446999999999</v>
      </c>
      <c r="N53" s="24" t="s">
        <v>129</v>
      </c>
      <c r="V53">
        <v>2</v>
      </c>
      <c r="W53" s="51">
        <f t="shared" ref="W53:W72" si="30">W28</f>
        <v>2.0441223499999999</v>
      </c>
      <c r="X53" s="47">
        <f t="shared" ref="X53:X72" si="31">(W53)/($X$9*3600)</f>
        <v>0.11905190820252592</v>
      </c>
      <c r="Y53" s="48">
        <f t="shared" ref="Y53:Y72" si="32">($X$8*25.4/1000)*X53*$E$11*1000/$E$12</f>
        <v>30547.476858994727</v>
      </c>
      <c r="Z53" s="49">
        <f t="shared" ref="Z53:Z72" si="33">IFERROR((-2.457*LN((7/Y53)^0.9+0.27*$X$12))^16,0)</f>
        <v>1.101387004756896E+20</v>
      </c>
      <c r="AA53" s="49">
        <f t="shared" ref="AA53:AA72" si="34">IFERROR((37530/Y53)^16,0)</f>
        <v>26.943345420343743</v>
      </c>
      <c r="AB53" s="46">
        <f t="shared" ref="AB53:AB72" si="35">IFERROR(8*((8/Y53)^12+1/(Z53+AA53)^1.5)^(1/12),0)</f>
        <v>2.499467496574212E-2</v>
      </c>
      <c r="AC53" s="47">
        <f t="shared" ref="AC53:AC72" si="36">IFERROR($E$11*AB53*100*X53^2/(($X$8*25.4/1000)*2*100000),0)</f>
        <v>3.0685620951371403E-3</v>
      </c>
      <c r="AD53" s="50">
        <f t="shared" ref="AD53:AD72" si="37">IFERROR(800/Y53+0.2*(1+1/$X$8),0)</f>
        <v>0.29137779056034169</v>
      </c>
      <c r="AE53" s="50">
        <f t="shared" ref="AE53:AE72" si="38">IFERROR(500/Y53+0.15*(1+1/$X$8),0)</f>
        <v>0.21525975013020054</v>
      </c>
      <c r="AF53" s="50">
        <f t="shared" ref="AF53:AF72" si="39">IFERROR(150/Y53+0.5*(1+1/$X$8),0)</f>
        <v>0.66788300978482285</v>
      </c>
      <c r="AG53" s="50">
        <f t="shared" ref="AG53:AG72" si="40">IFERROR(800/Y53+0.8*(1+1/$X$8),0)</f>
        <v>1.0869449352800289</v>
      </c>
      <c r="AH53" s="50">
        <f t="shared" ref="AH53:AH72" si="41">IFERROR(500/Y53+0.15*(1+1/$X$8),0)</f>
        <v>0.21525975013020054</v>
      </c>
      <c r="AI53" s="50">
        <f t="shared" ref="AI53:AI72" si="42">IFERROR(800/Y53+0.25*(1+1/$X$8),0)</f>
        <v>0.35767505262031563</v>
      </c>
      <c r="AJ53" s="50">
        <f t="shared" ref="AJ53:AJ72" si="43">IFERROR(300/Y53+0.1*(1+1/$X$8),0)</f>
        <v>0.14241530249011511</v>
      </c>
      <c r="AK53" s="50">
        <f t="shared" ref="AK53:AK72" si="44">IFERROR(1500/Y53+4*(1+1/$X$8),0)</f>
        <v>5.3528848566487506</v>
      </c>
      <c r="AL53" s="50">
        <f t="shared" ref="AL53:AL72" si="45">IFERROR(1500/Y53+1.5*(1+1/$X$8),0)</f>
        <v>2.038021753650054</v>
      </c>
      <c r="AM53" s="50">
        <f t="shared" ref="AM53:AM72" si="46">IFERROR(1000/Y53+0.25*(1+1/$X$8),0)</f>
        <v>0.36422223820042715</v>
      </c>
      <c r="AN53" s="50">
        <f t="shared" ref="AN53:AN72" si="47">IFERROR(1,0)</f>
        <v>1</v>
      </c>
      <c r="AO53" s="50">
        <f t="shared" ref="AO53:AO72" si="48">SUMPRODUCT($AD$51:$AN$51,AD53:AN53)</f>
        <v>3.4038807882455089</v>
      </c>
      <c r="AP53" s="47">
        <f t="shared" ref="AP53:AP72" si="49">AO53*X53^2*($E$11)/(2*100000)</f>
        <v>3.2564981525829508E-4</v>
      </c>
      <c r="AQ53" s="50">
        <f t="shared" ref="AQ53:AQ72" si="50">$M$21+$M$22*($E$11*9.81)/100000+$M$23+$M$24+AP53+AC53*$M$27/100</f>
        <v>7.2152967119103959</v>
      </c>
    </row>
    <row r="54" spans="2:43" x14ac:dyDescent="0.25">
      <c r="J54" s="37" t="s">
        <v>118</v>
      </c>
      <c r="V54">
        <v>3</v>
      </c>
      <c r="W54" s="51">
        <f t="shared" si="30"/>
        <v>4.0882446999999997</v>
      </c>
      <c r="X54" s="47">
        <f t="shared" si="31"/>
        <v>0.23810381640505185</v>
      </c>
      <c r="Y54" s="48">
        <f t="shared" si="32"/>
        <v>61094.953717989454</v>
      </c>
      <c r="Z54" s="49">
        <f t="shared" si="33"/>
        <v>2.8280415649611373E+20</v>
      </c>
      <c r="AA54" s="49">
        <f t="shared" si="34"/>
        <v>4.1112282440710057E-4</v>
      </c>
      <c r="AB54" s="46">
        <f t="shared" si="35"/>
        <v>2.2215406451394026E-2</v>
      </c>
      <c r="AC54" s="47">
        <f t="shared" si="36"/>
        <v>1.0909420387862006E-2</v>
      </c>
      <c r="AD54" s="50">
        <f t="shared" si="37"/>
        <v>0.27828341940011869</v>
      </c>
      <c r="AE54" s="50">
        <f t="shared" si="38"/>
        <v>0.20707576815506115</v>
      </c>
      <c r="AF54" s="50">
        <f t="shared" si="39"/>
        <v>0.66542781519228111</v>
      </c>
      <c r="AG54" s="50">
        <f t="shared" si="40"/>
        <v>1.0738505641198057</v>
      </c>
      <c r="AH54" s="50">
        <f t="shared" si="41"/>
        <v>0.20707576815506115</v>
      </c>
      <c r="AI54" s="50">
        <f t="shared" si="42"/>
        <v>0.34458068146009263</v>
      </c>
      <c r="AJ54" s="50">
        <f t="shared" si="43"/>
        <v>0.13750491330503148</v>
      </c>
      <c r="AK54" s="50">
        <f t="shared" si="44"/>
        <v>5.3283329107233319</v>
      </c>
      <c r="AL54" s="50">
        <f t="shared" si="45"/>
        <v>2.0134698077246358</v>
      </c>
      <c r="AM54" s="50">
        <f t="shared" si="46"/>
        <v>0.34785427425014837</v>
      </c>
      <c r="AN54" s="50">
        <f t="shared" si="47"/>
        <v>1</v>
      </c>
      <c r="AO54" s="50">
        <f t="shared" si="48"/>
        <v>3.3621424801722979</v>
      </c>
      <c r="AP54" s="47">
        <f t="shared" si="49"/>
        <v>1.2866268188017464E-3</v>
      </c>
      <c r="AQ54" s="50">
        <f t="shared" si="50"/>
        <v>7.2240985472066637</v>
      </c>
    </row>
    <row r="55" spans="2:43" x14ac:dyDescent="0.25">
      <c r="C55" s="38" t="s">
        <v>55</v>
      </c>
      <c r="D55" s="38" t="s">
        <v>56</v>
      </c>
      <c r="E55" s="38" t="s">
        <v>79</v>
      </c>
      <c r="J55" s="37" t="s">
        <v>117</v>
      </c>
      <c r="V55">
        <v>4</v>
      </c>
      <c r="W55" s="51">
        <f t="shared" si="30"/>
        <v>6.1323670499999992</v>
      </c>
      <c r="X55" s="47">
        <f t="shared" si="31"/>
        <v>0.35715572460757777</v>
      </c>
      <c r="Y55" s="48">
        <f t="shared" si="32"/>
        <v>91642.430576984174</v>
      </c>
      <c r="Z55" s="49">
        <f t="shared" si="33"/>
        <v>4.4188400560142379E+20</v>
      </c>
      <c r="AA55" s="49">
        <f t="shared" si="34"/>
        <v>6.2590935603071285E-7</v>
      </c>
      <c r="AB55" s="46">
        <f t="shared" si="35"/>
        <v>2.1010019317855556E-2</v>
      </c>
      <c r="AC55" s="47">
        <f t="shared" si="36"/>
        <v>2.3214342289592082E-2</v>
      </c>
      <c r="AD55" s="50">
        <f t="shared" si="37"/>
        <v>0.27391862901337771</v>
      </c>
      <c r="AE55" s="50">
        <f t="shared" si="38"/>
        <v>0.20434777416334804</v>
      </c>
      <c r="AF55" s="50">
        <f t="shared" si="39"/>
        <v>0.66460941699476717</v>
      </c>
      <c r="AG55" s="50">
        <f t="shared" si="40"/>
        <v>1.0694857737330647</v>
      </c>
      <c r="AH55" s="50">
        <f t="shared" si="41"/>
        <v>0.20434777416334804</v>
      </c>
      <c r="AI55" s="50">
        <f t="shared" si="42"/>
        <v>0.34021589107335165</v>
      </c>
      <c r="AJ55" s="50">
        <f t="shared" si="43"/>
        <v>0.13586811691000361</v>
      </c>
      <c r="AK55" s="50">
        <f t="shared" si="44"/>
        <v>5.3201489287481927</v>
      </c>
      <c r="AL55" s="50">
        <f t="shared" si="45"/>
        <v>2.0052858257494965</v>
      </c>
      <c r="AM55" s="50">
        <f t="shared" si="46"/>
        <v>0.34239828626672214</v>
      </c>
      <c r="AN55" s="50">
        <f t="shared" si="47"/>
        <v>1</v>
      </c>
      <c r="AO55" s="50">
        <f t="shared" si="48"/>
        <v>3.3482297108145618</v>
      </c>
      <c r="AP55" s="47">
        <f t="shared" si="49"/>
        <v>2.8829310106303547E-3</v>
      </c>
      <c r="AQ55" s="50">
        <f t="shared" si="50"/>
        <v>7.2379997733002224</v>
      </c>
    </row>
    <row r="56" spans="2:43" x14ac:dyDescent="0.25">
      <c r="C56" s="60" t="s">
        <v>129</v>
      </c>
      <c r="D56" s="60" t="s">
        <v>133</v>
      </c>
      <c r="E56" s="60" t="s">
        <v>57</v>
      </c>
      <c r="V56">
        <v>5</v>
      </c>
      <c r="W56" s="51">
        <f t="shared" si="30"/>
        <v>8.1764893999999995</v>
      </c>
      <c r="X56" s="47">
        <f t="shared" si="31"/>
        <v>0.4762076328101037</v>
      </c>
      <c r="Y56" s="48">
        <f t="shared" si="32"/>
        <v>122189.90743597891</v>
      </c>
      <c r="Z56" s="49">
        <f t="shared" si="33"/>
        <v>5.7891578213081134E+20</v>
      </c>
      <c r="AA56" s="49">
        <f t="shared" si="34"/>
        <v>6.2732364564071742E-9</v>
      </c>
      <c r="AB56" s="46">
        <f t="shared" si="35"/>
        <v>2.031248526759102E-2</v>
      </c>
      <c r="AC56" s="47">
        <f t="shared" si="36"/>
        <v>3.9899777011281966E-2</v>
      </c>
      <c r="AD56" s="50">
        <f t="shared" si="37"/>
        <v>0.27173623382000722</v>
      </c>
      <c r="AE56" s="50">
        <f t="shared" si="38"/>
        <v>0.20298377716749147</v>
      </c>
      <c r="AF56" s="50">
        <f t="shared" si="39"/>
        <v>0.66420021789601014</v>
      </c>
      <c r="AG56" s="50">
        <f t="shared" si="40"/>
        <v>1.0673033785396944</v>
      </c>
      <c r="AH56" s="50">
        <f t="shared" si="41"/>
        <v>0.20298377716749147</v>
      </c>
      <c r="AI56" s="50">
        <f t="shared" si="42"/>
        <v>0.33803349587998116</v>
      </c>
      <c r="AJ56" s="50">
        <f t="shared" si="43"/>
        <v>0.13504971871248966</v>
      </c>
      <c r="AK56" s="50">
        <f t="shared" si="44"/>
        <v>5.3160569377606235</v>
      </c>
      <c r="AL56" s="50">
        <f t="shared" si="45"/>
        <v>2.0011938347619269</v>
      </c>
      <c r="AM56" s="50">
        <f t="shared" si="46"/>
        <v>0.339670292275009</v>
      </c>
      <c r="AN56" s="50">
        <f t="shared" si="47"/>
        <v>1</v>
      </c>
      <c r="AO56" s="50">
        <f t="shared" si="48"/>
        <v>3.3412733261356924</v>
      </c>
      <c r="AP56" s="47">
        <f t="shared" si="49"/>
        <v>5.1145623907441163E-3</v>
      </c>
      <c r="AQ56" s="50">
        <f t="shared" si="50"/>
        <v>7.2569168394020265</v>
      </c>
    </row>
    <row r="57" spans="2:43" x14ac:dyDescent="0.25">
      <c r="C57" s="40">
        <f>0.5*0</f>
        <v>0</v>
      </c>
      <c r="D57" s="40">
        <f>2*45.72</f>
        <v>91.44</v>
      </c>
      <c r="E57" s="40">
        <f>1.5*20</f>
        <v>30</v>
      </c>
      <c r="J57" s="22" t="s">
        <v>116</v>
      </c>
      <c r="V57">
        <v>6</v>
      </c>
      <c r="W57" s="51">
        <f t="shared" si="30"/>
        <v>10.22061175</v>
      </c>
      <c r="X57" s="47">
        <f t="shared" si="31"/>
        <v>0.59525954101262968</v>
      </c>
      <c r="Y57" s="48">
        <f t="shared" si="32"/>
        <v>152737.38429497366</v>
      </c>
      <c r="Z57" s="49">
        <f t="shared" si="33"/>
        <v>6.9578585595543985E+20</v>
      </c>
      <c r="AA57" s="49">
        <f t="shared" si="34"/>
        <v>1.7657590854676441E-10</v>
      </c>
      <c r="AB57" s="46">
        <f t="shared" si="35"/>
        <v>1.9850915353163859E-2</v>
      </c>
      <c r="AC57" s="47">
        <f t="shared" si="36"/>
        <v>6.0926743886431184E-2</v>
      </c>
      <c r="AD57" s="50">
        <f t="shared" si="37"/>
        <v>0.2704267967039849</v>
      </c>
      <c r="AE57" s="50">
        <f t="shared" si="38"/>
        <v>0.20216537896997755</v>
      </c>
      <c r="AF57" s="50">
        <f t="shared" si="39"/>
        <v>0.66395469843675603</v>
      </c>
      <c r="AG57" s="50">
        <f t="shared" si="40"/>
        <v>1.0659939414236721</v>
      </c>
      <c r="AH57" s="50">
        <f t="shared" si="41"/>
        <v>0.20216537896997755</v>
      </c>
      <c r="AI57" s="50">
        <f t="shared" si="42"/>
        <v>0.33672405876395883</v>
      </c>
      <c r="AJ57" s="50">
        <f t="shared" si="43"/>
        <v>0.13455867979398131</v>
      </c>
      <c r="AK57" s="50">
        <f t="shared" si="44"/>
        <v>5.3136017431680811</v>
      </c>
      <c r="AL57" s="50">
        <f t="shared" si="45"/>
        <v>1.998738640169385</v>
      </c>
      <c r="AM57" s="50">
        <f t="shared" si="46"/>
        <v>0.33803349587998116</v>
      </c>
      <c r="AN57" s="50">
        <f t="shared" si="47"/>
        <v>1</v>
      </c>
      <c r="AO57" s="50">
        <f t="shared" si="48"/>
        <v>3.3370994953283719</v>
      </c>
      <c r="AP57" s="47">
        <f t="shared" si="49"/>
        <v>7.9815209591430382E-3</v>
      </c>
      <c r="AQ57" s="50">
        <f t="shared" si="50"/>
        <v>7.2808107648455742</v>
      </c>
    </row>
    <row r="58" spans="2:43" x14ac:dyDescent="0.25">
      <c r="C58" s="40">
        <f>0.5*4.5424942</f>
        <v>2.2712471000000001</v>
      </c>
      <c r="D58" s="40">
        <f>2*44.8056</f>
        <v>89.611199999999997</v>
      </c>
      <c r="E58" s="40">
        <f>1.5*28</f>
        <v>42</v>
      </c>
      <c r="J58" t="s">
        <v>8</v>
      </c>
      <c r="M58" s="61">
        <f>IFERROR(AC23,"")</f>
        <v>19.717303712749821</v>
      </c>
      <c r="N58" s="24" t="s">
        <v>129</v>
      </c>
      <c r="Q58" s="36"/>
      <c r="R58" s="57"/>
      <c r="V58">
        <v>7</v>
      </c>
      <c r="W58" s="51">
        <f t="shared" si="30"/>
        <v>12.2647341</v>
      </c>
      <c r="X58" s="47">
        <f t="shared" si="31"/>
        <v>0.71431144921515566</v>
      </c>
      <c r="Y58" s="48">
        <f t="shared" si="32"/>
        <v>183284.86115396838</v>
      </c>
      <c r="Z58" s="49">
        <f t="shared" si="33"/>
        <v>7.9585203420309396E+20</v>
      </c>
      <c r="AA58" s="49">
        <f t="shared" si="34"/>
        <v>9.550618835917837E-12</v>
      </c>
      <c r="AB58" s="46">
        <f t="shared" si="35"/>
        <v>1.9520275628341716E-2</v>
      </c>
      <c r="AC58" s="47">
        <f t="shared" si="36"/>
        <v>8.6273192455066969E-2</v>
      </c>
      <c r="AD58" s="50">
        <f t="shared" si="37"/>
        <v>0.26955383862663668</v>
      </c>
      <c r="AE58" s="50">
        <f t="shared" si="38"/>
        <v>0.2016197801716349</v>
      </c>
      <c r="AF58" s="50">
        <f t="shared" si="39"/>
        <v>0.66379101879725322</v>
      </c>
      <c r="AG58" s="50">
        <f t="shared" si="40"/>
        <v>1.0651209833463238</v>
      </c>
      <c r="AH58" s="50">
        <f t="shared" si="41"/>
        <v>0.2016197801716349</v>
      </c>
      <c r="AI58" s="50">
        <f t="shared" si="42"/>
        <v>0.33585110068661062</v>
      </c>
      <c r="AJ58" s="50">
        <f t="shared" si="43"/>
        <v>0.13423132051497572</v>
      </c>
      <c r="AK58" s="50">
        <f t="shared" si="44"/>
        <v>5.3119649467730534</v>
      </c>
      <c r="AL58" s="50">
        <f t="shared" si="45"/>
        <v>1.9971018437743573</v>
      </c>
      <c r="AM58" s="50">
        <f t="shared" si="46"/>
        <v>0.33694229828329586</v>
      </c>
      <c r="AN58" s="50">
        <f t="shared" si="47"/>
        <v>1</v>
      </c>
      <c r="AO58" s="50">
        <f t="shared" si="48"/>
        <v>3.3343169414568243</v>
      </c>
      <c r="AP58" s="47">
        <f t="shared" si="49"/>
        <v>1.1483806715827116E-2</v>
      </c>
      <c r="AQ58" s="50">
        <f t="shared" si="50"/>
        <v>7.3096594991708939</v>
      </c>
    </row>
    <row r="59" spans="2:43" x14ac:dyDescent="0.25">
      <c r="C59" s="40">
        <f>0.5*11.3562355</f>
        <v>5.6781177500000002</v>
      </c>
      <c r="D59" s="40">
        <f>2*42.672</f>
        <v>85.343999999999994</v>
      </c>
      <c r="E59" s="40">
        <f>1.5*37</f>
        <v>55.5</v>
      </c>
      <c r="J59" t="s">
        <v>56</v>
      </c>
      <c r="M59" s="27">
        <f>IFERROR(AF23,"")</f>
        <v>44.071104258676982</v>
      </c>
      <c r="N59" s="24" t="s">
        <v>133</v>
      </c>
      <c r="Q59" s="36"/>
      <c r="R59" s="57"/>
      <c r="V59">
        <v>8</v>
      </c>
      <c r="W59" s="51">
        <f t="shared" si="30"/>
        <v>14.30885645</v>
      </c>
      <c r="X59" s="47">
        <f t="shared" si="31"/>
        <v>0.83336335741768164</v>
      </c>
      <c r="Y59" s="48">
        <f t="shared" si="32"/>
        <v>213832.33801296313</v>
      </c>
      <c r="Z59" s="49">
        <f t="shared" si="33"/>
        <v>8.8219768325569184E+20</v>
      </c>
      <c r="AA59" s="49">
        <f t="shared" si="34"/>
        <v>8.1074238589687823E-13</v>
      </c>
      <c r="AB59" s="46">
        <f t="shared" si="35"/>
        <v>1.9270556117158468E-2</v>
      </c>
      <c r="AC59" s="47">
        <f t="shared" si="36"/>
        <v>0.11592517240509459</v>
      </c>
      <c r="AD59" s="50">
        <f t="shared" si="37"/>
        <v>0.26893029714281658</v>
      </c>
      <c r="AE59" s="50">
        <f t="shared" si="38"/>
        <v>0.20123006674424732</v>
      </c>
      <c r="AF59" s="50">
        <f t="shared" si="39"/>
        <v>0.66367410476903688</v>
      </c>
      <c r="AG59" s="50">
        <f t="shared" si="40"/>
        <v>1.0644974418625037</v>
      </c>
      <c r="AH59" s="50">
        <f t="shared" si="41"/>
        <v>0.20123006674424732</v>
      </c>
      <c r="AI59" s="50">
        <f t="shared" si="42"/>
        <v>0.33522755920279051</v>
      </c>
      <c r="AJ59" s="50">
        <f t="shared" si="43"/>
        <v>0.13399749245854317</v>
      </c>
      <c r="AK59" s="50">
        <f t="shared" si="44"/>
        <v>5.3107958064908907</v>
      </c>
      <c r="AL59" s="50">
        <f t="shared" si="45"/>
        <v>1.9959327034921943</v>
      </c>
      <c r="AM59" s="50">
        <f t="shared" si="46"/>
        <v>0.33616287142852069</v>
      </c>
      <c r="AN59" s="50">
        <f t="shared" si="47"/>
        <v>1</v>
      </c>
      <c r="AO59" s="50">
        <f t="shared" si="48"/>
        <v>3.3323294029771477</v>
      </c>
      <c r="AP59" s="47">
        <f t="shared" si="49"/>
        <v>1.5621419660796353E-2</v>
      </c>
      <c r="AQ59" s="50">
        <f t="shared" si="50"/>
        <v>7.3434490920658906</v>
      </c>
    </row>
    <row r="60" spans="2:43" x14ac:dyDescent="0.25">
      <c r="C60" s="40">
        <f>0.5*18.1699768</f>
        <v>9.0849884000000003</v>
      </c>
      <c r="D60" s="40">
        <f>2*39.3192</f>
        <v>78.638400000000004</v>
      </c>
      <c r="E60" s="40">
        <f>1.5*43</f>
        <v>64.5</v>
      </c>
      <c r="J60" t="s">
        <v>79</v>
      </c>
      <c r="M60" s="28">
        <f>IFERROR(AH18,"")</f>
        <v>61.543933479744517</v>
      </c>
      <c r="N60" s="24" t="s">
        <v>57</v>
      </c>
      <c r="Q60" s="36"/>
      <c r="V60">
        <v>9</v>
      </c>
      <c r="W60" s="51">
        <f t="shared" si="30"/>
        <v>16.352978799999999</v>
      </c>
      <c r="X60" s="47">
        <f t="shared" si="31"/>
        <v>0.9524152656202074</v>
      </c>
      <c r="Y60" s="48">
        <f t="shared" si="32"/>
        <v>244379.81487195782</v>
      </c>
      <c r="Z60" s="49">
        <f t="shared" si="33"/>
        <v>9.5734374629991186E+20</v>
      </c>
      <c r="AA60" s="49">
        <f t="shared" si="34"/>
        <v>9.5721991827502048E-14</v>
      </c>
      <c r="AB60" s="46">
        <f t="shared" si="35"/>
        <v>1.9074646532899538E-2</v>
      </c>
      <c r="AC60" s="47">
        <f t="shared" si="36"/>
        <v>0.14987317075297002</v>
      </c>
      <c r="AD60" s="50">
        <f t="shared" si="37"/>
        <v>0.26846264102995143</v>
      </c>
      <c r="AE60" s="50">
        <f t="shared" si="38"/>
        <v>0.20093778167370663</v>
      </c>
      <c r="AF60" s="50">
        <f t="shared" si="39"/>
        <v>0.66358641924787476</v>
      </c>
      <c r="AG60" s="50">
        <f t="shared" si="40"/>
        <v>1.0640297857496386</v>
      </c>
      <c r="AH60" s="50">
        <f t="shared" si="41"/>
        <v>0.20093778167370663</v>
      </c>
      <c r="AI60" s="50">
        <f t="shared" si="42"/>
        <v>0.33475990308992537</v>
      </c>
      <c r="AJ60" s="50">
        <f t="shared" si="43"/>
        <v>0.13382212141621874</v>
      </c>
      <c r="AK60" s="50">
        <f t="shared" si="44"/>
        <v>5.3099189512792684</v>
      </c>
      <c r="AL60" s="50">
        <f t="shared" si="45"/>
        <v>1.9950558482805723</v>
      </c>
      <c r="AM60" s="50">
        <f t="shared" si="46"/>
        <v>0.33557830128743932</v>
      </c>
      <c r="AN60" s="50">
        <f t="shared" si="47"/>
        <v>1</v>
      </c>
      <c r="AO60" s="50">
        <f t="shared" si="48"/>
        <v>3.3308387491173903</v>
      </c>
      <c r="AP60" s="47">
        <f t="shared" si="49"/>
        <v>2.0394359794050732E-2</v>
      </c>
      <c r="AQ60" s="50">
        <f t="shared" si="50"/>
        <v>7.3821700305470213</v>
      </c>
    </row>
    <row r="61" spans="2:43" x14ac:dyDescent="0.25">
      <c r="C61" s="40">
        <f>0.5*22.712471</f>
        <v>11.3562355</v>
      </c>
      <c r="D61" s="40">
        <f>2*36.576</f>
        <v>73.152000000000001</v>
      </c>
      <c r="E61" s="40">
        <f>1.5*45</f>
        <v>67.5</v>
      </c>
      <c r="J61" t="s">
        <v>119</v>
      </c>
      <c r="M61" s="28">
        <f>IFERROR(M58*M59*(E11/1000)*9.81/3600,"")</f>
        <v>3.1966989150739833</v>
      </c>
      <c r="N61" s="24" t="s">
        <v>140</v>
      </c>
      <c r="Q61" s="36"/>
      <c r="R61" s="57"/>
      <c r="V61">
        <v>10</v>
      </c>
      <c r="W61" s="51">
        <f t="shared" si="30"/>
        <v>18.397101149999997</v>
      </c>
      <c r="X61" s="47">
        <f t="shared" si="31"/>
        <v>1.0714671738227333</v>
      </c>
      <c r="Y61" s="48">
        <f t="shared" si="32"/>
        <v>274927.29173095251</v>
      </c>
      <c r="Z61" s="49">
        <f t="shared" si="33"/>
        <v>1.0232885242685261E+21</v>
      </c>
      <c r="AA61" s="49">
        <f t="shared" si="34"/>
        <v>1.4540233065155253E-14</v>
      </c>
      <c r="AB61" s="46">
        <f t="shared" si="35"/>
        <v>1.8916475576811614E-2</v>
      </c>
      <c r="AC61" s="47">
        <f t="shared" si="36"/>
        <v>0.18811033872855637</v>
      </c>
      <c r="AD61" s="50">
        <f t="shared" si="37"/>
        <v>0.26809890849772305</v>
      </c>
      <c r="AE61" s="50">
        <f t="shared" si="38"/>
        <v>0.20071044884106387</v>
      </c>
      <c r="AF61" s="50">
        <f t="shared" si="39"/>
        <v>0.66351821939808187</v>
      </c>
      <c r="AG61" s="50">
        <f t="shared" si="40"/>
        <v>1.06366605321741</v>
      </c>
      <c r="AH61" s="50">
        <f t="shared" si="41"/>
        <v>0.20071044884106387</v>
      </c>
      <c r="AI61" s="50">
        <f t="shared" si="42"/>
        <v>0.33439617055769699</v>
      </c>
      <c r="AJ61" s="50">
        <f t="shared" si="43"/>
        <v>0.13368572171663309</v>
      </c>
      <c r="AK61" s="50">
        <f t="shared" si="44"/>
        <v>5.3092369527813403</v>
      </c>
      <c r="AL61" s="50">
        <f t="shared" si="45"/>
        <v>1.994373849782644</v>
      </c>
      <c r="AM61" s="50">
        <f t="shared" si="46"/>
        <v>0.3351236356221538</v>
      </c>
      <c r="AN61" s="50">
        <f t="shared" si="47"/>
        <v>1</v>
      </c>
      <c r="AO61" s="50">
        <f t="shared" si="48"/>
        <v>3.3296793516709116</v>
      </c>
      <c r="AP61" s="47">
        <f t="shared" si="49"/>
        <v>2.5802627115590268E-2</v>
      </c>
      <c r="AQ61" s="50">
        <f t="shared" si="50"/>
        <v>7.4258154658441464</v>
      </c>
    </row>
    <row r="62" spans="2:43" x14ac:dyDescent="0.25">
      <c r="C62" s="40">
        <f>0.5*34.0687065</f>
        <v>17.034353249999999</v>
      </c>
      <c r="D62" s="40">
        <f>2*27.432</f>
        <v>54.863999999999997</v>
      </c>
      <c r="E62" s="40">
        <f>1.5*44</f>
        <v>66</v>
      </c>
      <c r="J62" t="s">
        <v>120</v>
      </c>
      <c r="M62" s="34">
        <f>IFERROR(M61/(M60/100),"")</f>
        <v>5.194173876010197</v>
      </c>
      <c r="N62" s="24" t="s">
        <v>140</v>
      </c>
      <c r="V62">
        <v>11</v>
      </c>
      <c r="W62" s="51">
        <f t="shared" si="30"/>
        <v>20.441223499999996</v>
      </c>
      <c r="X62" s="47">
        <f t="shared" si="31"/>
        <v>1.1905190820252591</v>
      </c>
      <c r="Y62" s="48">
        <f t="shared" si="32"/>
        <v>305474.7685899472</v>
      </c>
      <c r="Z62" s="49">
        <f t="shared" si="33"/>
        <v>1.081607558306026E+21</v>
      </c>
      <c r="AA62" s="49">
        <f t="shared" si="34"/>
        <v>2.6943345420343828E-15</v>
      </c>
      <c r="AB62" s="46">
        <f t="shared" si="35"/>
        <v>1.8785868276508261E-2</v>
      </c>
      <c r="AC62" s="47">
        <f t="shared" si="36"/>
        <v>0.23063153810378409</v>
      </c>
      <c r="AD62" s="50">
        <f t="shared" si="37"/>
        <v>0.2678079224719403</v>
      </c>
      <c r="AE62" s="50">
        <f t="shared" si="38"/>
        <v>0.20052858257494965</v>
      </c>
      <c r="AF62" s="50">
        <f t="shared" si="39"/>
        <v>0.66346365951824759</v>
      </c>
      <c r="AG62" s="50">
        <f t="shared" si="40"/>
        <v>1.0633750671916273</v>
      </c>
      <c r="AH62" s="50">
        <f t="shared" si="41"/>
        <v>0.20052858257494965</v>
      </c>
      <c r="AI62" s="50">
        <f t="shared" si="42"/>
        <v>0.33410518453191423</v>
      </c>
      <c r="AJ62" s="50">
        <f t="shared" si="43"/>
        <v>0.13357660195696458</v>
      </c>
      <c r="AK62" s="50">
        <f t="shared" si="44"/>
        <v>5.3086913539829981</v>
      </c>
      <c r="AL62" s="50">
        <f t="shared" si="45"/>
        <v>1.9938282509843015</v>
      </c>
      <c r="AM62" s="50">
        <f t="shared" si="46"/>
        <v>0.33475990308992537</v>
      </c>
      <c r="AN62" s="50">
        <f t="shared" si="47"/>
        <v>1</v>
      </c>
      <c r="AO62" s="50">
        <f t="shared" si="48"/>
        <v>3.3287518337137292</v>
      </c>
      <c r="AP62" s="47">
        <f t="shared" si="49"/>
        <v>3.1846221625414964E-2</v>
      </c>
      <c r="AQ62" s="50">
        <f t="shared" si="50"/>
        <v>7.4743802597291991</v>
      </c>
    </row>
    <row r="63" spans="2:43" x14ac:dyDescent="0.25">
      <c r="C63" s="40">
        <f>0.5*40.8824478</f>
        <v>20.441223900000001</v>
      </c>
      <c r="D63" s="40">
        <f>2*20.4216</f>
        <v>40.843200000000003</v>
      </c>
      <c r="E63" s="40">
        <f>1.5*40</f>
        <v>60</v>
      </c>
      <c r="V63">
        <v>12</v>
      </c>
      <c r="W63" s="51">
        <f t="shared" si="30"/>
        <v>22.485345849999995</v>
      </c>
      <c r="X63" s="47">
        <f t="shared" si="31"/>
        <v>1.309570990227785</v>
      </c>
      <c r="Y63" s="48">
        <f t="shared" si="32"/>
        <v>336022.24544894189</v>
      </c>
      <c r="Z63" s="49">
        <f t="shared" si="33"/>
        <v>1.1335481238812987E+21</v>
      </c>
      <c r="AA63" s="49">
        <f t="shared" si="34"/>
        <v>5.8636569791249023E-16</v>
      </c>
      <c r="AB63" s="46">
        <f t="shared" si="35"/>
        <v>1.8676048439729507E-2</v>
      </c>
      <c r="AC63" s="47">
        <f t="shared" si="36"/>
        <v>0.27743278691662315</v>
      </c>
      <c r="AD63" s="50">
        <f t="shared" si="37"/>
        <v>0.26756984299629988</v>
      </c>
      <c r="AE63" s="50">
        <f t="shared" si="38"/>
        <v>0.20037978290267441</v>
      </c>
      <c r="AF63" s="50">
        <f t="shared" si="39"/>
        <v>0.66341901961656502</v>
      </c>
      <c r="AG63" s="50">
        <f t="shared" si="40"/>
        <v>1.0631369877159871</v>
      </c>
      <c r="AH63" s="50">
        <f t="shared" si="41"/>
        <v>0.20037978290267441</v>
      </c>
      <c r="AI63" s="50">
        <f t="shared" si="42"/>
        <v>0.33386710505627382</v>
      </c>
      <c r="AJ63" s="50">
        <f t="shared" si="43"/>
        <v>0.13348732215359943</v>
      </c>
      <c r="AK63" s="50">
        <f t="shared" si="44"/>
        <v>5.3082449549661721</v>
      </c>
      <c r="AL63" s="50">
        <f t="shared" si="45"/>
        <v>1.9933818519674757</v>
      </c>
      <c r="AM63" s="50">
        <f t="shared" si="46"/>
        <v>0.33446230374537489</v>
      </c>
      <c r="AN63" s="50">
        <f t="shared" si="47"/>
        <v>1</v>
      </c>
      <c r="AO63" s="50">
        <f t="shared" si="48"/>
        <v>3.3279929553851257</v>
      </c>
      <c r="AP63" s="47">
        <f t="shared" si="49"/>
        <v>3.8525143323524823E-2</v>
      </c>
      <c r="AQ63" s="50">
        <f t="shared" si="50"/>
        <v>7.5278604302401479</v>
      </c>
    </row>
    <row r="64" spans="2:43" x14ac:dyDescent="0.25">
      <c r="C64" s="40">
        <f>0.5*45.424942</f>
        <v>22.712471000000001</v>
      </c>
      <c r="D64" s="40">
        <f>2*15.24</f>
        <v>30.48</v>
      </c>
      <c r="E64" s="40">
        <f>1.5*35</f>
        <v>52.5</v>
      </c>
      <c r="V64">
        <v>13</v>
      </c>
      <c r="W64" s="51">
        <f t="shared" si="30"/>
        <v>24.529468199999993</v>
      </c>
      <c r="X64" s="47">
        <f t="shared" si="31"/>
        <v>1.4286228984303109</v>
      </c>
      <c r="Y64" s="48">
        <f t="shared" si="32"/>
        <v>366569.72230793664</v>
      </c>
      <c r="Z64" s="49">
        <f t="shared" si="33"/>
        <v>1.1801052878585945E+21</v>
      </c>
      <c r="AA64" s="49">
        <f t="shared" si="34"/>
        <v>1.4573087823361012E-16</v>
      </c>
      <c r="AB64" s="46">
        <f t="shared" si="35"/>
        <v>1.8582318194323516E-2</v>
      </c>
      <c r="AC64" s="47">
        <f t="shared" si="36"/>
        <v>0.32851091744063771</v>
      </c>
      <c r="AD64" s="50">
        <f t="shared" si="37"/>
        <v>0.26737144343326619</v>
      </c>
      <c r="AE64" s="50">
        <f t="shared" si="38"/>
        <v>0.20025578317577836</v>
      </c>
      <c r="AF64" s="50">
        <f t="shared" si="39"/>
        <v>0.66338181969849619</v>
      </c>
      <c r="AG64" s="50">
        <f t="shared" si="40"/>
        <v>1.0629385881529534</v>
      </c>
      <c r="AH64" s="50">
        <f t="shared" si="41"/>
        <v>0.20025578317577836</v>
      </c>
      <c r="AI64" s="50">
        <f t="shared" si="42"/>
        <v>0.33366870549324013</v>
      </c>
      <c r="AJ64" s="50">
        <f t="shared" si="43"/>
        <v>0.1334129223174618</v>
      </c>
      <c r="AK64" s="50">
        <f t="shared" si="44"/>
        <v>5.3078729557854842</v>
      </c>
      <c r="AL64" s="50">
        <f t="shared" si="45"/>
        <v>1.9930098527867874</v>
      </c>
      <c r="AM64" s="50">
        <f t="shared" si="46"/>
        <v>0.33421430429158278</v>
      </c>
      <c r="AN64" s="50">
        <f t="shared" si="47"/>
        <v>1</v>
      </c>
      <c r="AO64" s="50">
        <f t="shared" si="48"/>
        <v>3.3273605567779558</v>
      </c>
      <c r="AP64" s="47">
        <f t="shared" si="49"/>
        <v>4.5839392209919824E-2</v>
      </c>
      <c r="AQ64" s="50">
        <f t="shared" si="50"/>
        <v>7.5862528096505573</v>
      </c>
    </row>
    <row r="65" spans="3:43" x14ac:dyDescent="0.25">
      <c r="C65" s="39"/>
      <c r="D65" s="39"/>
      <c r="E65" s="39"/>
      <c r="V65">
        <v>14</v>
      </c>
      <c r="W65" s="51">
        <f t="shared" si="30"/>
        <v>26.573590549999992</v>
      </c>
      <c r="X65" s="47">
        <f t="shared" si="31"/>
        <v>1.5476748066328367</v>
      </c>
      <c r="Y65" s="48">
        <f t="shared" si="32"/>
        <v>397117.19916693133</v>
      </c>
      <c r="Z65" s="49">
        <f t="shared" si="33"/>
        <v>1.222080114110669E+21</v>
      </c>
      <c r="AA65" s="49">
        <f t="shared" si="34"/>
        <v>4.0490942138366023E-17</v>
      </c>
      <c r="AB65" s="46">
        <f t="shared" si="35"/>
        <v>1.8501312014068214E-2</v>
      </c>
      <c r="AC65" s="47">
        <f t="shared" si="36"/>
        <v>0.38386335477570455</v>
      </c>
      <c r="AD65" s="50">
        <f t="shared" si="37"/>
        <v>0.26720356687993002</v>
      </c>
      <c r="AE65" s="50">
        <f t="shared" si="38"/>
        <v>0.20015086032994323</v>
      </c>
      <c r="AF65" s="50">
        <f t="shared" si="39"/>
        <v>0.6633503428447457</v>
      </c>
      <c r="AG65" s="50">
        <f t="shared" si="40"/>
        <v>1.062770711599617</v>
      </c>
      <c r="AH65" s="50">
        <f t="shared" si="41"/>
        <v>0.20015086032994323</v>
      </c>
      <c r="AI65" s="50">
        <f t="shared" si="42"/>
        <v>0.33350082893990396</v>
      </c>
      <c r="AJ65" s="50">
        <f t="shared" si="43"/>
        <v>0.13334996860996071</v>
      </c>
      <c r="AK65" s="50">
        <f t="shared" si="44"/>
        <v>5.3075581872479782</v>
      </c>
      <c r="AL65" s="50">
        <f t="shared" si="45"/>
        <v>1.9926950842492821</v>
      </c>
      <c r="AM65" s="50">
        <f t="shared" si="46"/>
        <v>0.33400445859991251</v>
      </c>
      <c r="AN65" s="50">
        <f t="shared" si="47"/>
        <v>1</v>
      </c>
      <c r="AO65" s="50">
        <f t="shared" si="48"/>
        <v>3.3268254502641965</v>
      </c>
      <c r="AP65" s="47">
        <f t="shared" si="49"/>
        <v>5.3788968284599989E-2</v>
      </c>
      <c r="AQ65" s="50">
        <f t="shared" si="50"/>
        <v>7.6495548230603045</v>
      </c>
    </row>
    <row r="66" spans="3:43" x14ac:dyDescent="0.25">
      <c r="C66" s="39"/>
      <c r="D66" s="39"/>
      <c r="E66" s="39"/>
      <c r="V66">
        <v>15</v>
      </c>
      <c r="W66" s="51">
        <f t="shared" si="30"/>
        <v>28.61771289999999</v>
      </c>
      <c r="X66" s="47">
        <f t="shared" si="31"/>
        <v>1.6667267148353626</v>
      </c>
      <c r="Y66" s="48">
        <f t="shared" si="32"/>
        <v>427664.67602592602</v>
      </c>
      <c r="Z66" s="49">
        <f t="shared" si="33"/>
        <v>1.2601235119376617E+21</v>
      </c>
      <c r="AA66" s="49">
        <f t="shared" si="34"/>
        <v>1.2370947050428577E-17</v>
      </c>
      <c r="AB66" s="46">
        <f t="shared" si="35"/>
        <v>1.8430552211297108E-2</v>
      </c>
      <c r="AC66" s="47">
        <f t="shared" si="36"/>
        <v>0.44348796778382943</v>
      </c>
      <c r="AD66" s="50">
        <f t="shared" si="37"/>
        <v>0.26705967269135611</v>
      </c>
      <c r="AE66" s="50">
        <f t="shared" si="38"/>
        <v>0.20006092646208457</v>
      </c>
      <c r="AF66" s="50">
        <f t="shared" si="39"/>
        <v>0.66332336268438807</v>
      </c>
      <c r="AG66" s="50">
        <f t="shared" si="40"/>
        <v>1.0626268174110431</v>
      </c>
      <c r="AH66" s="50">
        <f t="shared" si="41"/>
        <v>0.20006092646208457</v>
      </c>
      <c r="AI66" s="50">
        <f t="shared" si="42"/>
        <v>0.33335693475133005</v>
      </c>
      <c r="AJ66" s="50">
        <f t="shared" si="43"/>
        <v>0.13329600828924551</v>
      </c>
      <c r="AK66" s="50">
        <f t="shared" si="44"/>
        <v>5.3072883856444024</v>
      </c>
      <c r="AL66" s="50">
        <f t="shared" si="45"/>
        <v>1.9924252826457061</v>
      </c>
      <c r="AM66" s="50">
        <f t="shared" si="46"/>
        <v>0.33382459086419519</v>
      </c>
      <c r="AN66" s="50">
        <f t="shared" si="47"/>
        <v>1</v>
      </c>
      <c r="AO66" s="50">
        <f t="shared" si="48"/>
        <v>3.3263667875381175</v>
      </c>
      <c r="AP66" s="47">
        <f t="shared" si="49"/>
        <v>6.2373871547565317E-2</v>
      </c>
      <c r="AQ66" s="50">
        <f t="shared" si="50"/>
        <v>7.7177643393313948</v>
      </c>
    </row>
    <row r="67" spans="3:43" x14ac:dyDescent="0.25">
      <c r="V67">
        <v>16</v>
      </c>
      <c r="W67" s="51">
        <f t="shared" si="30"/>
        <v>30.661835249999989</v>
      </c>
      <c r="X67" s="47">
        <f t="shared" si="31"/>
        <v>1.7857786230378885</v>
      </c>
      <c r="Y67" s="48">
        <f t="shared" si="32"/>
        <v>458212.15288492071</v>
      </c>
      <c r="Z67" s="49">
        <f t="shared" si="33"/>
        <v>1.2947692077751649E+21</v>
      </c>
      <c r="AA67" s="49">
        <f t="shared" si="34"/>
        <v>4.101959555682901E-18</v>
      </c>
      <c r="AB67" s="46">
        <f t="shared" si="35"/>
        <v>1.8368172177821759E-2</v>
      </c>
      <c r="AC67" s="47">
        <f t="shared" si="36"/>
        <v>0.50738296538324923</v>
      </c>
      <c r="AD67" s="50">
        <f t="shared" si="37"/>
        <v>0.26693496439459208</v>
      </c>
      <c r="AE67" s="50">
        <f t="shared" si="38"/>
        <v>0.19998298377660703</v>
      </c>
      <c r="AF67" s="50">
        <f t="shared" si="39"/>
        <v>0.66329997987874489</v>
      </c>
      <c r="AG67" s="50">
        <f t="shared" si="40"/>
        <v>1.0625021091142792</v>
      </c>
      <c r="AH67" s="50">
        <f t="shared" si="41"/>
        <v>0.19998298377660703</v>
      </c>
      <c r="AI67" s="50">
        <f t="shared" si="42"/>
        <v>0.33323222645456602</v>
      </c>
      <c r="AJ67" s="50">
        <f t="shared" si="43"/>
        <v>0.13324924267795901</v>
      </c>
      <c r="AK67" s="50">
        <f t="shared" si="44"/>
        <v>5.3070545575879695</v>
      </c>
      <c r="AL67" s="50">
        <f t="shared" si="45"/>
        <v>1.9921914545892736</v>
      </c>
      <c r="AM67" s="50">
        <f t="shared" si="46"/>
        <v>0.33366870549324013</v>
      </c>
      <c r="AN67" s="50">
        <f t="shared" si="47"/>
        <v>1</v>
      </c>
      <c r="AO67" s="50">
        <f t="shared" si="48"/>
        <v>3.325969279842182</v>
      </c>
      <c r="AP67" s="47">
        <f t="shared" si="49"/>
        <v>7.1594101998815787E-2</v>
      </c>
      <c r="AQ67" s="50">
        <f t="shared" si="50"/>
        <v>7.7908795673820652</v>
      </c>
    </row>
    <row r="68" spans="3:43" x14ac:dyDescent="0.25">
      <c r="V68">
        <v>17</v>
      </c>
      <c r="W68" s="51">
        <f t="shared" si="30"/>
        <v>32.705957599999991</v>
      </c>
      <c r="X68" s="47">
        <f t="shared" si="31"/>
        <v>1.9048305312404146</v>
      </c>
      <c r="Y68" s="48">
        <f t="shared" si="32"/>
        <v>488759.62974391552</v>
      </c>
      <c r="Z68" s="49">
        <f t="shared" si="33"/>
        <v>1.3264586463301657E+21</v>
      </c>
      <c r="AA68" s="49">
        <f t="shared" si="34"/>
        <v>1.4606016819382071E-18</v>
      </c>
      <c r="AB68" s="46">
        <f t="shared" si="35"/>
        <v>1.8312737604208169E-2</v>
      </c>
      <c r="AC68" s="47">
        <f t="shared" si="36"/>
        <v>0.57554682235941201</v>
      </c>
      <c r="AD68" s="50">
        <f t="shared" si="37"/>
        <v>0.26682584463492359</v>
      </c>
      <c r="AE68" s="50">
        <f t="shared" si="38"/>
        <v>0.19991478392681422</v>
      </c>
      <c r="AF68" s="50">
        <f t="shared" si="39"/>
        <v>0.66327951992380696</v>
      </c>
      <c r="AG68" s="50">
        <f t="shared" si="40"/>
        <v>1.0623929893546107</v>
      </c>
      <c r="AH68" s="50">
        <f t="shared" si="41"/>
        <v>0.19991478392681422</v>
      </c>
      <c r="AI68" s="50">
        <f t="shared" si="42"/>
        <v>0.33312310669489753</v>
      </c>
      <c r="AJ68" s="50">
        <f t="shared" si="43"/>
        <v>0.13320832276808331</v>
      </c>
      <c r="AK68" s="50">
        <f t="shared" si="44"/>
        <v>5.3068499580385913</v>
      </c>
      <c r="AL68" s="50">
        <f t="shared" si="45"/>
        <v>1.9919868550398951</v>
      </c>
      <c r="AM68" s="50">
        <f t="shared" si="46"/>
        <v>0.3335323057936545</v>
      </c>
      <c r="AN68" s="50">
        <f t="shared" si="47"/>
        <v>1</v>
      </c>
      <c r="AO68" s="50">
        <f t="shared" si="48"/>
        <v>3.3256214606082386</v>
      </c>
      <c r="AP68" s="47">
        <f t="shared" si="49"/>
        <v>8.1449659638351435E-2</v>
      </c>
      <c r="AQ68" s="50">
        <f t="shared" si="50"/>
        <v>7.8688989819977628</v>
      </c>
    </row>
    <row r="69" spans="3:43" x14ac:dyDescent="0.25">
      <c r="V69">
        <v>18</v>
      </c>
      <c r="W69" s="51">
        <f t="shared" si="30"/>
        <v>34.750079949999993</v>
      </c>
      <c r="X69" s="47">
        <f t="shared" si="31"/>
        <v>2.0238824394429407</v>
      </c>
      <c r="Y69" s="48">
        <f t="shared" si="32"/>
        <v>519307.10660291027</v>
      </c>
      <c r="Z69" s="49">
        <f t="shared" si="33"/>
        <v>1.3555599325516868E+21</v>
      </c>
      <c r="AA69" s="49">
        <f t="shared" si="34"/>
        <v>5.5369267339744086E-19</v>
      </c>
      <c r="AB69" s="46">
        <f t="shared" si="35"/>
        <v>1.8263127310474952E-2</v>
      </c>
      <c r="AC69" s="47">
        <f t="shared" si="36"/>
        <v>0.6479782250033298</v>
      </c>
      <c r="AD69" s="50">
        <f t="shared" si="37"/>
        <v>0.26672956249403956</v>
      </c>
      <c r="AE69" s="50">
        <f t="shared" si="38"/>
        <v>0.19985460758876172</v>
      </c>
      <c r="AF69" s="50">
        <f t="shared" si="39"/>
        <v>0.66326146702239119</v>
      </c>
      <c r="AG69" s="50">
        <f t="shared" si="40"/>
        <v>1.0622967072137266</v>
      </c>
      <c r="AH69" s="50">
        <f t="shared" si="41"/>
        <v>0.19985460758876172</v>
      </c>
      <c r="AI69" s="50">
        <f t="shared" si="42"/>
        <v>0.3330268245540135</v>
      </c>
      <c r="AJ69" s="50">
        <f t="shared" si="43"/>
        <v>0.13317221696525181</v>
      </c>
      <c r="AK69" s="50">
        <f t="shared" si="44"/>
        <v>5.3066694290244341</v>
      </c>
      <c r="AL69" s="50">
        <f t="shared" si="45"/>
        <v>1.9918063260257375</v>
      </c>
      <c r="AM69" s="50">
        <f t="shared" si="46"/>
        <v>0.33341195311754951</v>
      </c>
      <c r="AN69" s="50">
        <f t="shared" si="47"/>
        <v>1</v>
      </c>
      <c r="AO69" s="50">
        <f t="shared" si="48"/>
        <v>3.3253145612841708</v>
      </c>
      <c r="AP69" s="47">
        <f t="shared" si="49"/>
        <v>9.1940544466172239E-2</v>
      </c>
      <c r="AQ69" s="50">
        <f t="shared" si="50"/>
        <v>7.9518212694695016</v>
      </c>
    </row>
    <row r="70" spans="3:43" x14ac:dyDescent="0.25">
      <c r="V70">
        <v>19</v>
      </c>
      <c r="W70" s="51">
        <f t="shared" si="30"/>
        <v>36.794202299999995</v>
      </c>
      <c r="X70" s="47">
        <f t="shared" si="31"/>
        <v>2.1429343476454665</v>
      </c>
      <c r="Y70" s="48">
        <f t="shared" si="32"/>
        <v>549854.58346190501</v>
      </c>
      <c r="Z70" s="49">
        <f t="shared" si="33"/>
        <v>1.3823823628171388E+21</v>
      </c>
      <c r="AA70" s="49">
        <f t="shared" si="34"/>
        <v>2.2186634926079182E-19</v>
      </c>
      <c r="AB70" s="46">
        <f t="shared" si="35"/>
        <v>1.8218451632624533E-2</v>
      </c>
      <c r="AC70" s="47">
        <f t="shared" si="36"/>
        <v>0.72467603043853235</v>
      </c>
      <c r="AD70" s="50">
        <f t="shared" si="37"/>
        <v>0.26664397836880938</v>
      </c>
      <c r="AE70" s="50">
        <f t="shared" si="38"/>
        <v>0.19980111751049281</v>
      </c>
      <c r="AF70" s="50">
        <f t="shared" si="39"/>
        <v>0.66324541999891062</v>
      </c>
      <c r="AG70" s="50">
        <f t="shared" si="40"/>
        <v>1.0622111230884965</v>
      </c>
      <c r="AH70" s="50">
        <f t="shared" si="41"/>
        <v>0.19980111751049281</v>
      </c>
      <c r="AI70" s="50">
        <f t="shared" si="42"/>
        <v>0.33294124042878331</v>
      </c>
      <c r="AJ70" s="50">
        <f t="shared" si="43"/>
        <v>0.13314012291829047</v>
      </c>
      <c r="AK70" s="50">
        <f t="shared" si="44"/>
        <v>5.3065089587896273</v>
      </c>
      <c r="AL70" s="50">
        <f t="shared" si="45"/>
        <v>1.9916458557909309</v>
      </c>
      <c r="AM70" s="50">
        <f t="shared" si="46"/>
        <v>0.33330497296101169</v>
      </c>
      <c r="AN70" s="50">
        <f t="shared" si="47"/>
        <v>1</v>
      </c>
      <c r="AO70" s="50">
        <f t="shared" si="48"/>
        <v>3.3250417618850001</v>
      </c>
      <c r="AP70" s="47">
        <f t="shared" si="49"/>
        <v>0.1030667564822782</v>
      </c>
      <c r="AQ70" s="50">
        <f t="shared" si="50"/>
        <v>8.0396452869208108</v>
      </c>
    </row>
    <row r="71" spans="3:43" x14ac:dyDescent="0.25">
      <c r="V71">
        <v>20</v>
      </c>
      <c r="W71" s="51">
        <f t="shared" si="30"/>
        <v>38.838324649999997</v>
      </c>
      <c r="X71" s="47">
        <f t="shared" si="31"/>
        <v>2.2619862558479928</v>
      </c>
      <c r="Y71" s="48">
        <f t="shared" si="32"/>
        <v>580402.06032089982</v>
      </c>
      <c r="Z71" s="49">
        <f t="shared" si="33"/>
        <v>1.4071876718802651E+21</v>
      </c>
      <c r="AA71" s="49">
        <f t="shared" si="34"/>
        <v>9.3410114335149944E-20</v>
      </c>
      <c r="AB71" s="46">
        <f t="shared" si="35"/>
        <v>1.8177995194623424E-2</v>
      </c>
      <c r="AC71" s="47">
        <f t="shared" si="36"/>
        <v>0.80563923562717465</v>
      </c>
      <c r="AD71" s="50">
        <f t="shared" si="37"/>
        <v>0.26656740309886656</v>
      </c>
      <c r="AE71" s="50">
        <f t="shared" si="38"/>
        <v>0.19975325796677856</v>
      </c>
      <c r="AF71" s="50">
        <f t="shared" si="39"/>
        <v>0.6632310621357963</v>
      </c>
      <c r="AG71" s="50">
        <f t="shared" si="40"/>
        <v>1.0621345478185535</v>
      </c>
      <c r="AH71" s="50">
        <f t="shared" si="41"/>
        <v>0.19975325796677856</v>
      </c>
      <c r="AI71" s="50">
        <f t="shared" si="42"/>
        <v>0.3328646651588405</v>
      </c>
      <c r="AJ71" s="50">
        <f t="shared" si="43"/>
        <v>0.13311140719206191</v>
      </c>
      <c r="AK71" s="50">
        <f t="shared" si="44"/>
        <v>5.3063653801584847</v>
      </c>
      <c r="AL71" s="50">
        <f t="shared" si="45"/>
        <v>1.9915022771597881</v>
      </c>
      <c r="AM71" s="50">
        <f t="shared" si="46"/>
        <v>0.33320925387358319</v>
      </c>
      <c r="AN71" s="50">
        <f t="shared" si="47"/>
        <v>1</v>
      </c>
      <c r="AO71" s="50">
        <f t="shared" si="48"/>
        <v>3.3247976782120565</v>
      </c>
      <c r="AP71" s="47">
        <f t="shared" si="49"/>
        <v>0.11482829568666932</v>
      </c>
      <c r="AQ71" s="50">
        <f t="shared" si="50"/>
        <v>8.1323700313138438</v>
      </c>
    </row>
    <row r="72" spans="3:43" x14ac:dyDescent="0.25">
      <c r="V72">
        <v>21</v>
      </c>
      <c r="W72" s="51">
        <f t="shared" si="30"/>
        <v>40.882446999999999</v>
      </c>
      <c r="X72" s="47">
        <f t="shared" si="31"/>
        <v>2.3810381640505187</v>
      </c>
      <c r="Y72" s="48">
        <f t="shared" si="32"/>
        <v>610949.53717989463</v>
      </c>
      <c r="Z72" s="49">
        <f t="shared" si="33"/>
        <v>1.4301988155781965E+21</v>
      </c>
      <c r="AA72" s="49">
        <f t="shared" si="34"/>
        <v>4.1112282440709977E-20</v>
      </c>
      <c r="AB72" s="46">
        <f t="shared" si="35"/>
        <v>1.8141175937411151E-2</v>
      </c>
      <c r="AC72" s="47">
        <f t="shared" si="36"/>
        <v>0.89086695336589694</v>
      </c>
      <c r="AD72" s="50">
        <f t="shared" si="37"/>
        <v>0.26649848535591802</v>
      </c>
      <c r="AE72" s="50">
        <f t="shared" si="38"/>
        <v>0.19971018437743573</v>
      </c>
      <c r="AF72" s="50">
        <f t="shared" si="39"/>
        <v>0.66321814005899349</v>
      </c>
      <c r="AG72" s="50">
        <f t="shared" si="40"/>
        <v>1.0620656300756051</v>
      </c>
      <c r="AH72" s="50">
        <f t="shared" si="41"/>
        <v>0.19971018437743573</v>
      </c>
      <c r="AI72" s="50">
        <f t="shared" si="42"/>
        <v>0.33279574741589196</v>
      </c>
      <c r="AJ72" s="50">
        <f t="shared" si="43"/>
        <v>0.1330855630384562</v>
      </c>
      <c r="AK72" s="50">
        <f t="shared" si="44"/>
        <v>5.3062361593904557</v>
      </c>
      <c r="AL72" s="50">
        <f t="shared" si="45"/>
        <v>1.9913730563917595</v>
      </c>
      <c r="AM72" s="50">
        <f t="shared" si="46"/>
        <v>0.33312310669489753</v>
      </c>
      <c r="AN72" s="50">
        <f t="shared" si="47"/>
        <v>1</v>
      </c>
      <c r="AO72" s="50">
        <f t="shared" si="48"/>
        <v>3.3245780029064083</v>
      </c>
      <c r="AP72" s="47">
        <f t="shared" si="49"/>
        <v>0.12722516207934556</v>
      </c>
      <c r="AQ72" s="50">
        <f t="shared" si="50"/>
        <v>8.2299946154452428</v>
      </c>
    </row>
    <row r="102" spans="2:21" x14ac:dyDescent="0.25">
      <c r="E102" s="12"/>
      <c r="F102" s="12"/>
      <c r="G102" s="13" t="s">
        <v>59</v>
      </c>
      <c r="H102" s="13"/>
      <c r="I102" s="13"/>
      <c r="J102" s="13"/>
      <c r="K102" s="13"/>
      <c r="L102" s="13"/>
      <c r="M102" s="13"/>
      <c r="N102" s="12"/>
      <c r="O102" s="12"/>
      <c r="P102" s="12"/>
      <c r="Q102" s="12"/>
      <c r="R102" s="12"/>
      <c r="S102" s="12"/>
      <c r="T102" s="12"/>
    </row>
    <row r="103" spans="2:21" x14ac:dyDescent="0.25">
      <c r="C103" t="s">
        <v>60</v>
      </c>
      <c r="E103" s="14"/>
      <c r="F103" s="14" t="s">
        <v>61</v>
      </c>
      <c r="G103" s="14">
        <v>0.375</v>
      </c>
      <c r="H103" s="14">
        <v>0.5</v>
      </c>
      <c r="I103" s="15">
        <v>1</v>
      </c>
      <c r="J103" s="14">
        <v>10</v>
      </c>
      <c r="K103" s="14">
        <v>20</v>
      </c>
      <c r="L103" s="14">
        <v>30</v>
      </c>
      <c r="M103" s="13">
        <v>40</v>
      </c>
      <c r="N103" s="14">
        <v>60</v>
      </c>
      <c r="O103" s="14">
        <v>80</v>
      </c>
      <c r="P103" s="14">
        <v>100</v>
      </c>
      <c r="Q103" s="14">
        <v>120</v>
      </c>
      <c r="R103" s="14">
        <v>140</v>
      </c>
      <c r="S103" s="14">
        <v>160</v>
      </c>
      <c r="T103" s="14" t="s">
        <v>62</v>
      </c>
    </row>
    <row r="104" spans="2:21" x14ac:dyDescent="0.25">
      <c r="B104">
        <v>1</v>
      </c>
      <c r="C104" s="14">
        <v>0.375</v>
      </c>
      <c r="D104">
        <v>1</v>
      </c>
      <c r="E104" s="14">
        <v>1</v>
      </c>
      <c r="F104" s="14">
        <v>0.5</v>
      </c>
      <c r="G104" s="14"/>
      <c r="H104" s="14"/>
      <c r="I104" s="14"/>
      <c r="J104" s="14"/>
      <c r="K104" s="14"/>
      <c r="L104" s="14"/>
      <c r="M104" s="13">
        <v>0.622</v>
      </c>
      <c r="N104" s="14"/>
      <c r="O104" s="14">
        <v>0.54600000000000004</v>
      </c>
      <c r="P104" s="14"/>
      <c r="Q104" s="14"/>
      <c r="R104" s="14"/>
      <c r="S104" s="14">
        <v>0.46600000000000003</v>
      </c>
      <c r="T104" s="14">
        <v>0.84</v>
      </c>
      <c r="U104" s="14">
        <v>1</v>
      </c>
    </row>
    <row r="105" spans="2:21" x14ac:dyDescent="0.25">
      <c r="B105">
        <v>2</v>
      </c>
      <c r="C105" s="14">
        <v>0.5</v>
      </c>
      <c r="D105">
        <v>2</v>
      </c>
      <c r="E105" s="14">
        <f t="shared" ref="E105:E136" si="51">1+E104</f>
        <v>2</v>
      </c>
      <c r="F105" s="14">
        <v>0.75</v>
      </c>
      <c r="G105" s="14"/>
      <c r="H105" s="14"/>
      <c r="I105" s="14"/>
      <c r="J105" s="14"/>
      <c r="K105" s="14"/>
      <c r="L105" s="14"/>
      <c r="M105" s="13">
        <v>0.82399999999999995</v>
      </c>
      <c r="N105" s="14"/>
      <c r="O105" s="14">
        <v>0.74199999999999999</v>
      </c>
      <c r="P105" s="14"/>
      <c r="Q105" s="14"/>
      <c r="R105" s="14"/>
      <c r="S105" s="14">
        <v>0.61199999999999999</v>
      </c>
      <c r="T105" s="14">
        <v>1.05</v>
      </c>
      <c r="U105" s="14">
        <f t="shared" ref="U105:U136" si="52">1+U104</f>
        <v>2</v>
      </c>
    </row>
    <row r="106" spans="2:21" x14ac:dyDescent="0.25">
      <c r="B106">
        <v>3</v>
      </c>
      <c r="C106" s="15">
        <v>1</v>
      </c>
      <c r="D106">
        <v>3</v>
      </c>
      <c r="E106" s="14">
        <f t="shared" si="51"/>
        <v>3</v>
      </c>
      <c r="F106" s="14">
        <v>1</v>
      </c>
      <c r="G106" s="14">
        <v>0.56499999999999995</v>
      </c>
      <c r="H106" s="14"/>
      <c r="I106" s="14"/>
      <c r="J106" s="14"/>
      <c r="K106" s="14"/>
      <c r="L106" s="14"/>
      <c r="M106" s="13">
        <v>1.0489999999999999</v>
      </c>
      <c r="N106" s="14"/>
      <c r="O106" s="14">
        <v>0.95699999999999996</v>
      </c>
      <c r="P106" s="14"/>
      <c r="Q106" s="14"/>
      <c r="R106" s="14"/>
      <c r="S106" s="14">
        <v>0.81499999999999995</v>
      </c>
      <c r="T106" s="14">
        <v>1.3149999999999999</v>
      </c>
      <c r="U106" s="14">
        <f t="shared" si="52"/>
        <v>3</v>
      </c>
    </row>
    <row r="107" spans="2:21" x14ac:dyDescent="0.25">
      <c r="B107">
        <v>4</v>
      </c>
      <c r="C107" s="14">
        <v>10</v>
      </c>
      <c r="D107">
        <v>4</v>
      </c>
      <c r="E107" s="14">
        <f t="shared" si="51"/>
        <v>4</v>
      </c>
      <c r="F107" s="14">
        <v>1.5</v>
      </c>
      <c r="G107" s="14">
        <v>1.1499999999999999</v>
      </c>
      <c r="H107" s="14"/>
      <c r="I107" s="14"/>
      <c r="J107" s="14"/>
      <c r="K107" s="14"/>
      <c r="L107" s="14"/>
      <c r="M107" s="13">
        <v>1.61</v>
      </c>
      <c r="N107" s="14"/>
      <c r="O107" s="14">
        <v>1.5</v>
      </c>
      <c r="P107" s="14"/>
      <c r="Q107" s="14"/>
      <c r="R107" s="14"/>
      <c r="S107" s="14">
        <v>1.3380000000000001</v>
      </c>
      <c r="T107" s="14">
        <v>1.9</v>
      </c>
      <c r="U107" s="14">
        <f t="shared" si="52"/>
        <v>4</v>
      </c>
    </row>
    <row r="108" spans="2:21" x14ac:dyDescent="0.25">
      <c r="B108">
        <v>5</v>
      </c>
      <c r="C108" s="14">
        <v>20</v>
      </c>
      <c r="D108">
        <v>5</v>
      </c>
      <c r="E108" s="14">
        <f t="shared" si="51"/>
        <v>5</v>
      </c>
      <c r="F108" s="14">
        <v>2</v>
      </c>
      <c r="G108" s="14">
        <v>1.625</v>
      </c>
      <c r="H108" s="14"/>
      <c r="I108" s="14"/>
      <c r="J108" s="14"/>
      <c r="K108" s="14"/>
      <c r="L108" s="14"/>
      <c r="M108" s="13">
        <v>2.0670000000000002</v>
      </c>
      <c r="N108" s="14"/>
      <c r="O108" s="14">
        <v>1.9390000000000001</v>
      </c>
      <c r="P108" s="14"/>
      <c r="Q108" s="14"/>
      <c r="R108" s="14"/>
      <c r="S108" s="14">
        <v>1.6870000000000001</v>
      </c>
      <c r="T108" s="14">
        <v>2.375</v>
      </c>
      <c r="U108" s="14">
        <f t="shared" si="52"/>
        <v>5</v>
      </c>
    </row>
    <row r="109" spans="2:21" x14ac:dyDescent="0.25">
      <c r="B109">
        <v>6</v>
      </c>
      <c r="C109" s="14">
        <v>30</v>
      </c>
      <c r="D109">
        <v>6</v>
      </c>
      <c r="E109" s="14">
        <f t="shared" si="51"/>
        <v>6</v>
      </c>
      <c r="F109" s="14">
        <v>3</v>
      </c>
      <c r="G109" s="14">
        <v>2.75</v>
      </c>
      <c r="H109" s="14"/>
      <c r="I109" s="14"/>
      <c r="J109" s="14"/>
      <c r="K109" s="14"/>
      <c r="L109" s="14"/>
      <c r="M109" s="13">
        <v>3.0680000000000001</v>
      </c>
      <c r="N109" s="14"/>
      <c r="O109" s="14">
        <v>2.9</v>
      </c>
      <c r="P109" s="14"/>
      <c r="Q109" s="14"/>
      <c r="R109" s="14"/>
      <c r="S109" s="14">
        <v>2.6240000000000001</v>
      </c>
      <c r="T109" s="14">
        <v>3.5</v>
      </c>
      <c r="U109" s="14">
        <f t="shared" si="52"/>
        <v>6</v>
      </c>
    </row>
    <row r="110" spans="2:21" x14ac:dyDescent="0.25">
      <c r="B110">
        <v>7</v>
      </c>
      <c r="C110" s="13">
        <v>40</v>
      </c>
      <c r="D110">
        <v>7</v>
      </c>
      <c r="E110" s="14">
        <f t="shared" si="51"/>
        <v>7</v>
      </c>
      <c r="F110" s="14">
        <v>4</v>
      </c>
      <c r="G110" s="14">
        <v>3.75</v>
      </c>
      <c r="H110" s="14"/>
      <c r="I110" s="14"/>
      <c r="J110" s="14"/>
      <c r="K110" s="14"/>
      <c r="L110" s="14"/>
      <c r="M110" s="13">
        <v>4.0259999999999998</v>
      </c>
      <c r="N110" s="14"/>
      <c r="O110" s="14">
        <v>3.8260000000000001</v>
      </c>
      <c r="P110" s="14"/>
      <c r="Q110" s="14">
        <v>3.6240000000000001</v>
      </c>
      <c r="R110" s="14"/>
      <c r="S110" s="14">
        <v>3.4380000000000002</v>
      </c>
      <c r="T110" s="14">
        <v>4.5</v>
      </c>
      <c r="U110" s="14">
        <f t="shared" si="52"/>
        <v>7</v>
      </c>
    </row>
    <row r="111" spans="2:21" x14ac:dyDescent="0.25">
      <c r="B111">
        <v>8</v>
      </c>
      <c r="C111" s="14">
        <v>60</v>
      </c>
      <c r="D111">
        <v>8</v>
      </c>
      <c r="E111" s="14">
        <f t="shared" si="51"/>
        <v>8</v>
      </c>
      <c r="F111" s="14">
        <v>6</v>
      </c>
      <c r="G111" s="14">
        <v>5.875</v>
      </c>
      <c r="H111" s="14"/>
      <c r="I111" s="14"/>
      <c r="J111" s="14"/>
      <c r="K111" s="14"/>
      <c r="L111" s="14"/>
      <c r="M111" s="13">
        <v>6.0650000000000004</v>
      </c>
      <c r="N111" s="14"/>
      <c r="O111" s="14">
        <v>5.7610000000000001</v>
      </c>
      <c r="P111" s="14"/>
      <c r="Q111" s="14">
        <v>5.5010000000000003</v>
      </c>
      <c r="R111" s="14"/>
      <c r="S111" s="14">
        <v>5.1870000000000003</v>
      </c>
      <c r="T111" s="14">
        <v>6.625</v>
      </c>
      <c r="U111" s="14">
        <f t="shared" si="52"/>
        <v>8</v>
      </c>
    </row>
    <row r="112" spans="2:21" x14ac:dyDescent="0.25">
      <c r="B112">
        <v>9</v>
      </c>
      <c r="C112" s="14">
        <v>80</v>
      </c>
      <c r="D112">
        <v>9</v>
      </c>
      <c r="E112" s="14">
        <f t="shared" si="51"/>
        <v>9</v>
      </c>
      <c r="F112" s="14">
        <v>8</v>
      </c>
      <c r="G112" s="14">
        <v>7.875</v>
      </c>
      <c r="H112" s="14">
        <v>7.625</v>
      </c>
      <c r="I112" s="14"/>
      <c r="J112" s="14"/>
      <c r="K112" s="14">
        <v>8.125</v>
      </c>
      <c r="L112" s="14">
        <v>8.0709999999999997</v>
      </c>
      <c r="M112" s="13">
        <v>7.9809999999999999</v>
      </c>
      <c r="N112" s="14">
        <v>7.8129999999999997</v>
      </c>
      <c r="O112" s="14">
        <v>7.625</v>
      </c>
      <c r="P112" s="14">
        <v>7.4370000000000003</v>
      </c>
      <c r="Q112" s="14">
        <v>7.1870000000000003</v>
      </c>
      <c r="R112" s="14">
        <v>7.0010000000000003</v>
      </c>
      <c r="S112" s="14">
        <v>6.8712999999999997</v>
      </c>
      <c r="T112" s="14">
        <v>8.625</v>
      </c>
      <c r="U112" s="14">
        <f t="shared" si="52"/>
        <v>9</v>
      </c>
    </row>
    <row r="113" spans="2:21" x14ac:dyDescent="0.25">
      <c r="B113">
        <v>10</v>
      </c>
      <c r="C113" s="14">
        <v>100</v>
      </c>
      <c r="D113">
        <v>10</v>
      </c>
      <c r="E113" s="14">
        <f t="shared" si="51"/>
        <v>10</v>
      </c>
      <c r="F113" s="14">
        <v>10</v>
      </c>
      <c r="G113" s="14">
        <v>10</v>
      </c>
      <c r="H113" s="14">
        <v>9.75</v>
      </c>
      <c r="I113" s="14"/>
      <c r="J113" s="14"/>
      <c r="K113" s="14">
        <v>10.25</v>
      </c>
      <c r="L113" s="14">
        <v>10.135999999999999</v>
      </c>
      <c r="M113" s="13">
        <v>10.02</v>
      </c>
      <c r="N113" s="14">
        <v>9.75</v>
      </c>
      <c r="O113" s="14">
        <v>9.5619999999999994</v>
      </c>
      <c r="P113" s="14">
        <v>9.3119999999999994</v>
      </c>
      <c r="Q113" s="14">
        <v>9.0619999999999994</v>
      </c>
      <c r="R113" s="14">
        <v>8.75</v>
      </c>
      <c r="S113" s="14">
        <v>8.5</v>
      </c>
      <c r="T113" s="14">
        <v>10.75</v>
      </c>
      <c r="U113" s="14">
        <f t="shared" si="52"/>
        <v>10</v>
      </c>
    </row>
    <row r="114" spans="2:21" x14ac:dyDescent="0.25">
      <c r="B114">
        <v>11</v>
      </c>
      <c r="C114" s="14">
        <v>120</v>
      </c>
      <c r="D114">
        <v>11</v>
      </c>
      <c r="E114" s="14">
        <f t="shared" si="51"/>
        <v>11</v>
      </c>
      <c r="F114" s="14">
        <v>12</v>
      </c>
      <c r="G114" s="14">
        <v>12</v>
      </c>
      <c r="H114" s="14">
        <v>11.75</v>
      </c>
      <c r="I114" s="14"/>
      <c r="J114" s="14"/>
      <c r="K114" s="14">
        <v>12.25</v>
      </c>
      <c r="L114" s="14">
        <v>12.06</v>
      </c>
      <c r="M114" s="13">
        <v>11.938000000000001</v>
      </c>
      <c r="N114" s="14">
        <v>11.625999999999999</v>
      </c>
      <c r="O114" s="14">
        <v>11.374000000000001</v>
      </c>
      <c r="P114" s="14">
        <v>11.061999999999999</v>
      </c>
      <c r="Q114" s="14">
        <v>10.75</v>
      </c>
      <c r="R114" s="14">
        <v>10.5</v>
      </c>
      <c r="S114" s="14">
        <v>10.125999999999999</v>
      </c>
      <c r="T114" s="14">
        <v>12.75</v>
      </c>
      <c r="U114" s="14">
        <f t="shared" si="52"/>
        <v>11</v>
      </c>
    </row>
    <row r="115" spans="2:21" x14ac:dyDescent="0.25">
      <c r="B115">
        <v>12</v>
      </c>
      <c r="C115" s="14">
        <v>140</v>
      </c>
      <c r="D115">
        <v>12</v>
      </c>
      <c r="E115" s="14">
        <f t="shared" si="51"/>
        <v>12</v>
      </c>
      <c r="F115" s="14">
        <v>14</v>
      </c>
      <c r="G115" s="14">
        <v>13.25</v>
      </c>
      <c r="H115" s="14">
        <v>13</v>
      </c>
      <c r="I115" s="14"/>
      <c r="J115" s="14">
        <v>13.5</v>
      </c>
      <c r="K115" s="14">
        <v>13.375999999999999</v>
      </c>
      <c r="L115" s="14">
        <v>13.25</v>
      </c>
      <c r="M115" s="13">
        <v>13.124000000000001</v>
      </c>
      <c r="N115" s="14">
        <v>12.811999999999999</v>
      </c>
      <c r="O115" s="14">
        <v>12.5</v>
      </c>
      <c r="P115" s="14">
        <v>12.124000000000001</v>
      </c>
      <c r="Q115" s="14">
        <v>11.811999999999999</v>
      </c>
      <c r="R115" s="14">
        <v>11.5</v>
      </c>
      <c r="S115" s="14">
        <v>11.188000000000001</v>
      </c>
      <c r="T115" s="14">
        <v>14</v>
      </c>
      <c r="U115" s="14">
        <f t="shared" si="52"/>
        <v>12</v>
      </c>
    </row>
    <row r="116" spans="2:21" x14ac:dyDescent="0.25">
      <c r="B116">
        <v>13</v>
      </c>
      <c r="C116" s="14">
        <v>160</v>
      </c>
      <c r="D116">
        <v>13</v>
      </c>
      <c r="E116" s="14">
        <f t="shared" si="51"/>
        <v>13</v>
      </c>
      <c r="F116" s="14">
        <v>16</v>
      </c>
      <c r="G116" s="14">
        <v>15.25</v>
      </c>
      <c r="H116" s="14">
        <v>15</v>
      </c>
      <c r="I116" s="14"/>
      <c r="J116" s="14">
        <v>15.5</v>
      </c>
      <c r="K116" s="14">
        <v>15.375999999999999</v>
      </c>
      <c r="L116" s="14">
        <v>15.25</v>
      </c>
      <c r="M116" s="13">
        <v>15</v>
      </c>
      <c r="N116" s="14">
        <v>14.688000000000001</v>
      </c>
      <c r="O116" s="14">
        <v>14.311999999999999</v>
      </c>
      <c r="P116" s="14">
        <v>13.938000000000001</v>
      </c>
      <c r="Q116" s="14">
        <v>13.561999999999999</v>
      </c>
      <c r="R116" s="14">
        <v>13.124000000000001</v>
      </c>
      <c r="S116" s="14">
        <v>12.811999999999999</v>
      </c>
      <c r="T116" s="14">
        <v>16</v>
      </c>
      <c r="U116" s="14">
        <f t="shared" si="52"/>
        <v>13</v>
      </c>
    </row>
    <row r="117" spans="2:21" x14ac:dyDescent="0.25">
      <c r="E117" s="14">
        <f t="shared" si="51"/>
        <v>14</v>
      </c>
      <c r="F117" s="14">
        <v>18</v>
      </c>
      <c r="G117" s="14">
        <v>17.25</v>
      </c>
      <c r="H117" s="14">
        <v>17</v>
      </c>
      <c r="I117" s="14"/>
      <c r="J117" s="14">
        <v>17.5</v>
      </c>
      <c r="K117" s="14">
        <v>17.376000000000001</v>
      </c>
      <c r="L117" s="14">
        <v>17.123999999999999</v>
      </c>
      <c r="M117" s="13">
        <v>16.876000000000001</v>
      </c>
      <c r="N117" s="14">
        <v>16.5</v>
      </c>
      <c r="O117" s="14">
        <v>16.123999999999999</v>
      </c>
      <c r="P117" s="14">
        <v>15.688000000000001</v>
      </c>
      <c r="Q117" s="14">
        <v>15.25</v>
      </c>
      <c r="R117" s="14">
        <v>14.875999999999999</v>
      </c>
      <c r="S117" s="14">
        <v>14.438000000000001</v>
      </c>
      <c r="T117" s="14">
        <v>18</v>
      </c>
      <c r="U117" s="14">
        <f t="shared" si="52"/>
        <v>14</v>
      </c>
    </row>
    <row r="118" spans="2:21" x14ac:dyDescent="0.25">
      <c r="E118" s="14">
        <f t="shared" si="51"/>
        <v>15</v>
      </c>
      <c r="F118" s="14">
        <v>20</v>
      </c>
      <c r="G118" s="14">
        <v>19.25</v>
      </c>
      <c r="H118" s="14">
        <v>19</v>
      </c>
      <c r="I118" s="14"/>
      <c r="J118" s="14">
        <v>19.5</v>
      </c>
      <c r="K118" s="14">
        <v>19.25</v>
      </c>
      <c r="L118" s="14">
        <v>19</v>
      </c>
      <c r="M118" s="13">
        <v>18.812000000000001</v>
      </c>
      <c r="N118" s="14">
        <v>18.376000000000001</v>
      </c>
      <c r="O118" s="14">
        <v>17.937999999999999</v>
      </c>
      <c r="P118" s="14">
        <v>17.437999999999999</v>
      </c>
      <c r="Q118" s="14">
        <v>17</v>
      </c>
      <c r="R118" s="14">
        <v>16.5</v>
      </c>
      <c r="S118" s="14">
        <v>16.062000000000001</v>
      </c>
      <c r="T118" s="14">
        <v>20</v>
      </c>
      <c r="U118" s="14">
        <f t="shared" si="52"/>
        <v>15</v>
      </c>
    </row>
    <row r="119" spans="2:21" x14ac:dyDescent="0.25">
      <c r="E119" s="14">
        <f t="shared" si="51"/>
        <v>16</v>
      </c>
      <c r="F119" s="14">
        <v>24</v>
      </c>
      <c r="G119" s="14">
        <v>23.25</v>
      </c>
      <c r="H119" s="14">
        <v>23</v>
      </c>
      <c r="I119" s="14"/>
      <c r="J119" s="14">
        <v>23.5</v>
      </c>
      <c r="K119" s="14">
        <v>23.25</v>
      </c>
      <c r="L119" s="14">
        <v>22.876000000000001</v>
      </c>
      <c r="M119" s="13">
        <v>22.623999999999999</v>
      </c>
      <c r="N119" s="14">
        <v>22.062000000000001</v>
      </c>
      <c r="O119" s="14">
        <v>21.562000000000001</v>
      </c>
      <c r="P119" s="14">
        <v>20.937999999999999</v>
      </c>
      <c r="Q119" s="14">
        <v>20.376000000000001</v>
      </c>
      <c r="R119" s="14">
        <v>19.876000000000001</v>
      </c>
      <c r="S119" s="14">
        <v>19.312000000000001</v>
      </c>
      <c r="T119" s="14">
        <v>24</v>
      </c>
      <c r="U119" s="14">
        <f t="shared" si="52"/>
        <v>16</v>
      </c>
    </row>
    <row r="120" spans="2:21" x14ac:dyDescent="0.25">
      <c r="E120" s="14">
        <f t="shared" si="51"/>
        <v>17</v>
      </c>
      <c r="F120" s="14">
        <v>26</v>
      </c>
      <c r="G120" s="14">
        <v>25.25</v>
      </c>
      <c r="H120" s="14">
        <v>25</v>
      </c>
      <c r="I120" s="14"/>
      <c r="J120" s="14">
        <v>25.376000000000001</v>
      </c>
      <c r="K120" s="14">
        <v>25</v>
      </c>
      <c r="L120" s="14"/>
      <c r="M120" s="13"/>
      <c r="N120" s="14"/>
      <c r="O120" s="14"/>
      <c r="P120" s="14"/>
      <c r="Q120" s="14"/>
      <c r="R120" s="14"/>
      <c r="S120" s="14"/>
      <c r="T120" s="14">
        <v>26</v>
      </c>
      <c r="U120" s="14">
        <f t="shared" si="52"/>
        <v>17</v>
      </c>
    </row>
    <row r="121" spans="2:21" x14ac:dyDescent="0.25">
      <c r="E121" s="14">
        <f t="shared" si="51"/>
        <v>18</v>
      </c>
      <c r="F121" s="14">
        <v>28</v>
      </c>
      <c r="G121" s="14">
        <v>27.25</v>
      </c>
      <c r="H121" s="14">
        <v>27</v>
      </c>
      <c r="I121" s="14"/>
      <c r="J121" s="14">
        <v>27.376000000000001</v>
      </c>
      <c r="K121" s="14">
        <v>27</v>
      </c>
      <c r="L121" s="14">
        <v>26.75</v>
      </c>
      <c r="M121" s="13"/>
      <c r="N121" s="14"/>
      <c r="O121" s="14"/>
      <c r="P121" s="14"/>
      <c r="Q121" s="14"/>
      <c r="R121" s="14"/>
      <c r="S121" s="14"/>
      <c r="T121" s="14">
        <v>28</v>
      </c>
      <c r="U121" s="14">
        <f t="shared" si="52"/>
        <v>18</v>
      </c>
    </row>
    <row r="122" spans="2:21" x14ac:dyDescent="0.25">
      <c r="E122" s="14">
        <f t="shared" si="51"/>
        <v>19</v>
      </c>
      <c r="F122" s="14">
        <v>30</v>
      </c>
      <c r="G122" s="14">
        <v>29.25</v>
      </c>
      <c r="H122" s="14">
        <v>29</v>
      </c>
      <c r="I122" s="14"/>
      <c r="J122" s="14">
        <v>29.376000000000001</v>
      </c>
      <c r="K122" s="14">
        <v>29</v>
      </c>
      <c r="L122" s="14">
        <v>28.75</v>
      </c>
      <c r="M122" s="13"/>
      <c r="N122" s="14"/>
      <c r="O122" s="14"/>
      <c r="P122" s="14"/>
      <c r="Q122" s="14"/>
      <c r="R122" s="14"/>
      <c r="S122" s="14"/>
      <c r="T122" s="14">
        <v>30</v>
      </c>
      <c r="U122" s="14">
        <f t="shared" si="52"/>
        <v>19</v>
      </c>
    </row>
    <row r="123" spans="2:21" x14ac:dyDescent="0.25">
      <c r="E123" s="14">
        <f t="shared" si="51"/>
        <v>20</v>
      </c>
      <c r="F123" s="14">
        <v>32</v>
      </c>
      <c r="G123" s="14">
        <v>31.25</v>
      </c>
      <c r="H123" s="14">
        <v>31</v>
      </c>
      <c r="I123" s="14"/>
      <c r="J123" s="14">
        <v>31.376000000000001</v>
      </c>
      <c r="K123" s="14">
        <v>31</v>
      </c>
      <c r="L123" s="14">
        <v>30.75</v>
      </c>
      <c r="M123" s="13">
        <v>30.623999999999999</v>
      </c>
      <c r="N123" s="14"/>
      <c r="O123" s="14"/>
      <c r="P123" s="14"/>
      <c r="Q123" s="14"/>
      <c r="R123" s="14"/>
      <c r="S123" s="14"/>
      <c r="T123" s="14">
        <v>32</v>
      </c>
      <c r="U123" s="14">
        <f t="shared" si="52"/>
        <v>20</v>
      </c>
    </row>
    <row r="124" spans="2:21" x14ac:dyDescent="0.25">
      <c r="E124" s="14">
        <f t="shared" si="51"/>
        <v>21</v>
      </c>
      <c r="F124" s="14">
        <v>34</v>
      </c>
      <c r="G124" s="14">
        <v>33.25</v>
      </c>
      <c r="H124" s="14">
        <v>33</v>
      </c>
      <c r="I124" s="14"/>
      <c r="J124" s="14">
        <v>33.311999999999998</v>
      </c>
      <c r="K124" s="14">
        <v>33</v>
      </c>
      <c r="L124" s="14">
        <v>32.75</v>
      </c>
      <c r="M124" s="13">
        <v>32.624000000000002</v>
      </c>
      <c r="N124" s="14"/>
      <c r="O124" s="14"/>
      <c r="P124" s="14"/>
      <c r="Q124" s="14"/>
      <c r="R124" s="14"/>
      <c r="S124" s="14"/>
      <c r="T124" s="14">
        <v>34</v>
      </c>
      <c r="U124" s="14">
        <f t="shared" si="52"/>
        <v>21</v>
      </c>
    </row>
    <row r="125" spans="2:21" x14ac:dyDescent="0.25">
      <c r="E125" s="14">
        <f t="shared" si="51"/>
        <v>22</v>
      </c>
      <c r="F125" s="14">
        <v>36</v>
      </c>
      <c r="G125" s="14">
        <v>35.25</v>
      </c>
      <c r="H125" s="14">
        <v>35</v>
      </c>
      <c r="I125" s="14"/>
      <c r="J125" s="14">
        <v>35.375999999999998</v>
      </c>
      <c r="K125" s="14">
        <v>35</v>
      </c>
      <c r="L125" s="14">
        <v>34.75</v>
      </c>
      <c r="M125" s="13">
        <v>34.5</v>
      </c>
      <c r="N125" s="14"/>
      <c r="O125" s="14"/>
      <c r="P125" s="14"/>
      <c r="Q125" s="14"/>
      <c r="R125" s="14"/>
      <c r="S125" s="14"/>
      <c r="T125" s="14">
        <v>36</v>
      </c>
      <c r="U125" s="14">
        <f t="shared" si="52"/>
        <v>22</v>
      </c>
    </row>
    <row r="126" spans="2:21" x14ac:dyDescent="0.25">
      <c r="E126" s="14">
        <f t="shared" si="51"/>
        <v>23</v>
      </c>
      <c r="F126" s="14">
        <v>38</v>
      </c>
      <c r="G126" s="14">
        <v>37.25</v>
      </c>
      <c r="H126" s="14">
        <v>37</v>
      </c>
      <c r="I126" s="14"/>
      <c r="J126" s="14"/>
      <c r="K126" s="14"/>
      <c r="L126" s="14"/>
      <c r="M126" s="13"/>
      <c r="N126" s="14"/>
      <c r="O126" s="14"/>
      <c r="P126" s="14"/>
      <c r="Q126" s="14"/>
      <c r="R126" s="14"/>
      <c r="S126" s="14"/>
      <c r="T126" s="14">
        <v>38</v>
      </c>
      <c r="U126" s="14">
        <f t="shared" si="52"/>
        <v>23</v>
      </c>
    </row>
    <row r="127" spans="2:21" x14ac:dyDescent="0.25">
      <c r="E127" s="14">
        <f t="shared" si="51"/>
        <v>24</v>
      </c>
      <c r="F127" s="14">
        <v>40</v>
      </c>
      <c r="G127" s="14">
        <v>39.25</v>
      </c>
      <c r="H127" s="14">
        <v>39</v>
      </c>
      <c r="I127" s="14"/>
      <c r="J127" s="14"/>
      <c r="K127" s="14"/>
      <c r="L127" s="14"/>
      <c r="M127" s="13"/>
      <c r="N127" s="14"/>
      <c r="O127" s="14"/>
      <c r="P127" s="14"/>
      <c r="Q127" s="14"/>
      <c r="R127" s="14"/>
      <c r="S127" s="14"/>
      <c r="T127" s="14">
        <v>40</v>
      </c>
      <c r="U127" s="14">
        <f t="shared" si="52"/>
        <v>24</v>
      </c>
    </row>
    <row r="128" spans="2:21" x14ac:dyDescent="0.25">
      <c r="E128" s="14">
        <f t="shared" si="51"/>
        <v>25</v>
      </c>
      <c r="F128" s="14">
        <v>42</v>
      </c>
      <c r="G128" s="14">
        <v>41.25</v>
      </c>
      <c r="H128" s="14">
        <v>41</v>
      </c>
      <c r="I128" s="14"/>
      <c r="J128" s="14"/>
      <c r="K128" s="14"/>
      <c r="L128" s="14"/>
      <c r="M128" s="13"/>
      <c r="N128" s="14"/>
      <c r="O128" s="14"/>
      <c r="P128" s="14"/>
      <c r="Q128" s="14"/>
      <c r="R128" s="14"/>
      <c r="S128" s="14"/>
      <c r="T128" s="14">
        <v>42</v>
      </c>
      <c r="U128" s="14">
        <f t="shared" si="52"/>
        <v>25</v>
      </c>
    </row>
    <row r="129" spans="5:21" x14ac:dyDescent="0.25">
      <c r="E129" s="14">
        <f t="shared" si="51"/>
        <v>26</v>
      </c>
      <c r="F129" s="14">
        <v>44</v>
      </c>
      <c r="G129" s="14">
        <v>43.25</v>
      </c>
      <c r="H129" s="14">
        <v>43</v>
      </c>
      <c r="I129" s="14"/>
      <c r="J129" s="14"/>
      <c r="K129" s="14"/>
      <c r="L129" s="14"/>
      <c r="M129" s="13"/>
      <c r="N129" s="14"/>
      <c r="O129" s="14"/>
      <c r="P129" s="14"/>
      <c r="Q129" s="14"/>
      <c r="R129" s="14"/>
      <c r="S129" s="14"/>
      <c r="T129" s="14">
        <v>44</v>
      </c>
      <c r="U129" s="14">
        <f t="shared" si="52"/>
        <v>26</v>
      </c>
    </row>
    <row r="130" spans="5:21" x14ac:dyDescent="0.25">
      <c r="E130" s="14">
        <f t="shared" si="51"/>
        <v>27</v>
      </c>
      <c r="F130" s="14">
        <v>46</v>
      </c>
      <c r="G130" s="14">
        <v>45.25</v>
      </c>
      <c r="H130" s="14">
        <v>45</v>
      </c>
      <c r="I130" s="14"/>
      <c r="J130" s="14"/>
      <c r="K130" s="14"/>
      <c r="L130" s="14"/>
      <c r="M130" s="13"/>
      <c r="N130" s="14"/>
      <c r="O130" s="14"/>
      <c r="P130" s="14"/>
      <c r="Q130" s="14"/>
      <c r="R130" s="14"/>
      <c r="S130" s="14"/>
      <c r="T130" s="14">
        <v>46</v>
      </c>
      <c r="U130" s="14">
        <f t="shared" si="52"/>
        <v>27</v>
      </c>
    </row>
    <row r="131" spans="5:21" x14ac:dyDescent="0.25">
      <c r="E131" s="14">
        <f t="shared" si="51"/>
        <v>28</v>
      </c>
      <c r="F131" s="14">
        <v>48</v>
      </c>
      <c r="G131" s="14">
        <v>47.25</v>
      </c>
      <c r="H131" s="14">
        <v>47</v>
      </c>
      <c r="I131" s="14"/>
      <c r="J131" s="14"/>
      <c r="K131" s="14"/>
      <c r="L131" s="14"/>
      <c r="M131" s="13"/>
      <c r="N131" s="14"/>
      <c r="O131" s="14"/>
      <c r="P131" s="14"/>
      <c r="Q131" s="14"/>
      <c r="R131" s="14"/>
      <c r="S131" s="14"/>
      <c r="T131" s="14">
        <v>48</v>
      </c>
      <c r="U131" s="14">
        <f t="shared" si="52"/>
        <v>28</v>
      </c>
    </row>
    <row r="132" spans="5:21" x14ac:dyDescent="0.25">
      <c r="E132" s="14">
        <f t="shared" si="51"/>
        <v>29</v>
      </c>
      <c r="F132" s="14">
        <v>50</v>
      </c>
      <c r="G132" s="14">
        <v>49.25</v>
      </c>
      <c r="H132" s="14">
        <v>49</v>
      </c>
      <c r="I132" s="14"/>
      <c r="J132" s="14"/>
      <c r="K132" s="14"/>
      <c r="L132" s="14"/>
      <c r="M132" s="13"/>
      <c r="N132" s="14"/>
      <c r="O132" s="14"/>
      <c r="P132" s="14"/>
      <c r="Q132" s="14"/>
      <c r="R132" s="14"/>
      <c r="S132" s="14"/>
      <c r="T132" s="14">
        <v>50</v>
      </c>
      <c r="U132" s="14">
        <f t="shared" si="52"/>
        <v>29</v>
      </c>
    </row>
    <row r="133" spans="5:21" x14ac:dyDescent="0.25">
      <c r="E133" s="14">
        <f t="shared" si="51"/>
        <v>30</v>
      </c>
      <c r="F133" s="14">
        <v>52</v>
      </c>
      <c r="G133" s="14">
        <v>51.25</v>
      </c>
      <c r="H133" s="14">
        <v>51</v>
      </c>
      <c r="I133" s="14"/>
      <c r="J133" s="14"/>
      <c r="K133" s="14"/>
      <c r="L133" s="14"/>
      <c r="M133" s="13"/>
      <c r="N133" s="14"/>
      <c r="O133" s="14"/>
      <c r="P133" s="14"/>
      <c r="Q133" s="14"/>
      <c r="R133" s="14"/>
      <c r="S133" s="14"/>
      <c r="T133" s="14">
        <v>52</v>
      </c>
      <c r="U133" s="14">
        <f t="shared" si="52"/>
        <v>30</v>
      </c>
    </row>
    <row r="134" spans="5:21" x14ac:dyDescent="0.25">
      <c r="E134" s="14">
        <f t="shared" si="51"/>
        <v>31</v>
      </c>
      <c r="F134" s="14">
        <v>54</v>
      </c>
      <c r="G134" s="14">
        <v>53.25</v>
      </c>
      <c r="H134" s="14">
        <v>53</v>
      </c>
      <c r="I134" s="14"/>
      <c r="J134" s="14"/>
      <c r="K134" s="14"/>
      <c r="L134" s="14"/>
      <c r="M134" s="13"/>
      <c r="N134" s="14"/>
      <c r="O134" s="14"/>
      <c r="P134" s="14"/>
      <c r="Q134" s="14"/>
      <c r="R134" s="14"/>
      <c r="S134" s="14"/>
      <c r="T134" s="14">
        <v>54</v>
      </c>
      <c r="U134" s="14">
        <f t="shared" si="52"/>
        <v>31</v>
      </c>
    </row>
    <row r="135" spans="5:21" x14ac:dyDescent="0.25">
      <c r="E135" s="14">
        <f t="shared" si="51"/>
        <v>32</v>
      </c>
      <c r="F135" s="14">
        <v>56</v>
      </c>
      <c r="G135" s="14">
        <v>55.25</v>
      </c>
      <c r="H135" s="14">
        <v>55</v>
      </c>
      <c r="I135" s="14"/>
      <c r="J135" s="14"/>
      <c r="K135" s="14"/>
      <c r="L135" s="14"/>
      <c r="M135" s="13"/>
      <c r="N135" s="14"/>
      <c r="O135" s="14"/>
      <c r="P135" s="14"/>
      <c r="Q135" s="14"/>
      <c r="R135" s="14"/>
      <c r="S135" s="14"/>
      <c r="T135" s="14">
        <v>56</v>
      </c>
      <c r="U135" s="14">
        <f t="shared" si="52"/>
        <v>32</v>
      </c>
    </row>
    <row r="136" spans="5:21" x14ac:dyDescent="0.25">
      <c r="E136" s="14">
        <f t="shared" si="51"/>
        <v>33</v>
      </c>
      <c r="F136" s="14">
        <v>58</v>
      </c>
      <c r="G136" s="14">
        <v>57.25</v>
      </c>
      <c r="H136" s="14">
        <v>57</v>
      </c>
      <c r="I136" s="14"/>
      <c r="J136" s="14"/>
      <c r="K136" s="14"/>
      <c r="L136" s="14"/>
      <c r="M136" s="13"/>
      <c r="N136" s="14"/>
      <c r="O136" s="14"/>
      <c r="P136" s="14"/>
      <c r="Q136" s="14"/>
      <c r="R136" s="14"/>
      <c r="S136" s="14"/>
      <c r="T136" s="14">
        <v>58</v>
      </c>
      <c r="U136" s="14">
        <f t="shared" si="52"/>
        <v>33</v>
      </c>
    </row>
    <row r="137" spans="5:21" x14ac:dyDescent="0.25">
      <c r="E137" s="14">
        <f>1+E136</f>
        <v>34</v>
      </c>
      <c r="F137" s="14">
        <v>60</v>
      </c>
      <c r="G137" s="14">
        <v>59.25</v>
      </c>
      <c r="H137" s="14">
        <v>59</v>
      </c>
      <c r="I137" s="14">
        <v>58</v>
      </c>
      <c r="J137" s="14"/>
      <c r="K137" s="14"/>
      <c r="L137" s="14"/>
      <c r="M137" s="13"/>
      <c r="N137" s="14"/>
      <c r="O137" s="14"/>
      <c r="P137" s="14"/>
      <c r="Q137" s="14"/>
      <c r="R137" s="14"/>
      <c r="S137" s="14"/>
      <c r="T137" s="14">
        <v>60</v>
      </c>
      <c r="U137" s="14">
        <f>1+U136</f>
        <v>34</v>
      </c>
    </row>
    <row r="138" spans="5:21" x14ac:dyDescent="0.25">
      <c r="E138" s="14">
        <f t="shared" ref="E138:E147" si="53">1+E137</f>
        <v>35</v>
      </c>
      <c r="F138" s="14">
        <v>66</v>
      </c>
      <c r="G138" s="14">
        <v>65.25</v>
      </c>
      <c r="H138" s="14">
        <v>65</v>
      </c>
      <c r="I138" s="14">
        <v>64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>
        <v>66</v>
      </c>
      <c r="U138" s="14">
        <f t="shared" ref="U138:U147" si="54">1+U137</f>
        <v>35</v>
      </c>
    </row>
    <row r="139" spans="5:21" x14ac:dyDescent="0.25">
      <c r="E139" s="14">
        <f t="shared" si="53"/>
        <v>36</v>
      </c>
      <c r="F139" s="14">
        <v>72</v>
      </c>
      <c r="G139" s="14">
        <v>71.25</v>
      </c>
      <c r="H139" s="14">
        <v>71</v>
      </c>
      <c r="I139" s="14">
        <v>70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>
        <v>72</v>
      </c>
      <c r="U139" s="14">
        <f t="shared" si="54"/>
        <v>36</v>
      </c>
    </row>
    <row r="140" spans="5:21" x14ac:dyDescent="0.25">
      <c r="E140" s="14">
        <f t="shared" si="53"/>
        <v>37</v>
      </c>
      <c r="F140" s="14">
        <v>78</v>
      </c>
      <c r="G140" s="14">
        <v>77.25</v>
      </c>
      <c r="H140" s="14">
        <v>77</v>
      </c>
      <c r="I140" s="14">
        <v>76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>
        <v>78</v>
      </c>
      <c r="U140" s="14">
        <f t="shared" si="54"/>
        <v>37</v>
      </c>
    </row>
    <row r="141" spans="5:21" x14ac:dyDescent="0.25">
      <c r="E141" s="14">
        <f t="shared" si="53"/>
        <v>38</v>
      </c>
      <c r="F141" s="14">
        <v>84</v>
      </c>
      <c r="G141" s="14">
        <v>83.25</v>
      </c>
      <c r="H141" s="14">
        <v>83</v>
      </c>
      <c r="I141" s="14">
        <v>82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>
        <v>84</v>
      </c>
      <c r="U141" s="14">
        <f t="shared" si="54"/>
        <v>38</v>
      </c>
    </row>
    <row r="142" spans="5:21" x14ac:dyDescent="0.25">
      <c r="E142" s="14">
        <f t="shared" si="53"/>
        <v>39</v>
      </c>
      <c r="F142" s="14">
        <v>90</v>
      </c>
      <c r="G142" s="14">
        <v>89.25</v>
      </c>
      <c r="H142" s="14">
        <v>89</v>
      </c>
      <c r="I142" s="14">
        <v>88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>
        <v>90</v>
      </c>
      <c r="U142" s="14">
        <f t="shared" si="54"/>
        <v>39</v>
      </c>
    </row>
    <row r="143" spans="5:21" x14ac:dyDescent="0.25">
      <c r="E143" s="14">
        <f t="shared" si="53"/>
        <v>40</v>
      </c>
      <c r="F143" s="14">
        <v>96</v>
      </c>
      <c r="G143" s="14">
        <v>95.25</v>
      </c>
      <c r="H143" s="14">
        <v>95</v>
      </c>
      <c r="I143" s="14">
        <v>94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>
        <v>96</v>
      </c>
      <c r="U143" s="14">
        <f t="shared" si="54"/>
        <v>40</v>
      </c>
    </row>
    <row r="144" spans="5:21" x14ac:dyDescent="0.25">
      <c r="E144" s="14">
        <f t="shared" si="53"/>
        <v>41</v>
      </c>
      <c r="F144" s="14">
        <v>102</v>
      </c>
      <c r="G144" s="14">
        <v>101.25</v>
      </c>
      <c r="H144" s="14">
        <v>101</v>
      </c>
      <c r="I144" s="14">
        <v>100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>
        <v>102</v>
      </c>
      <c r="U144" s="14">
        <f t="shared" si="54"/>
        <v>41</v>
      </c>
    </row>
    <row r="145" spans="5:21" x14ac:dyDescent="0.25">
      <c r="E145" s="14">
        <f t="shared" si="53"/>
        <v>42</v>
      </c>
      <c r="F145" s="14">
        <v>108</v>
      </c>
      <c r="G145" s="14">
        <v>107.25</v>
      </c>
      <c r="H145" s="14">
        <v>107</v>
      </c>
      <c r="I145" s="14">
        <v>106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>
        <v>108</v>
      </c>
      <c r="U145" s="14">
        <f t="shared" si="54"/>
        <v>42</v>
      </c>
    </row>
    <row r="146" spans="5:21" x14ac:dyDescent="0.25">
      <c r="E146" s="14">
        <f t="shared" si="53"/>
        <v>43</v>
      </c>
      <c r="F146" s="14">
        <v>114</v>
      </c>
      <c r="G146" s="14">
        <v>113.25</v>
      </c>
      <c r="H146" s="14">
        <v>113</v>
      </c>
      <c r="I146" s="14">
        <v>112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>
        <v>114</v>
      </c>
      <c r="U146" s="14">
        <f t="shared" si="54"/>
        <v>43</v>
      </c>
    </row>
    <row r="147" spans="5:21" x14ac:dyDescent="0.25">
      <c r="E147" s="14">
        <f t="shared" si="53"/>
        <v>44</v>
      </c>
      <c r="F147" s="14">
        <v>120</v>
      </c>
      <c r="G147" s="14">
        <v>119.25</v>
      </c>
      <c r="H147" s="14">
        <v>119</v>
      </c>
      <c r="I147" s="14">
        <v>118</v>
      </c>
      <c r="J147" s="14"/>
      <c r="K147" s="14"/>
      <c r="L147" s="14"/>
      <c r="M147" s="13"/>
      <c r="N147" s="14"/>
      <c r="O147" s="14"/>
      <c r="P147" s="14"/>
      <c r="Q147" s="14"/>
      <c r="R147" s="14"/>
      <c r="S147" s="14"/>
      <c r="T147" s="14">
        <v>120</v>
      </c>
      <c r="U147" s="14">
        <f t="shared" si="54"/>
        <v>44</v>
      </c>
    </row>
  </sheetData>
  <sheetProtection selectLockedCells="1"/>
  <mergeCells count="7">
    <mergeCell ref="D6:E6"/>
    <mergeCell ref="M6:O6"/>
    <mergeCell ref="C2:M2"/>
    <mergeCell ref="F3:I3"/>
    <mergeCell ref="M3:O3"/>
    <mergeCell ref="M4:O4"/>
    <mergeCell ref="M5:O5"/>
  </mergeCells>
  <dataValidations disablePrompts="1" count="2">
    <dataValidation type="list" allowBlank="1" showInputMessage="1" showErrorMessage="1" sqref="E29 M29">
      <formula1>$C$104:$C$116</formula1>
    </dataValidation>
    <dataValidation type="list" allowBlank="1" showInputMessage="1" showErrorMessage="1" sqref="E28 M28">
      <formula1>$F$104:$F$147</formula1>
    </dataValidation>
  </dataValidations>
  <hyperlinks>
    <hyperlink ref="B3" r:id="rId1"/>
  </hyperlinks>
  <pageMargins left="0.23622047244094491" right="0.23622047244094491" top="0.74803149606299213" bottom="0.74803149606299213" header="0.31496062992125984" footer="0.31496062992125984"/>
  <pageSetup paperSize="9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English</vt:lpstr>
      <vt:lpstr>Metric</vt:lpstr>
      <vt:lpstr>English!Print_Area</vt:lpstr>
      <vt:lpstr>Metric!Print_Area</vt:lpstr>
      <vt:lpstr>English!Print_Titles</vt:lpstr>
      <vt:lpstr>Metric!Print_Titles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Nathan Green</cp:lastModifiedBy>
  <cp:lastPrinted>2015-01-27T16:46:50Z</cp:lastPrinted>
  <dcterms:created xsi:type="dcterms:W3CDTF">2015-01-26T08:13:35Z</dcterms:created>
  <dcterms:modified xsi:type="dcterms:W3CDTF">2018-10-10T00:05:38Z</dcterms:modified>
</cp:coreProperties>
</file>