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Nyles/Desktop/"/>
    </mc:Choice>
  </mc:AlternateContent>
  <bookViews>
    <workbookView xWindow="0" yWindow="460" windowWidth="20480" windowHeight="13860" tabRatio="500" firstSheet="24" activeTab="32"/>
  </bookViews>
  <sheets>
    <sheet name="Cover" sheetId="1" r:id="rId1"/>
    <sheet name="Drivers" sheetId="2" r:id="rId2"/>
    <sheet name="Input--&gt;" sheetId="4" r:id="rId3"/>
    <sheet name="P&amp;L Input" sheetId="5" r:id="rId4"/>
    <sheet name="Balance Sheet Input" sheetId="6" r:id="rId5"/>
    <sheet name="Workings--&gt;" sheetId="7" r:id="rId6"/>
    <sheet name="Income Statement Items--&gt;" sheetId="8" r:id="rId7"/>
    <sheet name="Divisional Sales Revenue" sheetId="9" r:id="rId8"/>
    <sheet name="Sales Revenue Development" sheetId="10" r:id="rId9"/>
    <sheet name="Sales Comparables" sheetId="11" r:id="rId10"/>
    <sheet name="COGS" sheetId="12" r:id="rId11"/>
    <sheet name="GP%" sheetId="13" r:id="rId12"/>
    <sheet name="GP" sheetId="14" r:id="rId13"/>
    <sheet name="Operating Expenses--&gt;" sheetId="15" r:id="rId14"/>
    <sheet name="Opex Comparables" sheetId="16" r:id="rId15"/>
    <sheet name="Expenses by Nature" sheetId="17" r:id="rId16"/>
    <sheet name="Gen Opex" sheetId="18" r:id="rId17"/>
    <sheet name="Balance Sheet--&gt;" sheetId="19" r:id="rId18"/>
    <sheet name="PP&amp;E--&gt;" sheetId="20" r:id="rId19"/>
    <sheet name="PP&amp;E" sheetId="21" r:id="rId20"/>
    <sheet name="PP&amp;E Comparables" sheetId="22" r:id="rId21"/>
    <sheet name="Working Capital--&gt;" sheetId="23" r:id="rId22"/>
    <sheet name="WC Comparables" sheetId="24" r:id="rId23"/>
    <sheet name="Working Capital" sheetId="25" r:id="rId24"/>
    <sheet name="Working Capital Development" sheetId="35" r:id="rId25"/>
    <sheet name="Financing--&gt;" sheetId="31" r:id="rId26"/>
    <sheet name="Financing" sheetId="32" r:id="rId27"/>
    <sheet name="WACC" sheetId="33" r:id="rId28"/>
    <sheet name="Output--&gt;" sheetId="26" r:id="rId29"/>
    <sheet name="P&amp;L" sheetId="27" r:id="rId30"/>
    <sheet name="BSO" sheetId="29" r:id="rId31"/>
    <sheet name="Cash Flow" sheetId="30" r:id="rId32"/>
    <sheet name="DCF" sheetId="34" r:id="rId3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0" i="29" l="1"/>
  <c r="P40" i="29"/>
  <c r="O40" i="29"/>
  <c r="N40" i="29"/>
  <c r="M40" i="29"/>
  <c r="L40" i="29"/>
  <c r="K40" i="29"/>
  <c r="J40" i="29"/>
  <c r="I40" i="29"/>
  <c r="H40" i="29"/>
  <c r="H5" i="9"/>
  <c r="I5" i="9"/>
  <c r="J5" i="9"/>
  <c r="K5" i="9"/>
  <c r="L5" i="9"/>
  <c r="H6" i="9"/>
  <c r="I6" i="9"/>
  <c r="J6" i="9"/>
  <c r="K6" i="9"/>
  <c r="L6" i="9"/>
  <c r="H7" i="9"/>
  <c r="I7" i="9"/>
  <c r="J7" i="9"/>
  <c r="K7" i="9"/>
  <c r="L7" i="9"/>
  <c r="H8" i="9"/>
  <c r="I8" i="9"/>
  <c r="J8" i="9"/>
  <c r="K8" i="9"/>
  <c r="L8" i="9"/>
  <c r="H9" i="9"/>
  <c r="I9" i="9"/>
  <c r="J9" i="9"/>
  <c r="K9" i="9"/>
  <c r="L9" i="9"/>
  <c r="H10" i="9"/>
  <c r="I10" i="9"/>
  <c r="J10" i="9"/>
  <c r="K10" i="9"/>
  <c r="L10" i="9"/>
  <c r="H11" i="9"/>
  <c r="I11" i="9"/>
  <c r="J11" i="9"/>
  <c r="K11" i="9"/>
  <c r="L11" i="9"/>
  <c r="H12" i="9"/>
  <c r="I12" i="9"/>
  <c r="J12" i="9"/>
  <c r="K12" i="9"/>
  <c r="L12" i="9"/>
  <c r="L13" i="9"/>
  <c r="L5" i="27"/>
  <c r="C15" i="12"/>
  <c r="D15" i="12"/>
  <c r="E15" i="12"/>
  <c r="F15" i="12"/>
  <c r="G15" i="12"/>
  <c r="C16" i="12"/>
  <c r="L5" i="12"/>
  <c r="L6" i="12"/>
  <c r="L7" i="12"/>
  <c r="L8" i="12"/>
  <c r="L9" i="12"/>
  <c r="L10" i="12"/>
  <c r="L11" i="12"/>
  <c r="L12" i="12"/>
  <c r="L13" i="12"/>
  <c r="L6" i="27"/>
  <c r="L7" i="27"/>
  <c r="C28" i="18"/>
  <c r="C32" i="18"/>
  <c r="D28" i="18"/>
  <c r="D32" i="18"/>
  <c r="E28" i="18"/>
  <c r="E32" i="18"/>
  <c r="F28" i="18"/>
  <c r="F32" i="18"/>
  <c r="G28" i="18"/>
  <c r="G32" i="18"/>
  <c r="L39" i="18"/>
  <c r="L32" i="18"/>
  <c r="L28" i="18"/>
  <c r="L8" i="18"/>
  <c r="L8" i="27"/>
  <c r="L9" i="27"/>
  <c r="G11" i="32"/>
  <c r="G12" i="32"/>
  <c r="G13" i="32"/>
  <c r="H13" i="9"/>
  <c r="H5" i="27"/>
  <c r="H5" i="12"/>
  <c r="H6" i="12"/>
  <c r="H7" i="12"/>
  <c r="H8" i="12"/>
  <c r="H9" i="12"/>
  <c r="H10" i="12"/>
  <c r="H11" i="12"/>
  <c r="H12" i="12"/>
  <c r="H13" i="12"/>
  <c r="H6" i="27"/>
  <c r="H7" i="27"/>
  <c r="H39" i="18"/>
  <c r="H32" i="18"/>
  <c r="H28" i="18"/>
  <c r="H8" i="18"/>
  <c r="H8" i="27"/>
  <c r="H9" i="27"/>
  <c r="H5" i="30"/>
  <c r="H6" i="30"/>
  <c r="H7" i="30"/>
  <c r="C10" i="21"/>
  <c r="C8" i="21"/>
  <c r="C29" i="21"/>
  <c r="D10" i="21"/>
  <c r="D7" i="21"/>
  <c r="D8" i="21"/>
  <c r="D29" i="21"/>
  <c r="E10" i="21"/>
  <c r="E7" i="21"/>
  <c r="E8" i="21"/>
  <c r="E29" i="21"/>
  <c r="F10" i="21"/>
  <c r="F7" i="21"/>
  <c r="F8" i="21"/>
  <c r="F29" i="21"/>
  <c r="G10" i="21"/>
  <c r="G7" i="21"/>
  <c r="G8" i="21"/>
  <c r="G29" i="21"/>
  <c r="H29" i="21"/>
  <c r="H8" i="21"/>
  <c r="H13" i="21"/>
  <c r="H9" i="21"/>
  <c r="H8" i="30"/>
  <c r="H9" i="30"/>
  <c r="C11" i="25"/>
  <c r="D11" i="25"/>
  <c r="E11" i="25"/>
  <c r="F11" i="25"/>
  <c r="G11" i="25"/>
  <c r="H11" i="25"/>
  <c r="H5" i="25"/>
  <c r="H6" i="29"/>
  <c r="H11" i="30"/>
  <c r="C12" i="25"/>
  <c r="D12" i="25"/>
  <c r="E12" i="25"/>
  <c r="F12" i="25"/>
  <c r="G12" i="25"/>
  <c r="H12" i="25"/>
  <c r="H6" i="25"/>
  <c r="H9" i="29"/>
  <c r="H12" i="30"/>
  <c r="C13" i="25"/>
  <c r="D13" i="25"/>
  <c r="E13" i="25"/>
  <c r="F13" i="25"/>
  <c r="G13" i="25"/>
  <c r="H13" i="25"/>
  <c r="H7" i="25"/>
  <c r="H26" i="29"/>
  <c r="H13" i="30"/>
  <c r="H14" i="30"/>
  <c r="C13" i="9"/>
  <c r="C5" i="27"/>
  <c r="D13" i="9"/>
  <c r="D5" i="27"/>
  <c r="E13" i="9"/>
  <c r="E5" i="27"/>
  <c r="F13" i="9"/>
  <c r="F5" i="27"/>
  <c r="G13" i="9"/>
  <c r="G5" i="27"/>
  <c r="T28" i="29"/>
  <c r="H28" i="29"/>
  <c r="T30" i="29"/>
  <c r="H30" i="29"/>
  <c r="T31" i="29"/>
  <c r="H31" i="29"/>
  <c r="H32" i="29"/>
  <c r="T33" i="29"/>
  <c r="H33" i="29"/>
  <c r="H18" i="30"/>
  <c r="H5" i="29"/>
  <c r="T7" i="29"/>
  <c r="H7" i="29"/>
  <c r="T8" i="29"/>
  <c r="H8" i="29"/>
  <c r="T10" i="29"/>
  <c r="H10" i="29"/>
  <c r="T12" i="29"/>
  <c r="H12" i="29"/>
  <c r="T13" i="29"/>
  <c r="H13" i="29"/>
  <c r="H17" i="30"/>
  <c r="H16" i="30"/>
  <c r="H20" i="30"/>
  <c r="H24" i="32"/>
  <c r="H25" i="32"/>
  <c r="H13" i="32"/>
  <c r="I13" i="9"/>
  <c r="I5" i="27"/>
  <c r="I5" i="12"/>
  <c r="I6" i="12"/>
  <c r="I7" i="12"/>
  <c r="I8" i="12"/>
  <c r="I9" i="12"/>
  <c r="I10" i="12"/>
  <c r="I11" i="12"/>
  <c r="I12" i="12"/>
  <c r="I13" i="12"/>
  <c r="I6" i="27"/>
  <c r="I7" i="27"/>
  <c r="I39" i="18"/>
  <c r="I32" i="18"/>
  <c r="I28" i="18"/>
  <c r="I8" i="18"/>
  <c r="I8" i="27"/>
  <c r="I9" i="27"/>
  <c r="I5" i="30"/>
  <c r="I6" i="30"/>
  <c r="I7" i="30"/>
  <c r="I13" i="21"/>
  <c r="I29" i="21"/>
  <c r="H7" i="21"/>
  <c r="H10" i="21"/>
  <c r="I8" i="21"/>
  <c r="I14" i="21"/>
  <c r="I23" i="21"/>
  <c r="I9" i="21"/>
  <c r="I8" i="30"/>
  <c r="I9" i="30"/>
  <c r="I11" i="25"/>
  <c r="I5" i="25"/>
  <c r="I6" i="29"/>
  <c r="I11" i="30"/>
  <c r="I12" i="25"/>
  <c r="I6" i="25"/>
  <c r="I9" i="29"/>
  <c r="I12" i="30"/>
  <c r="I13" i="25"/>
  <c r="I7" i="25"/>
  <c r="I26" i="29"/>
  <c r="I13" i="30"/>
  <c r="I14" i="30"/>
  <c r="I28" i="29"/>
  <c r="T29" i="29"/>
  <c r="H29" i="29"/>
  <c r="I30" i="29"/>
  <c r="I31" i="29"/>
  <c r="I32" i="29"/>
  <c r="I33" i="29"/>
  <c r="I18" i="30"/>
  <c r="I5" i="29"/>
  <c r="I7" i="29"/>
  <c r="I8" i="29"/>
  <c r="I10" i="29"/>
  <c r="I12" i="29"/>
  <c r="I13" i="29"/>
  <c r="I17" i="30"/>
  <c r="I16" i="30"/>
  <c r="I20" i="30"/>
  <c r="I24" i="32"/>
  <c r="I25" i="32"/>
  <c r="I13" i="32"/>
  <c r="J13" i="9"/>
  <c r="J5" i="27"/>
  <c r="J5" i="12"/>
  <c r="J6" i="12"/>
  <c r="J7" i="12"/>
  <c r="J8" i="12"/>
  <c r="J9" i="12"/>
  <c r="J10" i="12"/>
  <c r="J11" i="12"/>
  <c r="J12" i="12"/>
  <c r="J13" i="12"/>
  <c r="J6" i="27"/>
  <c r="J7" i="27"/>
  <c r="J39" i="18"/>
  <c r="J32" i="18"/>
  <c r="J28" i="18"/>
  <c r="J8" i="18"/>
  <c r="J8" i="27"/>
  <c r="J9" i="27"/>
  <c r="J5" i="30"/>
  <c r="J6" i="30"/>
  <c r="J7" i="30"/>
  <c r="J13" i="21"/>
  <c r="J14" i="21"/>
  <c r="J29" i="21"/>
  <c r="I7" i="21"/>
  <c r="I10" i="21"/>
  <c r="J8" i="21"/>
  <c r="J15" i="21"/>
  <c r="J23" i="21"/>
  <c r="J9" i="21"/>
  <c r="J8" i="30"/>
  <c r="J9" i="30"/>
  <c r="J11" i="25"/>
  <c r="J5" i="25"/>
  <c r="J6" i="29"/>
  <c r="J11" i="30"/>
  <c r="J12" i="25"/>
  <c r="J6" i="25"/>
  <c r="J9" i="29"/>
  <c r="J12" i="30"/>
  <c r="J13" i="25"/>
  <c r="J7" i="25"/>
  <c r="J26" i="29"/>
  <c r="J13" i="30"/>
  <c r="J14" i="30"/>
  <c r="J28" i="29"/>
  <c r="I29" i="29"/>
  <c r="J30" i="29"/>
  <c r="J31" i="29"/>
  <c r="J32" i="29"/>
  <c r="J33" i="29"/>
  <c r="J18" i="30"/>
  <c r="J5" i="29"/>
  <c r="J7" i="29"/>
  <c r="J8" i="29"/>
  <c r="J10" i="29"/>
  <c r="J12" i="29"/>
  <c r="J13" i="29"/>
  <c r="J17" i="30"/>
  <c r="J16" i="30"/>
  <c r="J20" i="30"/>
  <c r="J24" i="32"/>
  <c r="J25" i="32"/>
  <c r="J13" i="32"/>
  <c r="K13" i="9"/>
  <c r="K5" i="27"/>
  <c r="K5" i="12"/>
  <c r="K6" i="12"/>
  <c r="K7" i="12"/>
  <c r="K8" i="12"/>
  <c r="K9" i="12"/>
  <c r="K10" i="12"/>
  <c r="K11" i="12"/>
  <c r="K12" i="12"/>
  <c r="K13" i="12"/>
  <c r="K6" i="27"/>
  <c r="K7" i="27"/>
  <c r="K39" i="18"/>
  <c r="K32" i="18"/>
  <c r="K28" i="18"/>
  <c r="K8" i="18"/>
  <c r="K8" i="27"/>
  <c r="K9" i="27"/>
  <c r="K5" i="30"/>
  <c r="K6" i="30"/>
  <c r="K7" i="30"/>
  <c r="K13" i="21"/>
  <c r="K14" i="21"/>
  <c r="K15" i="21"/>
  <c r="K29" i="21"/>
  <c r="J7" i="21"/>
  <c r="J10" i="21"/>
  <c r="K8" i="21"/>
  <c r="K16" i="21"/>
  <c r="K23" i="21"/>
  <c r="K9" i="21"/>
  <c r="K8" i="30"/>
  <c r="K9" i="30"/>
  <c r="K11" i="25"/>
  <c r="K5" i="25"/>
  <c r="K6" i="29"/>
  <c r="K11" i="30"/>
  <c r="K12" i="25"/>
  <c r="K6" i="25"/>
  <c r="K9" i="29"/>
  <c r="K12" i="30"/>
  <c r="K13" i="25"/>
  <c r="K7" i="25"/>
  <c r="K26" i="29"/>
  <c r="K13" i="30"/>
  <c r="K14" i="30"/>
  <c r="K28" i="29"/>
  <c r="J29" i="29"/>
  <c r="K30" i="29"/>
  <c r="K31" i="29"/>
  <c r="K32" i="29"/>
  <c r="K33" i="29"/>
  <c r="K18" i="30"/>
  <c r="K5" i="29"/>
  <c r="K7" i="29"/>
  <c r="K8" i="29"/>
  <c r="K10" i="29"/>
  <c r="K12" i="29"/>
  <c r="K13" i="29"/>
  <c r="K17" i="30"/>
  <c r="K16" i="30"/>
  <c r="K20" i="30"/>
  <c r="K24" i="32"/>
  <c r="K25" i="32"/>
  <c r="K13" i="32"/>
  <c r="L5" i="30"/>
  <c r="L6" i="30"/>
  <c r="L7" i="30"/>
  <c r="L13" i="21"/>
  <c r="L14" i="21"/>
  <c r="L15" i="21"/>
  <c r="L16" i="21"/>
  <c r="L29" i="21"/>
  <c r="K7" i="21"/>
  <c r="K10" i="21"/>
  <c r="L8" i="21"/>
  <c r="L17" i="21"/>
  <c r="L23" i="21"/>
  <c r="L9" i="21"/>
  <c r="L8" i="30"/>
  <c r="L9" i="30"/>
  <c r="L11" i="25"/>
  <c r="L5" i="25"/>
  <c r="L6" i="29"/>
  <c r="L11" i="30"/>
  <c r="L12" i="25"/>
  <c r="L6" i="25"/>
  <c r="L9" i="29"/>
  <c r="L12" i="30"/>
  <c r="L13" i="25"/>
  <c r="L7" i="25"/>
  <c r="L26" i="29"/>
  <c r="L13" i="30"/>
  <c r="L14" i="30"/>
  <c r="L28" i="29"/>
  <c r="K29" i="29"/>
  <c r="L30" i="29"/>
  <c r="L31" i="29"/>
  <c r="L32" i="29"/>
  <c r="L33" i="29"/>
  <c r="L18" i="30"/>
  <c r="L5" i="29"/>
  <c r="L7" i="29"/>
  <c r="L8" i="29"/>
  <c r="L10" i="29"/>
  <c r="L12" i="29"/>
  <c r="L13" i="29"/>
  <c r="L17" i="30"/>
  <c r="L16" i="30"/>
  <c r="L20" i="30"/>
  <c r="L24" i="32"/>
  <c r="L25" i="32"/>
  <c r="L13" i="32"/>
  <c r="C14" i="32"/>
  <c r="C11" i="32"/>
  <c r="C12" i="32"/>
  <c r="C13" i="32"/>
  <c r="C15" i="32"/>
  <c r="D14" i="32"/>
  <c r="D11" i="32"/>
  <c r="D12" i="32"/>
  <c r="D13" i="32"/>
  <c r="D15" i="32"/>
  <c r="E14" i="32"/>
  <c r="E11" i="32"/>
  <c r="E12" i="32"/>
  <c r="E13" i="32"/>
  <c r="E15" i="32"/>
  <c r="F14" i="32"/>
  <c r="F11" i="32"/>
  <c r="F12" i="32"/>
  <c r="F13" i="32"/>
  <c r="F15" i="32"/>
  <c r="G14" i="32"/>
  <c r="G15" i="32"/>
  <c r="L15" i="32"/>
  <c r="L14" i="32"/>
  <c r="L10" i="27"/>
  <c r="L11" i="27"/>
  <c r="L12" i="27"/>
  <c r="L25" i="30"/>
  <c r="K15" i="32"/>
  <c r="K14" i="32"/>
  <c r="K10" i="27"/>
  <c r="K11" i="27"/>
  <c r="K12" i="27"/>
  <c r="K25" i="30"/>
  <c r="J15" i="32"/>
  <c r="J14" i="32"/>
  <c r="J10" i="27"/>
  <c r="J11" i="27"/>
  <c r="J12" i="27"/>
  <c r="J25" i="30"/>
  <c r="I15" i="32"/>
  <c r="I14" i="32"/>
  <c r="I10" i="27"/>
  <c r="I11" i="27"/>
  <c r="I12" i="27"/>
  <c r="I25" i="30"/>
  <c r="H15" i="32"/>
  <c r="H14" i="32"/>
  <c r="H10" i="27"/>
  <c r="H11" i="27"/>
  <c r="H12" i="27"/>
  <c r="H25" i="30"/>
  <c r="H28" i="32"/>
  <c r="H27" i="29"/>
  <c r="I28" i="32"/>
  <c r="I27" i="29"/>
  <c r="G20" i="32"/>
  <c r="H29" i="32"/>
  <c r="H34" i="29"/>
  <c r="I29" i="32"/>
  <c r="I34" i="29"/>
  <c r="T35" i="29"/>
  <c r="I35" i="29"/>
  <c r="T36" i="29"/>
  <c r="I36" i="29"/>
  <c r="T37" i="29"/>
  <c r="I37" i="29"/>
  <c r="T38" i="29"/>
  <c r="I38" i="29"/>
  <c r="I13" i="27"/>
  <c r="T39" i="29"/>
  <c r="I39" i="29"/>
  <c r="T41" i="29"/>
  <c r="I41" i="29"/>
  <c r="I42" i="29"/>
  <c r="G50" i="6"/>
  <c r="G52" i="6"/>
  <c r="G43" i="29"/>
  <c r="H13" i="27"/>
  <c r="H15" i="27"/>
  <c r="H26" i="32"/>
  <c r="H43" i="29"/>
  <c r="I15" i="27"/>
  <c r="I26" i="32"/>
  <c r="I43" i="29"/>
  <c r="I44" i="29"/>
  <c r="H22" i="30"/>
  <c r="H23" i="30"/>
  <c r="H24" i="30"/>
  <c r="H28" i="30"/>
  <c r="H4" i="29"/>
  <c r="I22" i="30"/>
  <c r="I23" i="30"/>
  <c r="I24" i="30"/>
  <c r="I28" i="30"/>
  <c r="I4" i="29"/>
  <c r="T15" i="29"/>
  <c r="I15" i="29"/>
  <c r="T16" i="29"/>
  <c r="I16" i="29"/>
  <c r="I17" i="29"/>
  <c r="T19" i="29"/>
  <c r="I19" i="29"/>
  <c r="T20" i="29"/>
  <c r="I20" i="29"/>
  <c r="T24" i="29"/>
  <c r="I24" i="29"/>
  <c r="I25" i="29"/>
  <c r="I46" i="29"/>
  <c r="Q32" i="29"/>
  <c r="P32" i="29"/>
  <c r="O32" i="29"/>
  <c r="N32" i="29"/>
  <c r="M32" i="29"/>
  <c r="J22" i="30"/>
  <c r="J29" i="32"/>
  <c r="J34" i="29"/>
  <c r="J23" i="30"/>
  <c r="J13" i="27"/>
  <c r="J15" i="27"/>
  <c r="J26" i="32"/>
  <c r="J43" i="29"/>
  <c r="J24" i="30"/>
  <c r="J28" i="30"/>
  <c r="J4" i="29"/>
  <c r="K22" i="30"/>
  <c r="K29" i="32"/>
  <c r="K34" i="29"/>
  <c r="K23" i="30"/>
  <c r="K13" i="27"/>
  <c r="K15" i="27"/>
  <c r="K26" i="32"/>
  <c r="K43" i="29"/>
  <c r="K24" i="30"/>
  <c r="K28" i="30"/>
  <c r="K4" i="29"/>
  <c r="L22" i="30"/>
  <c r="L29" i="32"/>
  <c r="L34" i="29"/>
  <c r="L23" i="30"/>
  <c r="L13" i="27"/>
  <c r="L15" i="27"/>
  <c r="L26" i="32"/>
  <c r="L43" i="29"/>
  <c r="L24" i="30"/>
  <c r="L28" i="30"/>
  <c r="L4" i="29"/>
  <c r="M11" i="25"/>
  <c r="M12" i="25"/>
  <c r="M13" i="25"/>
  <c r="L29" i="29"/>
  <c r="M5" i="29"/>
  <c r="N11" i="25"/>
  <c r="N12" i="25"/>
  <c r="N13" i="25"/>
  <c r="N5" i="29"/>
  <c r="O11" i="25"/>
  <c r="O12" i="25"/>
  <c r="O13" i="25"/>
  <c r="O5" i="29"/>
  <c r="P11" i="25"/>
  <c r="P12" i="25"/>
  <c r="P13" i="25"/>
  <c r="P5" i="29"/>
  <c r="Q11" i="25"/>
  <c r="Q12" i="25"/>
  <c r="Q13" i="25"/>
  <c r="Q5" i="29"/>
  <c r="L7" i="21"/>
  <c r="L10" i="21"/>
  <c r="M7" i="21"/>
  <c r="M29" i="21"/>
  <c r="M8" i="21"/>
  <c r="M13" i="21"/>
  <c r="M14" i="21"/>
  <c r="M15" i="21"/>
  <c r="M16" i="21"/>
  <c r="M17" i="21"/>
  <c r="M18" i="21"/>
  <c r="M23" i="21"/>
  <c r="M9" i="21"/>
  <c r="M10" i="21"/>
  <c r="N7" i="21"/>
  <c r="N29" i="21"/>
  <c r="N8" i="21"/>
  <c r="N13" i="21"/>
  <c r="N14" i="21"/>
  <c r="N15" i="21"/>
  <c r="N16" i="21"/>
  <c r="N17" i="21"/>
  <c r="N18" i="21"/>
  <c r="N19" i="21"/>
  <c r="N23" i="21"/>
  <c r="N9" i="21"/>
  <c r="N10" i="21"/>
  <c r="O7" i="21"/>
  <c r="O29" i="21"/>
  <c r="O8" i="21"/>
  <c r="O13" i="21"/>
  <c r="O14" i="21"/>
  <c r="O15" i="21"/>
  <c r="O16" i="21"/>
  <c r="O17" i="21"/>
  <c r="O18" i="21"/>
  <c r="O19" i="21"/>
  <c r="O20" i="21"/>
  <c r="O23" i="21"/>
  <c r="O9" i="21"/>
  <c r="O10" i="21"/>
  <c r="P7" i="21"/>
  <c r="P29" i="21"/>
  <c r="P8" i="21"/>
  <c r="P13" i="21"/>
  <c r="P14" i="21"/>
  <c r="P15" i="21"/>
  <c r="P16" i="21"/>
  <c r="P17" i="21"/>
  <c r="P18" i="21"/>
  <c r="P19" i="21"/>
  <c r="P20" i="21"/>
  <c r="P21" i="21"/>
  <c r="P23" i="21"/>
  <c r="P9" i="21"/>
  <c r="P10" i="21"/>
  <c r="Q7" i="21"/>
  <c r="Q29" i="21"/>
  <c r="Q8" i="21"/>
  <c r="Q13" i="21"/>
  <c r="Q14" i="21"/>
  <c r="Q15" i="21"/>
  <c r="Q16" i="21"/>
  <c r="Q17" i="21"/>
  <c r="Q18" i="21"/>
  <c r="Q19" i="21"/>
  <c r="Q20" i="21"/>
  <c r="Q21" i="21"/>
  <c r="Q22" i="21"/>
  <c r="Q23" i="21"/>
  <c r="Q9" i="21"/>
  <c r="Q10" i="21"/>
  <c r="Q17" i="29"/>
  <c r="J28" i="32"/>
  <c r="J27" i="29"/>
  <c r="K28" i="32"/>
  <c r="K27" i="29"/>
  <c r="L28" i="32"/>
  <c r="L27" i="29"/>
  <c r="P17" i="29"/>
  <c r="O17" i="29"/>
  <c r="N17" i="29"/>
  <c r="M17" i="29"/>
  <c r="L15" i="29"/>
  <c r="L16" i="29"/>
  <c r="L17" i="29"/>
  <c r="L19" i="29"/>
  <c r="L20" i="29"/>
  <c r="L24" i="29"/>
  <c r="L25" i="29"/>
  <c r="L35" i="29"/>
  <c r="L36" i="29"/>
  <c r="L37" i="29"/>
  <c r="L38" i="29"/>
  <c r="L39" i="29"/>
  <c r="L41" i="29"/>
  <c r="L42" i="29"/>
  <c r="L44" i="29"/>
  <c r="L46" i="29"/>
  <c r="K15" i="29"/>
  <c r="K16" i="29"/>
  <c r="K17" i="29"/>
  <c r="K19" i="29"/>
  <c r="K20" i="29"/>
  <c r="K24" i="29"/>
  <c r="K25" i="29"/>
  <c r="K35" i="29"/>
  <c r="K36" i="29"/>
  <c r="K37" i="29"/>
  <c r="K38" i="29"/>
  <c r="K39" i="29"/>
  <c r="K41" i="29"/>
  <c r="K42" i="29"/>
  <c r="K44" i="29"/>
  <c r="K46" i="29"/>
  <c r="J15" i="29"/>
  <c r="J16" i="29"/>
  <c r="J17" i="29"/>
  <c r="J19" i="29"/>
  <c r="J20" i="29"/>
  <c r="J24" i="29"/>
  <c r="J25" i="29"/>
  <c r="J35" i="29"/>
  <c r="J36" i="29"/>
  <c r="J37" i="29"/>
  <c r="J38" i="29"/>
  <c r="J39" i="29"/>
  <c r="J41" i="29"/>
  <c r="J42" i="29"/>
  <c r="J44" i="29"/>
  <c r="J46" i="29"/>
  <c r="H15" i="29"/>
  <c r="H16" i="29"/>
  <c r="H17" i="29"/>
  <c r="H19" i="29"/>
  <c r="H20" i="29"/>
  <c r="H24" i="29"/>
  <c r="H25" i="29"/>
  <c r="H35" i="29"/>
  <c r="H36" i="29"/>
  <c r="H37" i="29"/>
  <c r="H38" i="29"/>
  <c r="H39" i="29"/>
  <c r="H41" i="29"/>
  <c r="H42" i="29"/>
  <c r="H44" i="29"/>
  <c r="H46" i="29"/>
  <c r="G19" i="34"/>
  <c r="H6" i="34"/>
  <c r="H15" i="33"/>
  <c r="H16" i="33"/>
  <c r="H18" i="33"/>
  <c r="C10" i="33"/>
  <c r="H22" i="33"/>
  <c r="C7" i="33"/>
  <c r="H19" i="33"/>
  <c r="C4" i="33"/>
  <c r="C5" i="33"/>
  <c r="C6" i="33"/>
  <c r="C9" i="33"/>
  <c r="H21" i="33"/>
  <c r="H24" i="33"/>
  <c r="H9" i="34"/>
  <c r="H10" i="34"/>
  <c r="I6" i="34"/>
  <c r="I15" i="33"/>
  <c r="I16" i="33"/>
  <c r="I18" i="33"/>
  <c r="I22" i="33"/>
  <c r="I19" i="33"/>
  <c r="I21" i="33"/>
  <c r="I24" i="33"/>
  <c r="I9" i="34"/>
  <c r="I10" i="34"/>
  <c r="J6" i="34"/>
  <c r="J15" i="33"/>
  <c r="J16" i="33"/>
  <c r="J18" i="33"/>
  <c r="J22" i="33"/>
  <c r="J19" i="33"/>
  <c r="J21" i="33"/>
  <c r="J24" i="33"/>
  <c r="J9" i="34"/>
  <c r="J10" i="34"/>
  <c r="K6" i="34"/>
  <c r="K15" i="33"/>
  <c r="K16" i="33"/>
  <c r="K18" i="33"/>
  <c r="K22" i="33"/>
  <c r="K19" i="33"/>
  <c r="K21" i="33"/>
  <c r="K24" i="33"/>
  <c r="K9" i="34"/>
  <c r="K10" i="34"/>
  <c r="L6" i="34"/>
  <c r="L15" i="33"/>
  <c r="L16" i="33"/>
  <c r="L18" i="33"/>
  <c r="L22" i="33"/>
  <c r="L19" i="33"/>
  <c r="L21" i="33"/>
  <c r="L24" i="33"/>
  <c r="L9" i="34"/>
  <c r="L10" i="34"/>
  <c r="M39" i="18"/>
  <c r="M32" i="18"/>
  <c r="M8" i="30"/>
  <c r="M16" i="30"/>
  <c r="M15" i="32"/>
  <c r="M22" i="33"/>
  <c r="M21" i="33"/>
  <c r="N39" i="18"/>
  <c r="N32" i="18"/>
  <c r="N8" i="30"/>
  <c r="N16" i="30"/>
  <c r="N15" i="32"/>
  <c r="N22" i="33"/>
  <c r="N21" i="33"/>
  <c r="O39" i="18"/>
  <c r="O32" i="18"/>
  <c r="O8" i="30"/>
  <c r="O16" i="30"/>
  <c r="O15" i="32"/>
  <c r="O22" i="33"/>
  <c r="O21" i="33"/>
  <c r="P39" i="18"/>
  <c r="P32" i="18"/>
  <c r="P8" i="30"/>
  <c r="P16" i="30"/>
  <c r="P15" i="32"/>
  <c r="P22" i="33"/>
  <c r="P21" i="33"/>
  <c r="Q39" i="18"/>
  <c r="Q32" i="18"/>
  <c r="Q8" i="30"/>
  <c r="Q16" i="30"/>
  <c r="Q15" i="32"/>
  <c r="Q22" i="33"/>
  <c r="Q21" i="33"/>
  <c r="C3" i="34"/>
  <c r="G18" i="34"/>
  <c r="C27" i="21"/>
  <c r="D27" i="21"/>
  <c r="E27" i="21"/>
  <c r="F27" i="21"/>
  <c r="G27" i="21"/>
  <c r="Q27" i="21"/>
  <c r="P27" i="21"/>
  <c r="O27" i="21"/>
  <c r="N27" i="21"/>
  <c r="M27" i="21"/>
  <c r="L27" i="21"/>
  <c r="Q16" i="9"/>
  <c r="Q17" i="9"/>
  <c r="Q18" i="9"/>
  <c r="Q19" i="9"/>
  <c r="Q20" i="9"/>
  <c r="Q21" i="9"/>
  <c r="Q22" i="9"/>
  <c r="Q23" i="9"/>
  <c r="P16" i="9"/>
  <c r="P17" i="9"/>
  <c r="P18" i="9"/>
  <c r="P19" i="9"/>
  <c r="P20" i="9"/>
  <c r="P21" i="9"/>
  <c r="P22" i="9"/>
  <c r="P23" i="9"/>
  <c r="O16" i="9"/>
  <c r="O17" i="9"/>
  <c r="O18" i="9"/>
  <c r="O19" i="9"/>
  <c r="O20" i="9"/>
  <c r="O21" i="9"/>
  <c r="O22" i="9"/>
  <c r="O23" i="9"/>
  <c r="N16" i="9"/>
  <c r="N17" i="9"/>
  <c r="N18" i="9"/>
  <c r="N19" i="9"/>
  <c r="N20" i="9"/>
  <c r="N21" i="9"/>
  <c r="N22" i="9"/>
  <c r="N23" i="9"/>
  <c r="M16" i="9"/>
  <c r="M17" i="9"/>
  <c r="M18" i="9"/>
  <c r="M19" i="9"/>
  <c r="M20" i="9"/>
  <c r="M21" i="9"/>
  <c r="M22" i="9"/>
  <c r="M23" i="9"/>
  <c r="L16" i="9"/>
  <c r="L17" i="9"/>
  <c r="L18" i="9"/>
  <c r="L19" i="9"/>
  <c r="L20" i="9"/>
  <c r="L21" i="9"/>
  <c r="L22" i="9"/>
  <c r="L23" i="9"/>
  <c r="K16" i="9"/>
  <c r="K17" i="9"/>
  <c r="K18" i="9"/>
  <c r="K19" i="9"/>
  <c r="K20" i="9"/>
  <c r="K21" i="9"/>
  <c r="K22" i="9"/>
  <c r="K23" i="9"/>
  <c r="J16" i="9"/>
  <c r="J17" i="9"/>
  <c r="J18" i="9"/>
  <c r="J19" i="9"/>
  <c r="J20" i="9"/>
  <c r="J21" i="9"/>
  <c r="J22" i="9"/>
  <c r="J23" i="9"/>
  <c r="I16" i="9"/>
  <c r="I17" i="9"/>
  <c r="I18" i="9"/>
  <c r="I19" i="9"/>
  <c r="I20" i="9"/>
  <c r="I21" i="9"/>
  <c r="I22" i="9"/>
  <c r="I23" i="9"/>
  <c r="H16" i="9"/>
  <c r="H17" i="9"/>
  <c r="H18" i="9"/>
  <c r="H19" i="9"/>
  <c r="H20" i="9"/>
  <c r="H21" i="9"/>
  <c r="H22" i="9"/>
  <c r="H23" i="9"/>
  <c r="H6" i="14"/>
  <c r="H7" i="14"/>
  <c r="H8" i="14"/>
  <c r="H9" i="14"/>
  <c r="H10" i="14"/>
  <c r="H11" i="14"/>
  <c r="H12" i="14"/>
  <c r="I5" i="14"/>
  <c r="I6" i="14"/>
  <c r="I7" i="14"/>
  <c r="I8" i="14"/>
  <c r="I9" i="14"/>
  <c r="I10" i="14"/>
  <c r="I11" i="14"/>
  <c r="I12" i="14"/>
  <c r="I13" i="14"/>
  <c r="J5" i="14"/>
  <c r="J6" i="14"/>
  <c r="J7" i="14"/>
  <c r="J8" i="14"/>
  <c r="J9" i="14"/>
  <c r="J10" i="14"/>
  <c r="J11" i="14"/>
  <c r="J12" i="14"/>
  <c r="J13" i="14"/>
  <c r="K5" i="14"/>
  <c r="K6" i="14"/>
  <c r="K7" i="14"/>
  <c r="K8" i="14"/>
  <c r="K9" i="14"/>
  <c r="K10" i="14"/>
  <c r="K11" i="14"/>
  <c r="K12" i="14"/>
  <c r="K13" i="14"/>
  <c r="L5" i="14"/>
  <c r="L6" i="14"/>
  <c r="L7" i="14"/>
  <c r="L8" i="14"/>
  <c r="L9" i="14"/>
  <c r="L10" i="14"/>
  <c r="L11" i="14"/>
  <c r="L12" i="14"/>
  <c r="L13" i="14"/>
  <c r="I7" i="24"/>
  <c r="J12" i="24"/>
  <c r="I12" i="24"/>
  <c r="G12" i="24"/>
  <c r="F12" i="24"/>
  <c r="D12" i="24"/>
  <c r="C12" i="24"/>
  <c r="J11" i="24"/>
  <c r="I11" i="24"/>
  <c r="G11" i="24"/>
  <c r="F11" i="24"/>
  <c r="D11" i="24"/>
  <c r="C11" i="24"/>
  <c r="J10" i="24"/>
  <c r="I10" i="24"/>
  <c r="G10" i="24"/>
  <c r="F10" i="24"/>
  <c r="G9" i="24"/>
  <c r="F9" i="24"/>
  <c r="D10" i="24"/>
  <c r="C10" i="24"/>
  <c r="J9" i="24"/>
  <c r="I9" i="24"/>
  <c r="D9" i="24"/>
  <c r="C9" i="24"/>
  <c r="J8" i="24"/>
  <c r="I8" i="24"/>
  <c r="G8" i="24"/>
  <c r="F8" i="24"/>
  <c r="F7" i="24"/>
  <c r="C8" i="24"/>
  <c r="D8" i="24"/>
  <c r="C7" i="24"/>
  <c r="L7" i="24"/>
  <c r="G15" i="33"/>
  <c r="G16" i="33"/>
  <c r="G18" i="33"/>
  <c r="G22" i="33"/>
  <c r="G19" i="33"/>
  <c r="G21" i="33"/>
  <c r="G24" i="33"/>
  <c r="F15" i="33"/>
  <c r="F50" i="6"/>
  <c r="F52" i="6"/>
  <c r="F43" i="29"/>
  <c r="F16" i="33"/>
  <c r="F18" i="33"/>
  <c r="F22" i="33"/>
  <c r="F19" i="33"/>
  <c r="F21" i="33"/>
  <c r="F24" i="33"/>
  <c r="E15" i="33"/>
  <c r="E50" i="6"/>
  <c r="E52" i="6"/>
  <c r="E43" i="29"/>
  <c r="E16" i="33"/>
  <c r="E18" i="33"/>
  <c r="E22" i="33"/>
  <c r="E19" i="33"/>
  <c r="E21" i="33"/>
  <c r="E24" i="33"/>
  <c r="D15" i="33"/>
  <c r="D50" i="6"/>
  <c r="D52" i="6"/>
  <c r="D43" i="29"/>
  <c r="D16" i="33"/>
  <c r="D18" i="33"/>
  <c r="D22" i="33"/>
  <c r="D19" i="33"/>
  <c r="D21" i="33"/>
  <c r="D24" i="33"/>
  <c r="C15" i="33"/>
  <c r="C50" i="6"/>
  <c r="C52" i="6"/>
  <c r="C43" i="29"/>
  <c r="C16" i="33"/>
  <c r="C18" i="33"/>
  <c r="C22" i="33"/>
  <c r="C19" i="33"/>
  <c r="C21" i="33"/>
  <c r="C24" i="33"/>
  <c r="C33" i="30"/>
  <c r="D31" i="30"/>
  <c r="D5" i="12"/>
  <c r="D6" i="12"/>
  <c r="D7" i="12"/>
  <c r="D8" i="12"/>
  <c r="D9" i="12"/>
  <c r="D10" i="12"/>
  <c r="D11" i="12"/>
  <c r="D12" i="12"/>
  <c r="D13" i="12"/>
  <c r="D6" i="27"/>
  <c r="D7" i="27"/>
  <c r="D8" i="18"/>
  <c r="D8" i="27"/>
  <c r="D9" i="27"/>
  <c r="D5" i="30"/>
  <c r="D12" i="27"/>
  <c r="D6" i="30"/>
  <c r="D7" i="30"/>
  <c r="D8" i="30"/>
  <c r="D9" i="30"/>
  <c r="D11" i="30"/>
  <c r="D12" i="30"/>
  <c r="D13" i="30"/>
  <c r="D14" i="30"/>
  <c r="D18" i="30"/>
  <c r="D17" i="30"/>
  <c r="D16" i="30"/>
  <c r="D20" i="30"/>
  <c r="D10" i="27"/>
  <c r="D22" i="30"/>
  <c r="D23" i="30"/>
  <c r="D11" i="27"/>
  <c r="D13" i="27"/>
  <c r="D14" i="27"/>
  <c r="D15" i="27"/>
  <c r="D24" i="30"/>
  <c r="D25" i="30"/>
  <c r="D26" i="30"/>
  <c r="D28" i="30"/>
  <c r="D32" i="30"/>
  <c r="D33" i="30"/>
  <c r="E31" i="30"/>
  <c r="E5" i="12"/>
  <c r="E6" i="12"/>
  <c r="E7" i="12"/>
  <c r="E8" i="12"/>
  <c r="E9" i="12"/>
  <c r="E10" i="12"/>
  <c r="E11" i="12"/>
  <c r="E12" i="12"/>
  <c r="E13" i="12"/>
  <c r="E6" i="27"/>
  <c r="E7" i="27"/>
  <c r="E8" i="18"/>
  <c r="E8" i="27"/>
  <c r="E9" i="27"/>
  <c r="E5" i="30"/>
  <c r="E12" i="27"/>
  <c r="E6" i="30"/>
  <c r="E7" i="30"/>
  <c r="E8" i="30"/>
  <c r="E9" i="30"/>
  <c r="E11" i="30"/>
  <c r="E12" i="30"/>
  <c r="E13" i="30"/>
  <c r="E14" i="30"/>
  <c r="E18" i="30"/>
  <c r="E17" i="30"/>
  <c r="E16" i="30"/>
  <c r="E20" i="30"/>
  <c r="E10" i="27"/>
  <c r="E22" i="30"/>
  <c r="E23" i="30"/>
  <c r="E11" i="27"/>
  <c r="E13" i="27"/>
  <c r="E14" i="27"/>
  <c r="E15" i="27"/>
  <c r="E24" i="30"/>
  <c r="E25" i="30"/>
  <c r="E26" i="30"/>
  <c r="E28" i="30"/>
  <c r="E32" i="30"/>
  <c r="E33" i="30"/>
  <c r="F31" i="30"/>
  <c r="F5" i="12"/>
  <c r="F6" i="12"/>
  <c r="F7" i="12"/>
  <c r="F8" i="12"/>
  <c r="F9" i="12"/>
  <c r="F10" i="12"/>
  <c r="F11" i="12"/>
  <c r="F12" i="12"/>
  <c r="F13" i="12"/>
  <c r="F6" i="27"/>
  <c r="F7" i="27"/>
  <c r="F8" i="18"/>
  <c r="F8" i="27"/>
  <c r="F9" i="27"/>
  <c r="F5" i="30"/>
  <c r="F12" i="27"/>
  <c r="F6" i="30"/>
  <c r="F7" i="30"/>
  <c r="F8" i="30"/>
  <c r="F9" i="30"/>
  <c r="F11" i="30"/>
  <c r="F12" i="30"/>
  <c r="F13" i="30"/>
  <c r="F14" i="30"/>
  <c r="F18" i="30"/>
  <c r="F17" i="30"/>
  <c r="F16" i="30"/>
  <c r="F20" i="30"/>
  <c r="F10" i="27"/>
  <c r="F22" i="30"/>
  <c r="F23" i="30"/>
  <c r="F11" i="27"/>
  <c r="F13" i="27"/>
  <c r="F14" i="27"/>
  <c r="F15" i="27"/>
  <c r="F24" i="30"/>
  <c r="F25" i="30"/>
  <c r="F26" i="30"/>
  <c r="F28" i="30"/>
  <c r="F32" i="30"/>
  <c r="F33" i="30"/>
  <c r="G31" i="30"/>
  <c r="G5" i="12"/>
  <c r="G6" i="12"/>
  <c r="G7" i="12"/>
  <c r="G8" i="12"/>
  <c r="G9" i="12"/>
  <c r="G10" i="12"/>
  <c r="G11" i="12"/>
  <c r="G12" i="12"/>
  <c r="G13" i="12"/>
  <c r="G6" i="27"/>
  <c r="G7" i="27"/>
  <c r="G8" i="18"/>
  <c r="G8" i="27"/>
  <c r="G9" i="27"/>
  <c r="G5" i="30"/>
  <c r="G12" i="27"/>
  <c r="G6" i="30"/>
  <c r="G7" i="30"/>
  <c r="G8" i="30"/>
  <c r="G9" i="30"/>
  <c r="G11" i="30"/>
  <c r="G12" i="30"/>
  <c r="G13" i="30"/>
  <c r="G14" i="30"/>
  <c r="G18" i="30"/>
  <c r="G17" i="30"/>
  <c r="G16" i="30"/>
  <c r="G20" i="30"/>
  <c r="G10" i="27"/>
  <c r="G22" i="30"/>
  <c r="G23" i="30"/>
  <c r="G11" i="27"/>
  <c r="G13" i="27"/>
  <c r="G14" i="27"/>
  <c r="G15" i="27"/>
  <c r="G24" i="30"/>
  <c r="G25" i="30"/>
  <c r="G26" i="30"/>
  <c r="G28" i="30"/>
  <c r="G32" i="30"/>
  <c r="G33" i="30"/>
  <c r="H31" i="30"/>
  <c r="G25" i="29"/>
  <c r="G42" i="29"/>
  <c r="G44" i="29"/>
  <c r="G46" i="29"/>
  <c r="F25" i="29"/>
  <c r="F42" i="29"/>
  <c r="F44" i="29"/>
  <c r="F46" i="29"/>
  <c r="E25" i="29"/>
  <c r="E42" i="29"/>
  <c r="E44" i="29"/>
  <c r="E46" i="29"/>
  <c r="D25" i="29"/>
  <c r="D42" i="29"/>
  <c r="D44" i="29"/>
  <c r="D46" i="29"/>
  <c r="C25" i="29"/>
  <c r="C42" i="29"/>
  <c r="C44" i="29"/>
  <c r="C46" i="29"/>
  <c r="C20" i="32"/>
  <c r="D20" i="32"/>
  <c r="E20" i="32"/>
  <c r="F20" i="32"/>
  <c r="H20" i="32"/>
  <c r="C19" i="32"/>
  <c r="D19" i="32"/>
  <c r="E19" i="32"/>
  <c r="F19" i="32"/>
  <c r="G19" i="32"/>
  <c r="H19" i="32"/>
  <c r="D35" i="30"/>
  <c r="C10" i="27"/>
  <c r="G36" i="30"/>
  <c r="F36" i="30"/>
  <c r="E36" i="30"/>
  <c r="D36" i="30"/>
  <c r="C36" i="30"/>
  <c r="C32" i="30"/>
  <c r="H6" i="5"/>
  <c r="H11" i="5"/>
  <c r="H17" i="5"/>
  <c r="H19" i="5"/>
  <c r="H21" i="5"/>
  <c r="G18" i="27"/>
  <c r="G19" i="27"/>
  <c r="G6" i="5"/>
  <c r="G11" i="5"/>
  <c r="G17" i="5"/>
  <c r="G19" i="5"/>
  <c r="G21" i="5"/>
  <c r="F18" i="27"/>
  <c r="F19" i="27"/>
  <c r="F6" i="5"/>
  <c r="F11" i="5"/>
  <c r="F17" i="5"/>
  <c r="F19" i="5"/>
  <c r="F21" i="5"/>
  <c r="E18" i="27"/>
  <c r="E19" i="27"/>
  <c r="E6" i="5"/>
  <c r="E11" i="5"/>
  <c r="E17" i="5"/>
  <c r="E19" i="5"/>
  <c r="E21" i="5"/>
  <c r="D18" i="27"/>
  <c r="D19" i="27"/>
  <c r="D6" i="5"/>
  <c r="D11" i="5"/>
  <c r="D17" i="5"/>
  <c r="D19" i="5"/>
  <c r="D21" i="5"/>
  <c r="C18" i="27"/>
  <c r="C5" i="12"/>
  <c r="C6" i="12"/>
  <c r="C7" i="12"/>
  <c r="C8" i="12"/>
  <c r="C9" i="12"/>
  <c r="C10" i="12"/>
  <c r="C11" i="12"/>
  <c r="C12" i="12"/>
  <c r="C13" i="12"/>
  <c r="C6" i="27"/>
  <c r="C7" i="27"/>
  <c r="C8" i="18"/>
  <c r="C8" i="27"/>
  <c r="C9" i="27"/>
  <c r="C11" i="27"/>
  <c r="C12" i="27"/>
  <c r="C13" i="27"/>
  <c r="C14" i="27"/>
  <c r="C15" i="27"/>
  <c r="C19" i="27"/>
  <c r="G7" i="25"/>
  <c r="F7" i="25"/>
  <c r="E7" i="25"/>
  <c r="D7" i="25"/>
  <c r="C7" i="25"/>
  <c r="G6" i="25"/>
  <c r="F6" i="25"/>
  <c r="E6" i="25"/>
  <c r="D6" i="25"/>
  <c r="C6" i="25"/>
  <c r="G5" i="25"/>
  <c r="F5" i="25"/>
  <c r="E5" i="25"/>
  <c r="D5" i="25"/>
  <c r="C5" i="25"/>
  <c r="Q14" i="25"/>
  <c r="P14" i="25"/>
  <c r="O14" i="25"/>
  <c r="N14" i="25"/>
  <c r="M14" i="25"/>
  <c r="L14" i="25"/>
  <c r="K14" i="25"/>
  <c r="J14" i="25"/>
  <c r="I14" i="25"/>
  <c r="H14" i="25"/>
  <c r="G14" i="25"/>
  <c r="F14" i="25"/>
  <c r="E14" i="25"/>
  <c r="D14" i="25"/>
  <c r="C14" i="25"/>
  <c r="L8" i="25"/>
  <c r="K8" i="25"/>
  <c r="J8" i="25"/>
  <c r="I8" i="25"/>
  <c r="G8" i="25"/>
  <c r="F8" i="25"/>
  <c r="E8" i="25"/>
  <c r="D8" i="25"/>
  <c r="C8" i="25"/>
  <c r="L8" i="24"/>
  <c r="M8" i="24"/>
  <c r="L9" i="24"/>
  <c r="M9" i="24"/>
  <c r="L10" i="24"/>
  <c r="M10" i="24"/>
  <c r="L11" i="24"/>
  <c r="M11" i="24"/>
  <c r="L12" i="24"/>
  <c r="M12" i="24"/>
  <c r="M13" i="24"/>
  <c r="L13" i="24"/>
  <c r="J13" i="24"/>
  <c r="I13" i="24"/>
  <c r="G13" i="24"/>
  <c r="F13" i="24"/>
  <c r="D13" i="24"/>
  <c r="C13" i="24"/>
  <c r="G8" i="22"/>
  <c r="G9" i="22"/>
  <c r="G10" i="22"/>
  <c r="G11" i="22"/>
  <c r="G12" i="22"/>
  <c r="G13" i="22"/>
  <c r="F7" i="22"/>
  <c r="F8" i="22"/>
  <c r="F9" i="22"/>
  <c r="F10" i="22"/>
  <c r="F11" i="22"/>
  <c r="F12" i="22"/>
  <c r="F13" i="22"/>
  <c r="D8" i="22"/>
  <c r="D9" i="22"/>
  <c r="D10" i="22"/>
  <c r="D11" i="22"/>
  <c r="D12" i="22"/>
  <c r="D13" i="22"/>
  <c r="C7" i="22"/>
  <c r="C8" i="22"/>
  <c r="C9" i="22"/>
  <c r="C10" i="22"/>
  <c r="C11" i="22"/>
  <c r="C12" i="22"/>
  <c r="C13" i="22"/>
  <c r="G30" i="21"/>
  <c r="F30" i="21"/>
  <c r="E30" i="21"/>
  <c r="D30" i="21"/>
  <c r="C30" i="21"/>
  <c r="G28" i="21"/>
  <c r="F28" i="21"/>
  <c r="E28" i="21"/>
  <c r="D28" i="21"/>
  <c r="C28" i="21"/>
  <c r="Q30" i="21"/>
  <c r="P30" i="21"/>
  <c r="O30" i="21"/>
  <c r="N30" i="21"/>
  <c r="M30" i="21"/>
  <c r="L30" i="21"/>
  <c r="K30" i="21"/>
  <c r="J30" i="21"/>
  <c r="I30" i="21"/>
  <c r="H30" i="21"/>
  <c r="Q28" i="21"/>
  <c r="P28" i="21"/>
  <c r="O28" i="21"/>
  <c r="N28" i="21"/>
  <c r="M28" i="21"/>
  <c r="L28" i="21"/>
  <c r="K28" i="21"/>
  <c r="J28" i="21"/>
  <c r="I28" i="21"/>
  <c r="H28" i="21"/>
  <c r="K27" i="21"/>
  <c r="J27" i="21"/>
  <c r="I27" i="21"/>
  <c r="H27" i="21"/>
  <c r="H23" i="21"/>
  <c r="G23" i="21"/>
  <c r="F23" i="21"/>
  <c r="E23" i="21"/>
  <c r="D23" i="21"/>
  <c r="C23" i="21"/>
  <c r="B3" i="21"/>
  <c r="C46" i="18"/>
  <c r="D46" i="18"/>
  <c r="E46" i="18"/>
  <c r="F46" i="18"/>
  <c r="G46" i="18"/>
  <c r="H46" i="18"/>
  <c r="C5" i="17"/>
  <c r="C6" i="17"/>
  <c r="D5" i="17"/>
  <c r="D6" i="17"/>
  <c r="E5" i="17"/>
  <c r="E6" i="17"/>
  <c r="F5" i="17"/>
  <c r="F6" i="17"/>
  <c r="G5" i="17"/>
  <c r="G6" i="17"/>
  <c r="H35" i="17"/>
  <c r="H28" i="17"/>
  <c r="C63" i="18"/>
  <c r="D63" i="18"/>
  <c r="E63" i="18"/>
  <c r="F63" i="18"/>
  <c r="G63" i="18"/>
  <c r="H63" i="18"/>
  <c r="C64" i="18"/>
  <c r="D64" i="18"/>
  <c r="E64" i="18"/>
  <c r="F64" i="18"/>
  <c r="G64" i="18"/>
  <c r="H64" i="18"/>
  <c r="C65" i="18"/>
  <c r="D65" i="18"/>
  <c r="E65" i="18"/>
  <c r="F65" i="18"/>
  <c r="G65" i="18"/>
  <c r="H65" i="18"/>
  <c r="C66" i="18"/>
  <c r="D66" i="18"/>
  <c r="E66" i="18"/>
  <c r="F66" i="18"/>
  <c r="G66" i="18"/>
  <c r="H66" i="18"/>
  <c r="H67" i="18"/>
  <c r="G67" i="18"/>
  <c r="F67" i="18"/>
  <c r="E67" i="18"/>
  <c r="D67" i="18"/>
  <c r="C67" i="18"/>
  <c r="C45" i="18"/>
  <c r="D45" i="18"/>
  <c r="E45" i="18"/>
  <c r="F45" i="18"/>
  <c r="G45" i="18"/>
  <c r="H45" i="18"/>
  <c r="C47" i="18"/>
  <c r="D47" i="18"/>
  <c r="E47" i="18"/>
  <c r="F47" i="18"/>
  <c r="G47" i="18"/>
  <c r="H47" i="18"/>
  <c r="C48" i="18"/>
  <c r="D48" i="18"/>
  <c r="E48" i="18"/>
  <c r="F48" i="18"/>
  <c r="G48" i="18"/>
  <c r="H48" i="18"/>
  <c r="C49" i="18"/>
  <c r="D49" i="18"/>
  <c r="E49" i="18"/>
  <c r="F49" i="18"/>
  <c r="G49" i="18"/>
  <c r="H49" i="18"/>
  <c r="C50" i="18"/>
  <c r="D50" i="18"/>
  <c r="E50" i="18"/>
  <c r="F50" i="18"/>
  <c r="G50" i="18"/>
  <c r="H50" i="18"/>
  <c r="C51" i="18"/>
  <c r="D51" i="18"/>
  <c r="E51" i="18"/>
  <c r="F51" i="18"/>
  <c r="G51" i="18"/>
  <c r="H51" i="18"/>
  <c r="C52" i="18"/>
  <c r="D52" i="18"/>
  <c r="E52" i="18"/>
  <c r="F52" i="18"/>
  <c r="G52" i="18"/>
  <c r="H52" i="18"/>
  <c r="C53" i="18"/>
  <c r="D53" i="18"/>
  <c r="E53" i="18"/>
  <c r="F53" i="18"/>
  <c r="G53" i="18"/>
  <c r="H53" i="18"/>
  <c r="C54" i="18"/>
  <c r="D54" i="18"/>
  <c r="E54" i="18"/>
  <c r="F54" i="18"/>
  <c r="G54" i="18"/>
  <c r="H54" i="18"/>
  <c r="C55" i="18"/>
  <c r="D55" i="18"/>
  <c r="E55" i="18"/>
  <c r="F55" i="18"/>
  <c r="G55" i="18"/>
  <c r="H55" i="18"/>
  <c r="C56" i="18"/>
  <c r="D56" i="18"/>
  <c r="E56" i="18"/>
  <c r="F56" i="18"/>
  <c r="G56" i="18"/>
  <c r="H56" i="18"/>
  <c r="C57" i="18"/>
  <c r="D57" i="18"/>
  <c r="E57" i="18"/>
  <c r="F57" i="18"/>
  <c r="G57" i="18"/>
  <c r="H57" i="18"/>
  <c r="C58" i="18"/>
  <c r="D58" i="18"/>
  <c r="E58" i="18"/>
  <c r="F58" i="18"/>
  <c r="G58" i="18"/>
  <c r="H58" i="18"/>
  <c r="C59" i="18"/>
  <c r="D59" i="18"/>
  <c r="E59" i="18"/>
  <c r="F59" i="18"/>
  <c r="G59" i="18"/>
  <c r="H59" i="18"/>
  <c r="H60" i="18"/>
  <c r="G60" i="18"/>
  <c r="F60" i="18"/>
  <c r="E60" i="18"/>
  <c r="D60" i="18"/>
  <c r="C60" i="18"/>
  <c r="Q42" i="18"/>
  <c r="P42" i="18"/>
  <c r="O42" i="18"/>
  <c r="N42" i="18"/>
  <c r="M42" i="18"/>
  <c r="L42" i="18"/>
  <c r="K42" i="18"/>
  <c r="J42" i="18"/>
  <c r="I42" i="18"/>
  <c r="H42" i="18"/>
  <c r="Q36" i="18"/>
  <c r="P36" i="18"/>
  <c r="O36" i="18"/>
  <c r="N36" i="18"/>
  <c r="M36" i="18"/>
  <c r="L36" i="18"/>
  <c r="K36" i="18"/>
  <c r="J36" i="18"/>
  <c r="I36" i="18"/>
  <c r="H36" i="18"/>
  <c r="L27" i="18"/>
  <c r="K27" i="18"/>
  <c r="J27" i="18"/>
  <c r="I27" i="18"/>
  <c r="L26" i="18"/>
  <c r="K26" i="18"/>
  <c r="J26" i="18"/>
  <c r="I26" i="18"/>
  <c r="L25" i="18"/>
  <c r="K25" i="18"/>
  <c r="J25" i="18"/>
  <c r="I25" i="18"/>
  <c r="L24" i="18"/>
  <c r="K24" i="18"/>
  <c r="J24" i="18"/>
  <c r="I24" i="18"/>
  <c r="L23" i="18"/>
  <c r="K23" i="18"/>
  <c r="J23" i="18"/>
  <c r="I23" i="18"/>
  <c r="L22" i="18"/>
  <c r="K22" i="18"/>
  <c r="J22" i="18"/>
  <c r="I22" i="18"/>
  <c r="L21" i="18"/>
  <c r="K21" i="18"/>
  <c r="J21" i="18"/>
  <c r="I21" i="18"/>
  <c r="L20" i="18"/>
  <c r="K20" i="18"/>
  <c r="J20" i="18"/>
  <c r="I20" i="18"/>
  <c r="L19" i="18"/>
  <c r="K19" i="18"/>
  <c r="J19" i="18"/>
  <c r="I19" i="18"/>
  <c r="L18" i="18"/>
  <c r="K18" i="18"/>
  <c r="J18" i="18"/>
  <c r="I18" i="18"/>
  <c r="L17" i="18"/>
  <c r="K17" i="18"/>
  <c r="J17" i="18"/>
  <c r="I17" i="18"/>
  <c r="L16" i="18"/>
  <c r="K16" i="18"/>
  <c r="J16" i="18"/>
  <c r="I16" i="18"/>
  <c r="L15" i="18"/>
  <c r="K15" i="18"/>
  <c r="J15" i="18"/>
  <c r="I15" i="18"/>
  <c r="L14" i="18"/>
  <c r="K14" i="18"/>
  <c r="J14" i="18"/>
  <c r="I14" i="18"/>
  <c r="L13" i="18"/>
  <c r="K13" i="18"/>
  <c r="J13" i="18"/>
  <c r="I13" i="18"/>
  <c r="L7" i="18"/>
  <c r="K7" i="18"/>
  <c r="J7" i="18"/>
  <c r="I7" i="18"/>
  <c r="L6" i="18"/>
  <c r="K6" i="18"/>
  <c r="J6" i="18"/>
  <c r="I6" i="18"/>
  <c r="L5" i="18"/>
  <c r="K5" i="18"/>
  <c r="J5" i="18"/>
  <c r="I5" i="18"/>
  <c r="L4" i="18"/>
  <c r="K4" i="18"/>
  <c r="J4" i="18"/>
  <c r="I4" i="18"/>
  <c r="H6" i="17"/>
  <c r="I35" i="17"/>
  <c r="I32" i="17"/>
  <c r="I28" i="17"/>
  <c r="I6" i="17"/>
  <c r="J35" i="17"/>
  <c r="J32" i="17"/>
  <c r="J28" i="17"/>
  <c r="J6" i="17"/>
  <c r="K35" i="17"/>
  <c r="K32" i="17"/>
  <c r="K28" i="17"/>
  <c r="K6" i="17"/>
  <c r="L35" i="17"/>
  <c r="L32" i="17"/>
  <c r="L28" i="17"/>
  <c r="L6" i="17"/>
  <c r="M35" i="17"/>
  <c r="M32" i="17"/>
  <c r="M28" i="17"/>
  <c r="M6" i="17"/>
  <c r="N35" i="17"/>
  <c r="N32" i="17"/>
  <c r="N28" i="17"/>
  <c r="N6" i="17"/>
  <c r="O35" i="17"/>
  <c r="O32" i="17"/>
  <c r="O28" i="17"/>
  <c r="O6" i="17"/>
  <c r="P35" i="17"/>
  <c r="P32" i="17"/>
  <c r="P28" i="17"/>
  <c r="P6" i="17"/>
  <c r="Q35" i="17"/>
  <c r="Q32" i="17"/>
  <c r="Q28" i="17"/>
  <c r="C21" i="17"/>
  <c r="C42" i="17"/>
  <c r="D42" i="17"/>
  <c r="E42" i="17"/>
  <c r="F42" i="17"/>
  <c r="G42" i="17"/>
  <c r="H42" i="17"/>
  <c r="C43" i="17"/>
  <c r="D43" i="17"/>
  <c r="E43" i="17"/>
  <c r="F43" i="17"/>
  <c r="G43" i="17"/>
  <c r="H43" i="17"/>
  <c r="C44" i="17"/>
  <c r="D44" i="17"/>
  <c r="E44" i="17"/>
  <c r="F44" i="17"/>
  <c r="G44" i="17"/>
  <c r="H44" i="17"/>
  <c r="C45" i="17"/>
  <c r="D45" i="17"/>
  <c r="E45" i="17"/>
  <c r="F45" i="17"/>
  <c r="G45" i="17"/>
  <c r="H45" i="17"/>
  <c r="C46" i="17"/>
  <c r="D46" i="17"/>
  <c r="E46" i="17"/>
  <c r="F46" i="17"/>
  <c r="G46" i="17"/>
  <c r="H46" i="17"/>
  <c r="C47" i="17"/>
  <c r="D47" i="17"/>
  <c r="E47" i="17"/>
  <c r="F47" i="17"/>
  <c r="G47" i="17"/>
  <c r="H47" i="17"/>
  <c r="C48" i="17"/>
  <c r="D48" i="17"/>
  <c r="E48" i="17"/>
  <c r="F48" i="17"/>
  <c r="G48" i="17"/>
  <c r="H48" i="17"/>
  <c r="C49" i="17"/>
  <c r="D49" i="17"/>
  <c r="E49" i="17"/>
  <c r="F49" i="17"/>
  <c r="G49" i="17"/>
  <c r="H49" i="17"/>
  <c r="C50" i="17"/>
  <c r="D50" i="17"/>
  <c r="E50" i="17"/>
  <c r="F50" i="17"/>
  <c r="G50" i="17"/>
  <c r="H50" i="17"/>
  <c r="H51" i="17"/>
  <c r="G51" i="17"/>
  <c r="F51" i="17"/>
  <c r="E51" i="17"/>
  <c r="D51" i="17"/>
  <c r="C51" i="17"/>
  <c r="L5" i="17"/>
  <c r="K5" i="17"/>
  <c r="J5" i="17"/>
  <c r="I5" i="17"/>
  <c r="Q38" i="17"/>
  <c r="P38" i="17"/>
  <c r="O38" i="17"/>
  <c r="N38" i="17"/>
  <c r="M38" i="17"/>
  <c r="L38" i="17"/>
  <c r="K38" i="17"/>
  <c r="J38" i="17"/>
  <c r="I38" i="17"/>
  <c r="H38" i="17"/>
  <c r="H32" i="17"/>
  <c r="Q6" i="17"/>
  <c r="L7" i="17"/>
  <c r="L12" i="17"/>
  <c r="L13" i="17"/>
  <c r="L14" i="17"/>
  <c r="L15" i="17"/>
  <c r="L16" i="17"/>
  <c r="L17" i="17"/>
  <c r="L18" i="17"/>
  <c r="L19" i="17"/>
  <c r="L20" i="17"/>
  <c r="L21" i="17"/>
  <c r="K7" i="17"/>
  <c r="K12" i="17"/>
  <c r="K13" i="17"/>
  <c r="K14" i="17"/>
  <c r="K15" i="17"/>
  <c r="K16" i="17"/>
  <c r="K17" i="17"/>
  <c r="K18" i="17"/>
  <c r="K19" i="17"/>
  <c r="K20" i="17"/>
  <c r="K21" i="17"/>
  <c r="J7" i="17"/>
  <c r="J12" i="17"/>
  <c r="J13" i="17"/>
  <c r="J14" i="17"/>
  <c r="J15" i="17"/>
  <c r="J16" i="17"/>
  <c r="J17" i="17"/>
  <c r="J18" i="17"/>
  <c r="J19" i="17"/>
  <c r="J20" i="17"/>
  <c r="J21" i="17"/>
  <c r="I7" i="17"/>
  <c r="I12" i="17"/>
  <c r="I13" i="17"/>
  <c r="I14" i="17"/>
  <c r="I15" i="17"/>
  <c r="I16" i="17"/>
  <c r="I17" i="17"/>
  <c r="I18" i="17"/>
  <c r="I19" i="17"/>
  <c r="I20" i="17"/>
  <c r="I21" i="17"/>
  <c r="G21" i="17"/>
  <c r="F21" i="17"/>
  <c r="E21" i="17"/>
  <c r="D21" i="17"/>
  <c r="F13" i="16"/>
  <c r="F12" i="16"/>
  <c r="F11" i="16"/>
  <c r="F10" i="16"/>
  <c r="F9" i="16"/>
  <c r="F8" i="16"/>
  <c r="F7" i="16"/>
  <c r="G7" i="16"/>
  <c r="G8" i="16"/>
  <c r="G10" i="16"/>
  <c r="G11" i="16"/>
  <c r="G12" i="16"/>
  <c r="G14" i="16"/>
  <c r="F14" i="16"/>
  <c r="E14" i="16"/>
  <c r="G65" i="9"/>
  <c r="G12" i="14"/>
  <c r="F65" i="9"/>
  <c r="F12" i="14"/>
  <c r="E65" i="9"/>
  <c r="E12" i="14"/>
  <c r="D65" i="9"/>
  <c r="D12" i="14"/>
  <c r="C65" i="9"/>
  <c r="C12" i="14"/>
  <c r="G64" i="9"/>
  <c r="G11" i="14"/>
  <c r="F64" i="9"/>
  <c r="F11" i="14"/>
  <c r="E64" i="9"/>
  <c r="E11" i="14"/>
  <c r="D64" i="9"/>
  <c r="D11" i="14"/>
  <c r="C64" i="9"/>
  <c r="C11" i="14"/>
  <c r="G63" i="9"/>
  <c r="G10" i="14"/>
  <c r="F63" i="9"/>
  <c r="F10" i="14"/>
  <c r="E63" i="9"/>
  <c r="E10" i="14"/>
  <c r="D63" i="9"/>
  <c r="D10" i="14"/>
  <c r="C63" i="9"/>
  <c r="C10" i="14"/>
  <c r="G62" i="9"/>
  <c r="G9" i="14"/>
  <c r="F62" i="9"/>
  <c r="F9" i="14"/>
  <c r="E62" i="9"/>
  <c r="E9" i="14"/>
  <c r="D62" i="9"/>
  <c r="D9" i="14"/>
  <c r="C62" i="9"/>
  <c r="C9" i="14"/>
  <c r="G61" i="9"/>
  <c r="G8" i="14"/>
  <c r="F61" i="9"/>
  <c r="F8" i="14"/>
  <c r="E61" i="9"/>
  <c r="E8" i="14"/>
  <c r="D61" i="9"/>
  <c r="D8" i="14"/>
  <c r="C61" i="9"/>
  <c r="C8" i="14"/>
  <c r="G60" i="9"/>
  <c r="G7" i="14"/>
  <c r="F60" i="9"/>
  <c r="F7" i="14"/>
  <c r="E60" i="9"/>
  <c r="E7" i="14"/>
  <c r="D60" i="9"/>
  <c r="D7" i="14"/>
  <c r="C60" i="9"/>
  <c r="C7" i="14"/>
  <c r="G59" i="9"/>
  <c r="G6" i="14"/>
  <c r="F59" i="9"/>
  <c r="F6" i="14"/>
  <c r="E59" i="9"/>
  <c r="E6" i="14"/>
  <c r="D59" i="9"/>
  <c r="D6" i="14"/>
  <c r="C59" i="9"/>
  <c r="C6" i="14"/>
  <c r="G58" i="9"/>
  <c r="G5" i="14"/>
  <c r="F58" i="9"/>
  <c r="F5" i="14"/>
  <c r="E58" i="9"/>
  <c r="E5" i="14"/>
  <c r="D58" i="9"/>
  <c r="D5" i="14"/>
  <c r="C58" i="9"/>
  <c r="C5" i="14"/>
  <c r="G13" i="14"/>
  <c r="F13" i="14"/>
  <c r="E13" i="14"/>
  <c r="D13" i="14"/>
  <c r="C13" i="14"/>
  <c r="H25" i="5"/>
  <c r="B14" i="13"/>
  <c r="D10" i="13"/>
  <c r="E10" i="13"/>
  <c r="G10" i="13"/>
  <c r="D9" i="13"/>
  <c r="G9" i="13"/>
  <c r="D8" i="13"/>
  <c r="E8" i="13"/>
  <c r="G8" i="13"/>
  <c r="D7" i="13"/>
  <c r="E7" i="13"/>
  <c r="G7" i="13"/>
  <c r="D6" i="13"/>
  <c r="E6" i="13"/>
  <c r="G6" i="13"/>
  <c r="E17" i="11"/>
  <c r="L58" i="9"/>
  <c r="L59" i="9"/>
  <c r="L60" i="9"/>
  <c r="L61" i="9"/>
  <c r="L62" i="9"/>
  <c r="L63" i="9"/>
  <c r="L64" i="9"/>
  <c r="L65" i="9"/>
  <c r="L66" i="9"/>
  <c r="K58" i="9"/>
  <c r="K59" i="9"/>
  <c r="K60" i="9"/>
  <c r="K61" i="9"/>
  <c r="K62" i="9"/>
  <c r="K63" i="9"/>
  <c r="K64" i="9"/>
  <c r="K65" i="9"/>
  <c r="K66" i="9"/>
  <c r="J58" i="9"/>
  <c r="J59" i="9"/>
  <c r="J60" i="9"/>
  <c r="J61" i="9"/>
  <c r="J62" i="9"/>
  <c r="J63" i="9"/>
  <c r="J64" i="9"/>
  <c r="J65" i="9"/>
  <c r="J66" i="9"/>
  <c r="I58" i="9"/>
  <c r="I59" i="9"/>
  <c r="I60" i="9"/>
  <c r="I61" i="9"/>
  <c r="I62" i="9"/>
  <c r="I63" i="9"/>
  <c r="I64" i="9"/>
  <c r="I65" i="9"/>
  <c r="I66" i="9"/>
  <c r="G66" i="9"/>
  <c r="F66" i="9"/>
  <c r="E66" i="9"/>
  <c r="D66" i="9"/>
  <c r="C66" i="9"/>
  <c r="G14" i="6"/>
  <c r="G26" i="6"/>
  <c r="G35" i="6"/>
  <c r="G44" i="6"/>
  <c r="G64" i="6"/>
  <c r="F14" i="6"/>
  <c r="F26" i="6"/>
  <c r="F35" i="6"/>
  <c r="F44" i="6"/>
  <c r="F64" i="6"/>
  <c r="E14" i="6"/>
  <c r="E26" i="6"/>
  <c r="E35" i="6"/>
  <c r="E44" i="6"/>
  <c r="E64" i="6"/>
  <c r="D14" i="6"/>
  <c r="D26" i="6"/>
  <c r="D35" i="6"/>
  <c r="D44" i="6"/>
  <c r="D64" i="6"/>
  <c r="C14" i="6"/>
  <c r="C26" i="6"/>
  <c r="C35" i="6"/>
  <c r="C44" i="6"/>
  <c r="C64" i="6"/>
  <c r="G62" i="6"/>
  <c r="F62" i="6"/>
  <c r="E62" i="6"/>
  <c r="D62" i="6"/>
  <c r="C62" i="6"/>
  <c r="G58" i="6"/>
  <c r="F58" i="6"/>
  <c r="E58" i="6"/>
  <c r="D58" i="6"/>
  <c r="C58" i="6"/>
  <c r="G57" i="6"/>
  <c r="F57" i="6"/>
  <c r="E57" i="6"/>
  <c r="D57" i="6"/>
  <c r="C57" i="6"/>
  <c r="G53" i="6"/>
  <c r="F53" i="6"/>
  <c r="E53" i="6"/>
  <c r="D53" i="6"/>
  <c r="C53" i="6"/>
  <c r="H28" i="5"/>
  <c r="G28" i="5"/>
  <c r="F28" i="5"/>
  <c r="E28" i="5"/>
  <c r="D28" i="5"/>
  <c r="H27" i="5"/>
  <c r="G27" i="5"/>
  <c r="F27" i="5"/>
  <c r="E27" i="5"/>
  <c r="D27" i="5"/>
  <c r="H26" i="5"/>
  <c r="G26" i="5"/>
  <c r="F26" i="5"/>
  <c r="E26" i="5"/>
  <c r="G25" i="5"/>
  <c r="F25" i="5"/>
  <c r="E25" i="5"/>
  <c r="D25" i="5"/>
  <c r="H24" i="5"/>
  <c r="G24" i="5"/>
  <c r="F24" i="5"/>
  <c r="E24" i="5"/>
  <c r="H32" i="30"/>
  <c r="H33" i="30"/>
  <c r="I31" i="30"/>
  <c r="I32" i="30"/>
  <c r="I33" i="30"/>
  <c r="I36" i="30"/>
  <c r="H36" i="30"/>
  <c r="J31" i="30"/>
  <c r="J32" i="30"/>
  <c r="J33" i="30"/>
  <c r="J36" i="30"/>
  <c r="K31" i="30"/>
  <c r="K32" i="30"/>
  <c r="K33" i="30"/>
  <c r="K36" i="30"/>
  <c r="L31" i="30"/>
  <c r="L32" i="30"/>
  <c r="L33" i="30"/>
  <c r="L36" i="30"/>
  <c r="M31" i="30"/>
  <c r="L12" i="32"/>
  <c r="K12" i="32"/>
  <c r="J12" i="32"/>
  <c r="I12" i="32"/>
  <c r="L11" i="32"/>
  <c r="K11" i="32"/>
  <c r="J11" i="32"/>
  <c r="I11" i="32"/>
  <c r="H12" i="32"/>
  <c r="H11" i="32"/>
  <c r="H4" i="18"/>
  <c r="H13" i="18"/>
  <c r="H5" i="18"/>
  <c r="H6" i="18"/>
  <c r="H7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58" i="9"/>
  <c r="H59" i="9"/>
  <c r="H60" i="9"/>
  <c r="H61" i="9"/>
  <c r="H62" i="9"/>
  <c r="H63" i="9"/>
  <c r="H64" i="9"/>
  <c r="H65" i="9"/>
  <c r="H66" i="9"/>
  <c r="H5" i="17"/>
  <c r="H7" i="17"/>
  <c r="H12" i="17"/>
  <c r="H13" i="17"/>
  <c r="H14" i="17"/>
  <c r="H15" i="17"/>
  <c r="H16" i="17"/>
  <c r="H17" i="17"/>
  <c r="H18" i="17"/>
  <c r="H19" i="17"/>
  <c r="H20" i="17"/>
  <c r="H21" i="17"/>
  <c r="H8" i="25"/>
  <c r="H5" i="14"/>
  <c r="H13" i="14"/>
  <c r="M5" i="9"/>
  <c r="M5" i="12"/>
  <c r="M5" i="14"/>
  <c r="M6" i="9"/>
  <c r="M6" i="12"/>
  <c r="M6" i="14"/>
  <c r="M7" i="9"/>
  <c r="M7" i="12"/>
  <c r="M7" i="14"/>
  <c r="M8" i="9"/>
  <c r="M8" i="12"/>
  <c r="M8" i="14"/>
  <c r="M9" i="9"/>
  <c r="M9" i="12"/>
  <c r="M9" i="14"/>
  <c r="M10" i="9"/>
  <c r="M10" i="12"/>
  <c r="M10" i="14"/>
  <c r="M11" i="9"/>
  <c r="M11" i="12"/>
  <c r="M11" i="14"/>
  <c r="M12" i="9"/>
  <c r="M12" i="12"/>
  <c r="M12" i="14"/>
  <c r="M13" i="14"/>
  <c r="M13" i="9"/>
  <c r="M5" i="25"/>
  <c r="M13" i="12"/>
  <c r="M6" i="25"/>
  <c r="M7" i="25"/>
  <c r="M8" i="25"/>
  <c r="M28" i="18"/>
  <c r="M27" i="18"/>
  <c r="M26" i="18"/>
  <c r="M25" i="18"/>
  <c r="M24" i="18"/>
  <c r="M23" i="18"/>
  <c r="M22" i="18"/>
  <c r="M21" i="18"/>
  <c r="M20" i="18"/>
  <c r="M19" i="18"/>
  <c r="M18" i="18"/>
  <c r="M17" i="18"/>
  <c r="M16" i="18"/>
  <c r="M15" i="18"/>
  <c r="M14" i="18"/>
  <c r="M13" i="18"/>
  <c r="M8" i="18"/>
  <c r="M7" i="18"/>
  <c r="M6" i="18"/>
  <c r="M5" i="18"/>
  <c r="M4" i="18"/>
  <c r="M5" i="17"/>
  <c r="M7" i="17"/>
  <c r="M12" i="17"/>
  <c r="M13" i="17"/>
  <c r="M14" i="17"/>
  <c r="M15" i="17"/>
  <c r="M16" i="17"/>
  <c r="M17" i="17"/>
  <c r="M18" i="17"/>
  <c r="M19" i="17"/>
  <c r="M20" i="17"/>
  <c r="M21" i="17"/>
  <c r="M58" i="9"/>
  <c r="M59" i="9"/>
  <c r="M60" i="9"/>
  <c r="M61" i="9"/>
  <c r="M62" i="9"/>
  <c r="M63" i="9"/>
  <c r="M64" i="9"/>
  <c r="M65" i="9"/>
  <c r="M66" i="9"/>
  <c r="M5" i="27"/>
  <c r="M6" i="27"/>
  <c r="M7" i="27"/>
  <c r="M8" i="27"/>
  <c r="M9" i="27"/>
  <c r="M5" i="30"/>
  <c r="M6" i="30"/>
  <c r="M7" i="30"/>
  <c r="M9" i="30"/>
  <c r="M6" i="29"/>
  <c r="M11" i="30"/>
  <c r="M9" i="29"/>
  <c r="M12" i="30"/>
  <c r="M26" i="29"/>
  <c r="M13" i="30"/>
  <c r="M14" i="30"/>
  <c r="M28" i="29"/>
  <c r="M30" i="29"/>
  <c r="M31" i="29"/>
  <c r="M33" i="29"/>
  <c r="M18" i="30"/>
  <c r="M7" i="29"/>
  <c r="M8" i="29"/>
  <c r="M10" i="29"/>
  <c r="M12" i="29"/>
  <c r="M13" i="29"/>
  <c r="M17" i="30"/>
  <c r="M20" i="30"/>
  <c r="M24" i="32"/>
  <c r="M25" i="32"/>
  <c r="M13" i="32"/>
  <c r="M14" i="32"/>
  <c r="M22" i="30"/>
  <c r="M29" i="32"/>
  <c r="M34" i="29"/>
  <c r="M23" i="30"/>
  <c r="M10" i="27"/>
  <c r="M11" i="27"/>
  <c r="M12" i="27"/>
  <c r="M13" i="27"/>
  <c r="M15" i="27"/>
  <c r="M26" i="32"/>
  <c r="M43" i="29"/>
  <c r="M24" i="30"/>
  <c r="M25" i="30"/>
  <c r="M28" i="30"/>
  <c r="M4" i="29"/>
  <c r="M32" i="30"/>
  <c r="M33" i="30"/>
  <c r="M36" i="30"/>
  <c r="M12" i="32"/>
  <c r="M11" i="32"/>
  <c r="N5" i="9"/>
  <c r="O5" i="9"/>
  <c r="P5" i="9"/>
  <c r="Q5" i="9"/>
  <c r="N6" i="9"/>
  <c r="O6" i="9"/>
  <c r="P6" i="9"/>
  <c r="Q6" i="9"/>
  <c r="N7" i="9"/>
  <c r="O7" i="9"/>
  <c r="P7" i="9"/>
  <c r="Q7" i="9"/>
  <c r="N8" i="9"/>
  <c r="O8" i="9"/>
  <c r="P8" i="9"/>
  <c r="Q8" i="9"/>
  <c r="N9" i="9"/>
  <c r="O9" i="9"/>
  <c r="P9" i="9"/>
  <c r="Q9" i="9"/>
  <c r="N10" i="9"/>
  <c r="O10" i="9"/>
  <c r="P10" i="9"/>
  <c r="Q10" i="9"/>
  <c r="N11" i="9"/>
  <c r="O11" i="9"/>
  <c r="P11" i="9"/>
  <c r="Q11" i="9"/>
  <c r="N12" i="9"/>
  <c r="O12" i="9"/>
  <c r="P12" i="9"/>
  <c r="Q12" i="9"/>
  <c r="Q13" i="9"/>
  <c r="Q5" i="27"/>
  <c r="Q5" i="12"/>
  <c r="Q6" i="12"/>
  <c r="Q7" i="12"/>
  <c r="Q8" i="12"/>
  <c r="Q9" i="12"/>
  <c r="Q10" i="12"/>
  <c r="Q11" i="12"/>
  <c r="Q12" i="12"/>
  <c r="Q13" i="12"/>
  <c r="Q6" i="27"/>
  <c r="Q7" i="27"/>
  <c r="Q28" i="18"/>
  <c r="Q8" i="18"/>
  <c r="Q8" i="27"/>
  <c r="Q9" i="27"/>
  <c r="Q5" i="30"/>
  <c r="Q6" i="30"/>
  <c r="Q7" i="30"/>
  <c r="Q9" i="30"/>
  <c r="Q5" i="25"/>
  <c r="Q6" i="29"/>
  <c r="P13" i="9"/>
  <c r="P5" i="25"/>
  <c r="P6" i="29"/>
  <c r="Q11" i="30"/>
  <c r="Q6" i="25"/>
  <c r="Q9" i="29"/>
  <c r="P5" i="12"/>
  <c r="P6" i="12"/>
  <c r="P7" i="12"/>
  <c r="P8" i="12"/>
  <c r="P9" i="12"/>
  <c r="P10" i="12"/>
  <c r="P11" i="12"/>
  <c r="P12" i="12"/>
  <c r="P13" i="12"/>
  <c r="P6" i="25"/>
  <c r="P9" i="29"/>
  <c r="Q12" i="30"/>
  <c r="Q7" i="25"/>
  <c r="Q26" i="29"/>
  <c r="P7" i="25"/>
  <c r="P26" i="29"/>
  <c r="Q13" i="30"/>
  <c r="Q14" i="30"/>
  <c r="Q28" i="29"/>
  <c r="P5" i="27"/>
  <c r="P28" i="29"/>
  <c r="P29" i="29"/>
  <c r="Q30" i="29"/>
  <c r="P30" i="29"/>
  <c r="Q31" i="29"/>
  <c r="P31" i="29"/>
  <c r="Q33" i="29"/>
  <c r="P33" i="29"/>
  <c r="Q18" i="30"/>
  <c r="Q7" i="29"/>
  <c r="P7" i="29"/>
  <c r="Q8" i="29"/>
  <c r="P8" i="29"/>
  <c r="Q10" i="29"/>
  <c r="P10" i="29"/>
  <c r="Q12" i="29"/>
  <c r="P12" i="29"/>
  <c r="Q13" i="29"/>
  <c r="P13" i="29"/>
  <c r="Q17" i="30"/>
  <c r="Q20" i="30"/>
  <c r="Q6" i="34"/>
  <c r="M28" i="32"/>
  <c r="M27" i="29"/>
  <c r="N13" i="9"/>
  <c r="N5" i="27"/>
  <c r="N5" i="12"/>
  <c r="N6" i="12"/>
  <c r="N7" i="12"/>
  <c r="N8" i="12"/>
  <c r="N9" i="12"/>
  <c r="N10" i="12"/>
  <c r="N11" i="12"/>
  <c r="N12" i="12"/>
  <c r="N13" i="12"/>
  <c r="N6" i="27"/>
  <c r="N7" i="27"/>
  <c r="N28" i="18"/>
  <c r="N8" i="18"/>
  <c r="N8" i="27"/>
  <c r="N9" i="27"/>
  <c r="N5" i="30"/>
  <c r="N6" i="30"/>
  <c r="N7" i="30"/>
  <c r="N9" i="30"/>
  <c r="N5" i="25"/>
  <c r="N6" i="29"/>
  <c r="N11" i="30"/>
  <c r="N6" i="25"/>
  <c r="N9" i="29"/>
  <c r="N12" i="30"/>
  <c r="N7" i="25"/>
  <c r="N26" i="29"/>
  <c r="N13" i="30"/>
  <c r="N14" i="30"/>
  <c r="N28" i="29"/>
  <c r="M29" i="29"/>
  <c r="N30" i="29"/>
  <c r="N31" i="29"/>
  <c r="N33" i="29"/>
  <c r="N18" i="30"/>
  <c r="N7" i="29"/>
  <c r="N8" i="29"/>
  <c r="N10" i="29"/>
  <c r="N12" i="29"/>
  <c r="N13" i="29"/>
  <c r="N17" i="30"/>
  <c r="N20" i="30"/>
  <c r="N24" i="32"/>
  <c r="N25" i="32"/>
  <c r="N28" i="32"/>
  <c r="N27" i="29"/>
  <c r="O13" i="9"/>
  <c r="O5" i="27"/>
  <c r="O5" i="12"/>
  <c r="O6" i="12"/>
  <c r="O7" i="12"/>
  <c r="O8" i="12"/>
  <c r="O9" i="12"/>
  <c r="O10" i="12"/>
  <c r="O11" i="12"/>
  <c r="O12" i="12"/>
  <c r="O13" i="12"/>
  <c r="O6" i="27"/>
  <c r="O7" i="27"/>
  <c r="O28" i="18"/>
  <c r="O8" i="18"/>
  <c r="O8" i="27"/>
  <c r="O9" i="27"/>
  <c r="O5" i="30"/>
  <c r="O6" i="30"/>
  <c r="O7" i="30"/>
  <c r="O9" i="30"/>
  <c r="O5" i="25"/>
  <c r="O6" i="29"/>
  <c r="O11" i="30"/>
  <c r="O6" i="25"/>
  <c r="O9" i="29"/>
  <c r="O12" i="30"/>
  <c r="O7" i="25"/>
  <c r="O26" i="29"/>
  <c r="O13" i="30"/>
  <c r="O14" i="30"/>
  <c r="O28" i="29"/>
  <c r="N29" i="29"/>
  <c r="O30" i="29"/>
  <c r="O31" i="29"/>
  <c r="O33" i="29"/>
  <c r="O18" i="30"/>
  <c r="O7" i="29"/>
  <c r="O8" i="29"/>
  <c r="O10" i="29"/>
  <c r="O12" i="29"/>
  <c r="O13" i="29"/>
  <c r="O17" i="30"/>
  <c r="O20" i="30"/>
  <c r="O24" i="32"/>
  <c r="O25" i="32"/>
  <c r="O28" i="32"/>
  <c r="O27" i="29"/>
  <c r="P6" i="27"/>
  <c r="P7" i="27"/>
  <c r="P28" i="18"/>
  <c r="P8" i="18"/>
  <c r="P8" i="27"/>
  <c r="P9" i="27"/>
  <c r="P5" i="30"/>
  <c r="P6" i="30"/>
  <c r="P7" i="30"/>
  <c r="P9" i="30"/>
  <c r="P11" i="30"/>
  <c r="P12" i="30"/>
  <c r="P13" i="30"/>
  <c r="P14" i="30"/>
  <c r="O29" i="29"/>
  <c r="P18" i="30"/>
  <c r="P17" i="30"/>
  <c r="P20" i="30"/>
  <c r="P24" i="32"/>
  <c r="P25" i="32"/>
  <c r="P28" i="32"/>
  <c r="P27" i="29"/>
  <c r="Q24" i="32"/>
  <c r="Q25" i="32"/>
  <c r="Q28" i="32"/>
  <c r="Q27" i="29"/>
  <c r="N29" i="32"/>
  <c r="N34" i="29"/>
  <c r="O29" i="32"/>
  <c r="O34" i="29"/>
  <c r="P29" i="32"/>
  <c r="P34" i="29"/>
  <c r="Q29" i="32"/>
  <c r="Q34" i="29"/>
  <c r="Q15" i="33"/>
  <c r="N13" i="32"/>
  <c r="N14" i="32"/>
  <c r="N10" i="27"/>
  <c r="N11" i="27"/>
  <c r="N12" i="27"/>
  <c r="N13" i="27"/>
  <c r="N15" i="27"/>
  <c r="N26" i="32"/>
  <c r="N43" i="29"/>
  <c r="O13" i="32"/>
  <c r="O14" i="32"/>
  <c r="O10" i="27"/>
  <c r="O11" i="27"/>
  <c r="O12" i="27"/>
  <c r="O13" i="27"/>
  <c r="O15" i="27"/>
  <c r="O26" i="32"/>
  <c r="O43" i="29"/>
  <c r="P13" i="32"/>
  <c r="P14" i="32"/>
  <c r="P10" i="27"/>
  <c r="P11" i="27"/>
  <c r="P12" i="27"/>
  <c r="P13" i="27"/>
  <c r="P15" i="27"/>
  <c r="P26" i="32"/>
  <c r="P43" i="29"/>
  <c r="Q13" i="32"/>
  <c r="Q14" i="32"/>
  <c r="Q10" i="27"/>
  <c r="Q11" i="27"/>
  <c r="Q12" i="27"/>
  <c r="Q13" i="27"/>
  <c r="Q15" i="27"/>
  <c r="Q26" i="32"/>
  <c r="Q43" i="29"/>
  <c r="Q16" i="33"/>
  <c r="Q18" i="33"/>
  <c r="Q19" i="33"/>
  <c r="Q24" i="33"/>
  <c r="Q9" i="34"/>
  <c r="Q7" i="34"/>
  <c r="G15" i="34"/>
  <c r="N11" i="32"/>
  <c r="O11" i="32"/>
  <c r="P11" i="32"/>
  <c r="Q11" i="32"/>
  <c r="N12" i="32"/>
  <c r="O12" i="32"/>
  <c r="P12" i="32"/>
  <c r="Q12" i="32"/>
  <c r="N22" i="30"/>
  <c r="N23" i="30"/>
  <c r="N24" i="30"/>
  <c r="N25" i="30"/>
  <c r="N28" i="30"/>
  <c r="N4" i="29"/>
  <c r="O22" i="30"/>
  <c r="O23" i="30"/>
  <c r="O24" i="30"/>
  <c r="O25" i="30"/>
  <c r="O28" i="30"/>
  <c r="O4" i="29"/>
  <c r="P22" i="30"/>
  <c r="P23" i="30"/>
  <c r="P24" i="30"/>
  <c r="P25" i="30"/>
  <c r="P28" i="30"/>
  <c r="P4" i="29"/>
  <c r="Q22" i="30"/>
  <c r="Q23" i="30"/>
  <c r="Q24" i="30"/>
  <c r="Q25" i="30"/>
  <c r="Q28" i="30"/>
  <c r="Q4" i="29"/>
  <c r="N31" i="30"/>
  <c r="N32" i="30"/>
  <c r="N33" i="30"/>
  <c r="O31" i="30"/>
  <c r="O32" i="30"/>
  <c r="O33" i="30"/>
  <c r="P31" i="30"/>
  <c r="P32" i="30"/>
  <c r="P33" i="30"/>
  <c r="Q31" i="30"/>
  <c r="Q32" i="30"/>
  <c r="Q33" i="30"/>
  <c r="Q36" i="30"/>
  <c r="P36" i="30"/>
  <c r="O36" i="30"/>
  <c r="N36" i="30"/>
  <c r="N58" i="9"/>
  <c r="N59" i="9"/>
  <c r="N60" i="9"/>
  <c r="N61" i="9"/>
  <c r="N62" i="9"/>
  <c r="N63" i="9"/>
  <c r="N64" i="9"/>
  <c r="N65" i="9"/>
  <c r="N66" i="9"/>
  <c r="O58" i="9"/>
  <c r="O59" i="9"/>
  <c r="O60" i="9"/>
  <c r="O61" i="9"/>
  <c r="O62" i="9"/>
  <c r="O63" i="9"/>
  <c r="O64" i="9"/>
  <c r="O65" i="9"/>
  <c r="O66" i="9"/>
  <c r="P58" i="9"/>
  <c r="P59" i="9"/>
  <c r="P60" i="9"/>
  <c r="P61" i="9"/>
  <c r="P62" i="9"/>
  <c r="P63" i="9"/>
  <c r="P64" i="9"/>
  <c r="P65" i="9"/>
  <c r="P66" i="9"/>
  <c r="Q58" i="9"/>
  <c r="Q59" i="9"/>
  <c r="Q60" i="9"/>
  <c r="Q61" i="9"/>
  <c r="Q62" i="9"/>
  <c r="Q63" i="9"/>
  <c r="Q64" i="9"/>
  <c r="Q65" i="9"/>
  <c r="Q66" i="9"/>
  <c r="N5" i="17"/>
  <c r="N7" i="17"/>
  <c r="N12" i="17"/>
  <c r="N13" i="17"/>
  <c r="N14" i="17"/>
  <c r="N15" i="17"/>
  <c r="N16" i="17"/>
  <c r="N17" i="17"/>
  <c r="N18" i="17"/>
  <c r="N19" i="17"/>
  <c r="N20" i="17"/>
  <c r="N21" i="17"/>
  <c r="O5" i="17"/>
  <c r="O7" i="17"/>
  <c r="O12" i="17"/>
  <c r="O13" i="17"/>
  <c r="O14" i="17"/>
  <c r="O15" i="17"/>
  <c r="O16" i="17"/>
  <c r="O17" i="17"/>
  <c r="O18" i="17"/>
  <c r="O19" i="17"/>
  <c r="O20" i="17"/>
  <c r="O21" i="17"/>
  <c r="P5" i="17"/>
  <c r="P7" i="17"/>
  <c r="P12" i="17"/>
  <c r="P13" i="17"/>
  <c r="P14" i="17"/>
  <c r="P15" i="17"/>
  <c r="P16" i="17"/>
  <c r="P17" i="17"/>
  <c r="P18" i="17"/>
  <c r="P19" i="17"/>
  <c r="P20" i="17"/>
  <c r="P21" i="17"/>
  <c r="Q5" i="17"/>
  <c r="Q7" i="17"/>
  <c r="Q12" i="17"/>
  <c r="Q13" i="17"/>
  <c r="Q14" i="17"/>
  <c r="Q15" i="17"/>
  <c r="Q16" i="17"/>
  <c r="Q17" i="17"/>
  <c r="Q18" i="17"/>
  <c r="Q19" i="17"/>
  <c r="Q20" i="17"/>
  <c r="Q21" i="17"/>
  <c r="N4" i="18"/>
  <c r="O4" i="18"/>
  <c r="P4" i="18"/>
  <c r="Q4" i="18"/>
  <c r="N5" i="18"/>
  <c r="O5" i="18"/>
  <c r="P5" i="18"/>
  <c r="Q5" i="18"/>
  <c r="N6" i="18"/>
  <c r="O6" i="18"/>
  <c r="P6" i="18"/>
  <c r="Q6" i="18"/>
  <c r="N7" i="18"/>
  <c r="O7" i="18"/>
  <c r="P7" i="18"/>
  <c r="Q7" i="18"/>
  <c r="N13" i="18"/>
  <c r="O13" i="18"/>
  <c r="P13" i="18"/>
  <c r="Q13" i="18"/>
  <c r="N14" i="18"/>
  <c r="O14" i="18"/>
  <c r="P14" i="18"/>
  <c r="Q14" i="18"/>
  <c r="N15" i="18"/>
  <c r="O15" i="18"/>
  <c r="P15" i="18"/>
  <c r="Q15" i="18"/>
  <c r="N16" i="18"/>
  <c r="O16" i="18"/>
  <c r="P16" i="18"/>
  <c r="Q16" i="18"/>
  <c r="N17" i="18"/>
  <c r="O17" i="18"/>
  <c r="P17" i="18"/>
  <c r="Q17" i="18"/>
  <c r="N18" i="18"/>
  <c r="O18" i="18"/>
  <c r="P18" i="18"/>
  <c r="Q18" i="18"/>
  <c r="N19" i="18"/>
  <c r="O19" i="18"/>
  <c r="P19" i="18"/>
  <c r="Q19" i="18"/>
  <c r="N20" i="18"/>
  <c r="O20" i="18"/>
  <c r="P20" i="18"/>
  <c r="Q20" i="18"/>
  <c r="N21" i="18"/>
  <c r="O21" i="18"/>
  <c r="P21" i="18"/>
  <c r="Q21" i="18"/>
  <c r="N22" i="18"/>
  <c r="O22" i="18"/>
  <c r="P22" i="18"/>
  <c r="Q22" i="18"/>
  <c r="N23" i="18"/>
  <c r="O23" i="18"/>
  <c r="P23" i="18"/>
  <c r="Q23" i="18"/>
  <c r="N24" i="18"/>
  <c r="O24" i="18"/>
  <c r="P24" i="18"/>
  <c r="Q24" i="18"/>
  <c r="N25" i="18"/>
  <c r="O25" i="18"/>
  <c r="P25" i="18"/>
  <c r="Q25" i="18"/>
  <c r="N26" i="18"/>
  <c r="O26" i="18"/>
  <c r="P26" i="18"/>
  <c r="Q26" i="18"/>
  <c r="N27" i="18"/>
  <c r="O27" i="18"/>
  <c r="P27" i="18"/>
  <c r="Q27" i="18"/>
  <c r="N8" i="25"/>
  <c r="O8" i="25"/>
  <c r="P8" i="25"/>
  <c r="Q8" i="25"/>
  <c r="Q5" i="14"/>
  <c r="Q6" i="14"/>
  <c r="Q7" i="14"/>
  <c r="Q8" i="14"/>
  <c r="Q9" i="14"/>
  <c r="Q10" i="14"/>
  <c r="Q11" i="14"/>
  <c r="Q12" i="14"/>
  <c r="Q13" i="14"/>
  <c r="P5" i="14"/>
  <c r="P6" i="14"/>
  <c r="P7" i="14"/>
  <c r="P8" i="14"/>
  <c r="P9" i="14"/>
  <c r="P10" i="14"/>
  <c r="P11" i="14"/>
  <c r="P12" i="14"/>
  <c r="P13" i="14"/>
  <c r="O5" i="14"/>
  <c r="O6" i="14"/>
  <c r="O7" i="14"/>
  <c r="O8" i="14"/>
  <c r="O9" i="14"/>
  <c r="O10" i="14"/>
  <c r="O11" i="14"/>
  <c r="O12" i="14"/>
  <c r="O13" i="14"/>
  <c r="N5" i="14"/>
  <c r="N6" i="14"/>
  <c r="N7" i="14"/>
  <c r="N8" i="14"/>
  <c r="N9" i="14"/>
  <c r="N10" i="14"/>
  <c r="N11" i="14"/>
  <c r="N12" i="14"/>
  <c r="N13" i="14"/>
  <c r="M6" i="34"/>
  <c r="M15" i="33"/>
  <c r="M16" i="33"/>
  <c r="M18" i="33"/>
  <c r="M19" i="33"/>
  <c r="M24" i="33"/>
  <c r="M9" i="34"/>
  <c r="M10" i="34"/>
  <c r="N6" i="34"/>
  <c r="N15" i="33"/>
  <c r="N16" i="33"/>
  <c r="N18" i="33"/>
  <c r="N19" i="33"/>
  <c r="N24" i="33"/>
  <c r="N9" i="34"/>
  <c r="N10" i="34"/>
  <c r="O6" i="34"/>
  <c r="O15" i="33"/>
  <c r="O16" i="33"/>
  <c r="O18" i="33"/>
  <c r="O19" i="33"/>
  <c r="O24" i="33"/>
  <c r="O9" i="34"/>
  <c r="O10" i="34"/>
  <c r="P6" i="34"/>
  <c r="P15" i="33"/>
  <c r="P16" i="33"/>
  <c r="P18" i="33"/>
  <c r="P19" i="33"/>
  <c r="P24" i="33"/>
  <c r="P9" i="34"/>
  <c r="P10" i="34"/>
  <c r="Q10" i="34"/>
  <c r="G14" i="34"/>
  <c r="Q11" i="34"/>
  <c r="G16" i="34"/>
  <c r="G17" i="34"/>
  <c r="G20" i="34"/>
  <c r="G22" i="34"/>
  <c r="M15" i="29"/>
  <c r="M16" i="29"/>
  <c r="M19" i="29"/>
  <c r="M20" i="29"/>
  <c r="M24" i="29"/>
  <c r="M25" i="29"/>
  <c r="M35" i="29"/>
  <c r="M36" i="29"/>
  <c r="M37" i="29"/>
  <c r="M38" i="29"/>
  <c r="M39" i="29"/>
  <c r="M41" i="29"/>
  <c r="M42" i="29"/>
  <c r="M44" i="29"/>
  <c r="M46" i="29"/>
  <c r="N15" i="29"/>
  <c r="N16" i="29"/>
  <c r="N19" i="29"/>
  <c r="N20" i="29"/>
  <c r="N24" i="29"/>
  <c r="N25" i="29"/>
  <c r="N35" i="29"/>
  <c r="N36" i="29"/>
  <c r="N37" i="29"/>
  <c r="N38" i="29"/>
  <c r="N39" i="29"/>
  <c r="N41" i="29"/>
  <c r="N42" i="29"/>
  <c r="N44" i="29"/>
  <c r="N46" i="29"/>
  <c r="O15" i="29"/>
  <c r="O16" i="29"/>
  <c r="O19" i="29"/>
  <c r="O20" i="29"/>
  <c r="O24" i="29"/>
  <c r="O25" i="29"/>
  <c r="O35" i="29"/>
  <c r="O36" i="29"/>
  <c r="O37" i="29"/>
  <c r="O38" i="29"/>
  <c r="O39" i="29"/>
  <c r="O41" i="29"/>
  <c r="O42" i="29"/>
  <c r="O44" i="29"/>
  <c r="O46" i="29"/>
  <c r="P15" i="29"/>
  <c r="P16" i="29"/>
  <c r="P19" i="29"/>
  <c r="P20" i="29"/>
  <c r="P24" i="29"/>
  <c r="P25" i="29"/>
  <c r="P35" i="29"/>
  <c r="P36" i="29"/>
  <c r="P37" i="29"/>
  <c r="P38" i="29"/>
  <c r="P39" i="29"/>
  <c r="P41" i="29"/>
  <c r="P42" i="29"/>
  <c r="P44" i="29"/>
  <c r="P46" i="29"/>
  <c r="Q15" i="29"/>
  <c r="Q16" i="29"/>
  <c r="Q19" i="29"/>
  <c r="Q20" i="29"/>
  <c r="Q24" i="29"/>
  <c r="Q25" i="29"/>
  <c r="Q29" i="29"/>
  <c r="Q35" i="29"/>
  <c r="Q36" i="29"/>
  <c r="Q37" i="29"/>
  <c r="Q38" i="29"/>
  <c r="Q39" i="29"/>
  <c r="Q41" i="29"/>
  <c r="Q42" i="29"/>
  <c r="Q44" i="29"/>
  <c r="Q46" i="29"/>
</calcChain>
</file>

<file path=xl/sharedStrings.xml><?xml version="1.0" encoding="utf-8"?>
<sst xmlns="http://schemas.openxmlformats.org/spreadsheetml/2006/main" count="879" uniqueCount="365">
  <si>
    <t>LG</t>
  </si>
  <si>
    <t>Company  Analysis</t>
  </si>
  <si>
    <t>Drivers</t>
  </si>
  <si>
    <t>Selected case</t>
  </si>
  <si>
    <t>Company</t>
  </si>
  <si>
    <t>Currency</t>
  </si>
  <si>
    <t>KRW</t>
  </si>
  <si>
    <t>Domestic country</t>
  </si>
  <si>
    <t>South Korea</t>
  </si>
  <si>
    <t>10-year treasury yield (May 22 2019)</t>
  </si>
  <si>
    <t>Company Beta (May 23 2019)</t>
  </si>
  <si>
    <t>LG Share Price (May 23 2019)</t>
  </si>
  <si>
    <t>Bond Yield (May 23 2019)</t>
  </si>
  <si>
    <t>Corporate tax rate</t>
  </si>
  <si>
    <t>Expected Inflation</t>
  </si>
  <si>
    <t>input (in millions)</t>
  </si>
  <si>
    <t>2014 Act</t>
  </si>
  <si>
    <t>2015 Act</t>
  </si>
  <si>
    <t>2016 Act</t>
  </si>
  <si>
    <t>2017 Act</t>
  </si>
  <si>
    <t>2018 Act</t>
  </si>
  <si>
    <t>Net sales</t>
  </si>
  <si>
    <t>Cost of Sales</t>
  </si>
  <si>
    <t>Gross profit</t>
  </si>
  <si>
    <t>Selling and marketing expenses</t>
  </si>
  <si>
    <t>Administrative expenses</t>
  </si>
  <si>
    <t>R&amp;D expenses</t>
  </si>
  <si>
    <t>Service costs</t>
  </si>
  <si>
    <t>EBIT</t>
  </si>
  <si>
    <t>Financial income</t>
  </si>
  <si>
    <t>Financial expenses</t>
  </si>
  <si>
    <t>Gain(loss) from equity method valuation</t>
  </si>
  <si>
    <t>Other non-operating income</t>
  </si>
  <si>
    <t>Other non-operating expenses</t>
  </si>
  <si>
    <t>EBT</t>
  </si>
  <si>
    <t>Income tax expense</t>
  </si>
  <si>
    <t>Profit from continuing operations</t>
  </si>
  <si>
    <t>Profit(loss) from discontinued operations</t>
  </si>
  <si>
    <t>Profit</t>
  </si>
  <si>
    <t>KPIs</t>
  </si>
  <si>
    <t>Net Sales % y-o-y</t>
  </si>
  <si>
    <t>Overall GP%</t>
  </si>
  <si>
    <t>GP% y-o-y</t>
  </si>
  <si>
    <t>EBIT %</t>
  </si>
  <si>
    <t>Profit %</t>
  </si>
  <si>
    <t>ROA</t>
  </si>
  <si>
    <t>ROE</t>
  </si>
  <si>
    <t>P &amp; L Input</t>
  </si>
  <si>
    <t>(in millions of Korean won)</t>
  </si>
  <si>
    <t>Cash and cash equivalents</t>
  </si>
  <si>
    <t>Financial deposits</t>
  </si>
  <si>
    <t>Trade receivables</t>
  </si>
  <si>
    <t>Loans and other receivables</t>
  </si>
  <si>
    <t>Other financial assets</t>
  </si>
  <si>
    <t>Inventories</t>
  </si>
  <si>
    <t>Current income tax assets</t>
  </si>
  <si>
    <t>Contract assets</t>
  </si>
  <si>
    <t>Other current assets</t>
  </si>
  <si>
    <t>Assets held for sale</t>
  </si>
  <si>
    <t>Total current assets</t>
  </si>
  <si>
    <t>PP&amp;E</t>
  </si>
  <si>
    <t>Intangible assets</t>
  </si>
  <si>
    <t>Deferred income tax assets</t>
  </si>
  <si>
    <t>Investments in associates and joint ventures</t>
  </si>
  <si>
    <t>Investment property</t>
  </si>
  <si>
    <t>Net defined benefit assets</t>
  </si>
  <si>
    <t>Other non-current assets</t>
  </si>
  <si>
    <t>Total assetss</t>
  </si>
  <si>
    <t>Trade payables</t>
  </si>
  <si>
    <t>Borrowings</t>
  </si>
  <si>
    <t>Other payables</t>
  </si>
  <si>
    <t>Other Financial liabilities</t>
  </si>
  <si>
    <t>Current income tax liabilities</t>
  </si>
  <si>
    <t>Provisions</t>
  </si>
  <si>
    <t>Contract liabilities</t>
  </si>
  <si>
    <t>Other current liabilities</t>
  </si>
  <si>
    <t>Total current liabilities</t>
  </si>
  <si>
    <t>Other financial liabilities</t>
  </si>
  <si>
    <t>Deferred income tax liabilities</t>
  </si>
  <si>
    <t>Net defined benefit liabilities</t>
  </si>
  <si>
    <t>Other non-current liabilities</t>
  </si>
  <si>
    <t>Total Liabilities</t>
  </si>
  <si>
    <t>Paid-in capital: capital stock</t>
  </si>
  <si>
    <t>Paid-in capital: share premium</t>
  </si>
  <si>
    <t>Retained earnings</t>
  </si>
  <si>
    <t>Accumulated other comprehensive loss</t>
  </si>
  <si>
    <t>Other components of equity</t>
  </si>
  <si>
    <t>Total stockholders' equity</t>
  </si>
  <si>
    <t>Non-controlling interests</t>
  </si>
  <si>
    <t>Total equity</t>
  </si>
  <si>
    <t>Total Liabilities and equity</t>
  </si>
  <si>
    <t>Liquidity ratios</t>
  </si>
  <si>
    <t>Quick ratio</t>
  </si>
  <si>
    <t>Current ratio</t>
  </si>
  <si>
    <t>DSO</t>
  </si>
  <si>
    <t>DIO</t>
  </si>
  <si>
    <t>DPO</t>
  </si>
  <si>
    <t>Net Trading Cycle</t>
  </si>
  <si>
    <r>
      <t xml:space="preserve"> </t>
    </r>
    <r>
      <rPr>
        <b/>
        <sz val="9"/>
        <color theme="1"/>
        <rFont val="Arial"/>
      </rPr>
      <t>Solvency Ratios</t>
    </r>
  </si>
  <si>
    <t>Debt ratio</t>
  </si>
  <si>
    <t>Interest coverage</t>
  </si>
  <si>
    <t>&lt;0</t>
  </si>
  <si>
    <t>Balance Sheet Input</t>
  </si>
  <si>
    <t>Workings --&gt;</t>
  </si>
  <si>
    <t xml:space="preserve"> LG Divisional Net Sales</t>
  </si>
  <si>
    <t>Operating Segment</t>
  </si>
  <si>
    <t>2019 Fcst</t>
  </si>
  <si>
    <t>2020 Fcst</t>
  </si>
  <si>
    <t>2021 Fcst</t>
  </si>
  <si>
    <t>2022 Fcst</t>
  </si>
  <si>
    <t>2023 Fcst</t>
  </si>
  <si>
    <t>2024 Fcst</t>
  </si>
  <si>
    <t>2025 Fcst</t>
  </si>
  <si>
    <t>2026 Fcst</t>
  </si>
  <si>
    <t>2027 Fcst</t>
  </si>
  <si>
    <t>2028 Fcst</t>
  </si>
  <si>
    <t>Home Applaince &amp; Air Solution (H&amp;A)</t>
  </si>
  <si>
    <t>Home Entertainment (HE)</t>
  </si>
  <si>
    <t>Mobile Communications (MC)</t>
  </si>
  <si>
    <t>Vehicle Components (VC)</t>
  </si>
  <si>
    <t>Business-to-Business (B2B)</t>
  </si>
  <si>
    <t>LG Innotek Co. (Innotek)</t>
  </si>
  <si>
    <t>Other</t>
  </si>
  <si>
    <t>Intersegment transactions</t>
  </si>
  <si>
    <t>Total</t>
  </si>
  <si>
    <t>Selected Case</t>
  </si>
  <si>
    <t>Best Case</t>
  </si>
  <si>
    <t>Base Case</t>
  </si>
  <si>
    <t>Worst Case</t>
  </si>
  <si>
    <t>% Total</t>
  </si>
  <si>
    <t>Check</t>
  </si>
  <si>
    <t>Sales Revenue by Division</t>
  </si>
  <si>
    <t>LG Net Sales Development</t>
  </si>
  <si>
    <t>Sales Revenue Comparables</t>
  </si>
  <si>
    <t>Comparables</t>
  </si>
  <si>
    <t>2018 Net Revenue (in millions krw)</t>
  </si>
  <si>
    <t>Vizio</t>
  </si>
  <si>
    <t xml:space="preserve">Sony </t>
  </si>
  <si>
    <t>Philips</t>
  </si>
  <si>
    <t>Adara Power</t>
  </si>
  <si>
    <t>Enphase</t>
  </si>
  <si>
    <t>Samsung</t>
  </si>
  <si>
    <t>Microsoft</t>
  </si>
  <si>
    <t>Electrolux</t>
  </si>
  <si>
    <t>AEG</t>
  </si>
  <si>
    <t>HTC</t>
  </si>
  <si>
    <t>Average</t>
  </si>
  <si>
    <t>Cost/Revenue</t>
  </si>
  <si>
    <t>GP % 2018</t>
  </si>
  <si>
    <t>Comparable to</t>
  </si>
  <si>
    <t>GP %       Comp. 1</t>
  </si>
  <si>
    <t>GP %            Comp. 2</t>
  </si>
  <si>
    <t>AEG, Electrolux</t>
  </si>
  <si>
    <t>Sony, Philips</t>
  </si>
  <si>
    <t>Samsung, HTC,</t>
  </si>
  <si>
    <t>F-Tech, Kautex Textron GmbH &amp; Co.</t>
  </si>
  <si>
    <t>Terraform, Enphase</t>
  </si>
  <si>
    <t>LG GP%</t>
  </si>
  <si>
    <t>Gross Profit</t>
  </si>
  <si>
    <t xml:space="preserve"> LG Divisional GP</t>
  </si>
  <si>
    <t>2018 Opex (in millions krw)</t>
  </si>
  <si>
    <t>% of revenues</t>
  </si>
  <si>
    <t>Adj. % of revenues</t>
  </si>
  <si>
    <t>Opex Comparables</t>
  </si>
  <si>
    <t>Expenses by Nature (in mln $)</t>
  </si>
  <si>
    <t>($ in million)</t>
  </si>
  <si>
    <t>2014
Act</t>
  </si>
  <si>
    <t>2015
Act</t>
  </si>
  <si>
    <t>2016
Act</t>
  </si>
  <si>
    <t>2017
Act</t>
  </si>
  <si>
    <t>2018
Act</t>
  </si>
  <si>
    <t>Revenues</t>
  </si>
  <si>
    <t>Expenses as a % of revenues</t>
  </si>
  <si>
    <t>Expenses by Nature</t>
  </si>
  <si>
    <t>Expenses by Nature (recorded Opex)</t>
  </si>
  <si>
    <t>(in millions of krw)</t>
  </si>
  <si>
    <t>Changes in finished goods</t>
  </si>
  <si>
    <t>Raw materials and merchandise used</t>
  </si>
  <si>
    <t>Employee benefits</t>
  </si>
  <si>
    <t>D&amp;A</t>
  </si>
  <si>
    <t>Advertising expense</t>
  </si>
  <si>
    <t>Promotional expense</t>
  </si>
  <si>
    <t>Freight expense</t>
  </si>
  <si>
    <t>Commission expense</t>
  </si>
  <si>
    <t>Opex as a % of revenue</t>
  </si>
  <si>
    <t>Opex %</t>
  </si>
  <si>
    <t>Best case</t>
  </si>
  <si>
    <t>Base case</t>
  </si>
  <si>
    <t>Worst case</t>
  </si>
  <si>
    <t>Expense (% total)</t>
  </si>
  <si>
    <t>average</t>
  </si>
  <si>
    <t>Total EN %</t>
  </si>
  <si>
    <t>2014 seems to be the only viable year based on financials</t>
  </si>
  <si>
    <t>Simplified General Opex (included in P&amp;L)</t>
  </si>
  <si>
    <t>(in mln krw)</t>
  </si>
  <si>
    <t>Total Opex</t>
  </si>
  <si>
    <t>General Opex (included in income statement)</t>
  </si>
  <si>
    <t>Salaries</t>
  </si>
  <si>
    <t>Post-employment benefits</t>
  </si>
  <si>
    <t>Employee welfare benefits</t>
  </si>
  <si>
    <t>Rental expense</t>
  </si>
  <si>
    <t>Depreciation</t>
  </si>
  <si>
    <t>Amortization</t>
  </si>
  <si>
    <t>Taxes and dues</t>
  </si>
  <si>
    <t>R&amp;D expense</t>
  </si>
  <si>
    <t>Direct service costs</t>
  </si>
  <si>
    <t>Bad debts expense</t>
  </si>
  <si>
    <t>Opex as % of revenue</t>
  </si>
  <si>
    <t>(in % total)</t>
  </si>
  <si>
    <t>avg.</t>
  </si>
  <si>
    <t>General Opex</t>
  </si>
  <si>
    <t>PP&amp;E --&gt;</t>
  </si>
  <si>
    <t>Balance Sheet --&gt;</t>
  </si>
  <si>
    <t>Property, Plant, &amp; Equipment</t>
  </si>
  <si>
    <t>(in mln. krw)</t>
  </si>
  <si>
    <t>31Dec2014
Act</t>
  </si>
  <si>
    <t>31Dec2015
Act</t>
  </si>
  <si>
    <t>31Dec2016
Act</t>
  </si>
  <si>
    <t>31Dec2017
Act</t>
  </si>
  <si>
    <t>31Dec2018
Act</t>
  </si>
  <si>
    <t>Beginning PP&amp;E</t>
  </si>
  <si>
    <t>Capex</t>
  </si>
  <si>
    <t>Ending PP&amp;E</t>
  </si>
  <si>
    <t>LG D&amp;A (in mln krw)</t>
  </si>
  <si>
    <t>2019
Fcst</t>
  </si>
  <si>
    <t>2020
Fcst</t>
  </si>
  <si>
    <t>2021
Fcst</t>
  </si>
  <si>
    <t>2022
Fcst</t>
  </si>
  <si>
    <t>2023
Fcst</t>
  </si>
  <si>
    <t>2024
Fcst</t>
  </si>
  <si>
    <t>2025
Fcst</t>
  </si>
  <si>
    <t>2026
Fcst</t>
  </si>
  <si>
    <t>2027
Fcst</t>
  </si>
  <si>
    <t>2028
Fcst</t>
  </si>
  <si>
    <t>2024Fcst</t>
  </si>
  <si>
    <t>2025Fcst</t>
  </si>
  <si>
    <t>2026Fcst</t>
  </si>
  <si>
    <t>2027Fcst</t>
  </si>
  <si>
    <t>2028Fcst</t>
  </si>
  <si>
    <t>Total D&amp;A</t>
  </si>
  <si>
    <t>D&amp;A as a % of PP&amp;E</t>
  </si>
  <si>
    <t>D&amp;A as a % of revenues</t>
  </si>
  <si>
    <t>Capex as a % of PP&amp;E</t>
  </si>
  <si>
    <t>Capex as a % of revenues</t>
  </si>
  <si>
    <t>Useful life Capex</t>
  </si>
  <si>
    <t>Useful life historical assets</t>
  </si>
  <si>
    <t>PP&amp;E Comparables</t>
  </si>
  <si>
    <t>Comparables - 2018</t>
  </si>
  <si>
    <t>Adj. Average</t>
  </si>
  <si>
    <t>Working Capital--&gt;</t>
  </si>
  <si>
    <t>Net trade cycle</t>
  </si>
  <si>
    <t>Working capital</t>
  </si>
  <si>
    <t>(krw in millions)</t>
  </si>
  <si>
    <t>31Dec2019
Fcst</t>
  </si>
  <si>
    <t>31Dec2020
Fcst</t>
  </si>
  <si>
    <t>31Dec2021
Fcst</t>
  </si>
  <si>
    <t>31Dec2022
Fcst</t>
  </si>
  <si>
    <t>31Dec2023
Fcst</t>
  </si>
  <si>
    <t>31Dec2024
Fcst</t>
  </si>
  <si>
    <t>31Dec2025
Fcst</t>
  </si>
  <si>
    <t>31Dec2026
Fcst</t>
  </si>
  <si>
    <t>31Dec2027
Fcst</t>
  </si>
  <si>
    <t>31Dec2028
Fcst</t>
  </si>
  <si>
    <t>Inventory</t>
  </si>
  <si>
    <t>Selected case:</t>
  </si>
  <si>
    <t>Output--&gt;</t>
  </si>
  <si>
    <t>P&amp;L</t>
  </si>
  <si>
    <t>Cost of sales</t>
  </si>
  <si>
    <t>Operating expenses</t>
  </si>
  <si>
    <t>Taxes</t>
  </si>
  <si>
    <t>Net Income</t>
  </si>
  <si>
    <t>Constinued Operation Profit (loss)</t>
  </si>
  <si>
    <t>Discontinued Operation Profit (loss)</t>
  </si>
  <si>
    <t>Assumptions</t>
  </si>
  <si>
    <t>Cash Flow Sheet</t>
  </si>
  <si>
    <t>Working capital sheet</t>
  </si>
  <si>
    <t>Stays flat</t>
  </si>
  <si>
    <t>PP&amp;E sheet</t>
  </si>
  <si>
    <t>Financing Sheet</t>
  </si>
  <si>
    <t>NOPAT</t>
  </si>
  <si>
    <t>Add-back D&amp;A</t>
  </si>
  <si>
    <t>Gross Cash Flow</t>
  </si>
  <si>
    <t>Accounts payable</t>
  </si>
  <si>
    <t>Investments in Working Capital</t>
  </si>
  <si>
    <t>Other assets</t>
  </si>
  <si>
    <t>Other liabilties</t>
  </si>
  <si>
    <t>Unlevered Free Cash Flow</t>
  </si>
  <si>
    <t>Delta Financial liabilities</t>
  </si>
  <si>
    <t>Delta equity/Other equity movements</t>
  </si>
  <si>
    <t>Tax adjustment</t>
  </si>
  <si>
    <t>Minority interest</t>
  </si>
  <si>
    <t>Net Cash Flow</t>
  </si>
  <si>
    <t>LG Cash Flow</t>
  </si>
  <si>
    <t>Cash Flow</t>
  </si>
  <si>
    <t>Net cash flow</t>
  </si>
  <si>
    <t>Closing cash</t>
  </si>
  <si>
    <t>Opening cash</t>
  </si>
  <si>
    <t>Operating taxes (25%)</t>
  </si>
  <si>
    <t>Avg % of revenues</t>
  </si>
  <si>
    <t>Financing</t>
  </si>
  <si>
    <t>Cover negative cash flows with:</t>
  </si>
  <si>
    <t>Debt</t>
  </si>
  <si>
    <t>Bond yield (July 5, 2019)</t>
  </si>
  <si>
    <t>(in millions krw)</t>
  </si>
  <si>
    <t>LG Financing</t>
  </si>
  <si>
    <t>Long term borrowings</t>
  </si>
  <si>
    <t>Interest rate</t>
  </si>
  <si>
    <t>Equity</t>
  </si>
  <si>
    <t>Financial expense</t>
  </si>
  <si>
    <t>Short term borrowings</t>
  </si>
  <si>
    <t>Total Borrowings</t>
  </si>
  <si>
    <t>% total</t>
  </si>
  <si>
    <t>Avg.</t>
  </si>
  <si>
    <t>Financial expenses/income</t>
  </si>
  <si>
    <t>LG Unlevered Free Cash Flow</t>
  </si>
  <si>
    <t>Latest</t>
  </si>
  <si>
    <t>*using average because it did not fit historical data for LG</t>
  </si>
  <si>
    <t>*using latest because historical data shows drop in short term borrowings</t>
  </si>
  <si>
    <t>Interest expenses (Financial Expenses)</t>
  </si>
  <si>
    <t>ST-Debt</t>
  </si>
  <si>
    <t>LT-Debt</t>
  </si>
  <si>
    <t>Minority interest (used as correction) % avg</t>
  </si>
  <si>
    <t>Financing --&gt;</t>
  </si>
  <si>
    <t>Correction term for difference in balance, long term contracts can increase</t>
  </si>
  <si>
    <t>WACC</t>
  </si>
  <si>
    <t>Risk-free rate</t>
  </si>
  <si>
    <t>Market Risk premium</t>
  </si>
  <si>
    <t>Beta</t>
  </si>
  <si>
    <t>Tax rate</t>
  </si>
  <si>
    <t>Cost of equity</t>
  </si>
  <si>
    <t>Current bond Yield</t>
  </si>
  <si>
    <t>in mln of krw</t>
  </si>
  <si>
    <t>LG WACC calculation (in mln krw)</t>
  </si>
  <si>
    <t>Debt / (Debt + Equity)</t>
  </si>
  <si>
    <t>Equity / (Debt + Equity)</t>
  </si>
  <si>
    <t>Cost of debt</t>
  </si>
  <si>
    <t>Korean Market risk Premium</t>
  </si>
  <si>
    <t>DCF Valuation</t>
  </si>
  <si>
    <t>g (Perpetuity growth)</t>
  </si>
  <si>
    <t>(krw in million)</t>
  </si>
  <si>
    <t>Continuing value</t>
  </si>
  <si>
    <t>Discount factor (WACC)</t>
  </si>
  <si>
    <t>Present value of UFCF</t>
  </si>
  <si>
    <t>Present value of CV</t>
  </si>
  <si>
    <t>Total PV of Cash Flows</t>
  </si>
  <si>
    <t>Continuing Value</t>
  </si>
  <si>
    <t>PV of Continuing Value</t>
  </si>
  <si>
    <t>Enterprise Value</t>
  </si>
  <si>
    <t>Number of shares outstanding</t>
  </si>
  <si>
    <t>Price per share</t>
  </si>
  <si>
    <t>Perpetuity Growth Rate-Based Valuation</t>
  </si>
  <si>
    <t>+Cash</t>
  </si>
  <si>
    <t>-Financial Liabilities</t>
  </si>
  <si>
    <t>Equity Value</t>
  </si>
  <si>
    <t>Operating Expenses --&gt;</t>
  </si>
  <si>
    <t>Income Statement Items --&gt;</t>
  </si>
  <si>
    <t>Input --&gt;</t>
  </si>
  <si>
    <t>Working Capittal development (2019-2028)</t>
  </si>
  <si>
    <t>Cost of sales (krw in mlns)</t>
  </si>
  <si>
    <t>Comparables: 2018</t>
  </si>
  <si>
    <t>(krw in mln)</t>
  </si>
  <si>
    <t>Working capital comparables</t>
  </si>
  <si>
    <t>Balance Sheet</t>
  </si>
  <si>
    <t xml:space="preserve">Using Regression </t>
  </si>
  <si>
    <t>2018 - 2028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</si>
</sst>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#,##0.00;[Red]#,##0.00"/>
    <numFmt numFmtId="166" formatCode="_-* #,##0_-;\-* #,##0_-;_-* &quot;-&quot;??_-;_-@_-"/>
    <numFmt numFmtId="167" formatCode="#,##0;[Red]#,##0"/>
    <numFmt numFmtId="168" formatCode="_(* #,##0_);_(* \(#,##0\);_(* &quot;-&quot;??_);_(@_)"/>
    <numFmt numFmtId="169" formatCode="_(* #,##0_);_(* \(#,##0\);_(* &quot;-&quot;?_);@_)"/>
    <numFmt numFmtId="170" formatCode="_(* #,##0.0_);_(* \(#,##0.0\);_(* &quot;-&quot;??_);_(@_)"/>
    <numFmt numFmtId="171" formatCode="_(* #,##0.00_);_(* \(#,##0.00\);_(* &quot;-&quot;??_);_(@_)"/>
    <numFmt numFmtId="172" formatCode="#,##0_);\(#,##0\)"/>
    <numFmt numFmtId="173" formatCode="_(* #,##0.0_);_(* \(#,##0.0\);_(* &quot;-&quot;?_);@_l"/>
    <numFmt numFmtId="174" formatCode="_(* #,##0.0_);_(* \(#,##0.0\);_(* &quot;-&quot;?_);@_)"/>
  </numFmts>
  <fonts count="3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0"/>
      <color theme="1"/>
      <name val="Arial"/>
    </font>
    <font>
      <b/>
      <sz val="40"/>
      <color theme="1"/>
      <name val="Calibri"/>
      <scheme val="minor"/>
    </font>
    <font>
      <b/>
      <sz val="9"/>
      <color theme="3"/>
      <name val="Arial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40"/>
      <color theme="3"/>
      <name val="Aial"/>
    </font>
    <font>
      <sz val="9"/>
      <color theme="1"/>
      <name val="Arial"/>
    </font>
    <font>
      <sz val="9"/>
      <color theme="3"/>
      <name val="Arial"/>
    </font>
    <font>
      <b/>
      <sz val="9"/>
      <color theme="1"/>
      <name val="Arial"/>
    </font>
    <font>
      <b/>
      <sz val="40"/>
      <color theme="3"/>
      <name val="Arial"/>
    </font>
    <font>
      <b/>
      <sz val="9"/>
      <color theme="0"/>
      <name val="Arial"/>
    </font>
    <font>
      <b/>
      <sz val="12"/>
      <color theme="3"/>
      <name val="Arial"/>
    </font>
    <font>
      <b/>
      <sz val="12"/>
      <color theme="1"/>
      <name val="Calibri"/>
      <family val="2"/>
      <scheme val="minor"/>
    </font>
    <font>
      <sz val="12"/>
      <color rgb="FF424242"/>
      <name val="Arial"/>
    </font>
    <font>
      <sz val="9"/>
      <color rgb="FF000000"/>
      <name val="Arial"/>
    </font>
    <font>
      <b/>
      <sz val="9"/>
      <color theme="1"/>
      <name val="Calibri"/>
      <family val="2"/>
      <scheme val="minor"/>
    </font>
    <font>
      <sz val="12"/>
      <color theme="1"/>
      <name val="Arial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i/>
      <sz val="9"/>
      <name val="Arial"/>
    </font>
    <font>
      <i/>
      <sz val="9"/>
      <color theme="1"/>
      <name val="Arial"/>
    </font>
    <font>
      <sz val="12"/>
      <color theme="0"/>
      <name val="Calibri"/>
      <family val="2"/>
      <scheme val="minor"/>
    </font>
    <font>
      <sz val="9"/>
      <color theme="0"/>
      <name val="Arial"/>
    </font>
    <font>
      <sz val="9"/>
      <color rgb="FF0070C0"/>
      <name val="Arial"/>
      <family val="2"/>
      <charset val="204"/>
    </font>
    <font>
      <sz val="9"/>
      <color theme="4" tint="-0.249977111117893"/>
      <name val="Arial"/>
      <family val="2"/>
      <charset val="204"/>
    </font>
    <font>
      <sz val="8"/>
      <name val="Arial"/>
      <family val="2"/>
      <charset val="204"/>
    </font>
    <font>
      <u/>
      <sz val="9"/>
      <color theme="1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40"/>
      <color theme="1"/>
      <name val="Arial"/>
    </font>
    <font>
      <sz val="8"/>
      <name val="Calibri"/>
      <family val="2"/>
      <scheme val="minor"/>
    </font>
    <font>
      <b/>
      <sz val="12"/>
      <color rgb="FF002060"/>
      <name val="Calibri"/>
      <scheme val="minor"/>
    </font>
    <font>
      <b/>
      <sz val="12"/>
      <color theme="1"/>
      <name val="Arial"/>
    </font>
    <font>
      <b/>
      <sz val="12"/>
      <color theme="3"/>
      <name val="Calibri"/>
      <scheme val="minor"/>
    </font>
    <font>
      <sz val="4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lightGray">
        <bgColor theme="0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10" fontId="5" fillId="0" borderId="0" xfId="0" applyNumberFormat="1" applyFont="1"/>
    <xf numFmtId="3" fontId="5" fillId="0" borderId="0" xfId="0" applyNumberFormat="1" applyFont="1"/>
    <xf numFmtId="9" fontId="5" fillId="0" borderId="0" xfId="0" applyNumberFormat="1" applyFont="1"/>
    <xf numFmtId="0" fontId="7" fillId="0" borderId="0" xfId="0" applyFont="1"/>
    <xf numFmtId="0" fontId="8" fillId="0" borderId="0" xfId="0" applyFont="1"/>
    <xf numFmtId="0" fontId="4" fillId="0" borderId="1" xfId="0" applyFont="1" applyBorder="1"/>
    <xf numFmtId="0" fontId="9" fillId="0" borderId="1" xfId="0" applyFont="1" applyBorder="1"/>
    <xf numFmtId="0" fontId="4" fillId="0" borderId="1" xfId="0" applyFont="1" applyBorder="1" applyAlignment="1">
      <alignment horizontal="right"/>
    </xf>
    <xf numFmtId="3" fontId="8" fillId="0" borderId="0" xfId="0" applyNumberFormat="1" applyFont="1"/>
    <xf numFmtId="0" fontId="8" fillId="0" borderId="2" xfId="0" applyFont="1" applyBorder="1"/>
    <xf numFmtId="3" fontId="8" fillId="0" borderId="2" xfId="0" applyNumberFormat="1" applyFont="1" applyBorder="1"/>
    <xf numFmtId="0" fontId="4" fillId="0" borderId="0" xfId="0" applyFont="1" applyFill="1" applyBorder="1"/>
    <xf numFmtId="3" fontId="10" fillId="0" borderId="0" xfId="0" applyNumberFormat="1" applyFont="1"/>
    <xf numFmtId="0" fontId="8" fillId="0" borderId="0" xfId="0" applyFont="1" applyFill="1" applyBorder="1"/>
    <xf numFmtId="0" fontId="8" fillId="0" borderId="2" xfId="0" applyFont="1" applyFill="1" applyBorder="1"/>
    <xf numFmtId="0" fontId="4" fillId="0" borderId="3" xfId="0" applyFont="1" applyFill="1" applyBorder="1"/>
    <xf numFmtId="0" fontId="8" fillId="0" borderId="3" xfId="0" applyFont="1" applyBorder="1"/>
    <xf numFmtId="3" fontId="10" fillId="0" borderId="3" xfId="0" applyNumberFormat="1" applyFont="1" applyBorder="1"/>
    <xf numFmtId="0" fontId="8" fillId="3" borderId="0" xfId="0" applyFont="1" applyFill="1" applyBorder="1"/>
    <xf numFmtId="0" fontId="8" fillId="3" borderId="0" xfId="0" applyFont="1" applyFill="1"/>
    <xf numFmtId="164" fontId="8" fillId="3" borderId="0" xfId="3" applyNumberFormat="1" applyFont="1" applyFill="1"/>
    <xf numFmtId="164" fontId="8" fillId="3" borderId="0" xfId="3" applyNumberFormat="1" applyFont="1" applyFill="1" applyBorder="1"/>
    <xf numFmtId="15" fontId="4" fillId="0" borderId="1" xfId="0" applyNumberFormat="1" applyFont="1" applyBorder="1"/>
    <xf numFmtId="0" fontId="4" fillId="0" borderId="3" xfId="0" applyFont="1" applyBorder="1"/>
    <xf numFmtId="0" fontId="9" fillId="0" borderId="0" xfId="0" applyFont="1"/>
    <xf numFmtId="3" fontId="8" fillId="0" borderId="0" xfId="0" applyNumberFormat="1" applyFont="1" applyBorder="1"/>
    <xf numFmtId="0" fontId="8" fillId="0" borderId="1" xfId="0" applyFont="1" applyFill="1" applyBorder="1"/>
    <xf numFmtId="3" fontId="8" fillId="0" borderId="1" xfId="0" applyNumberFormat="1" applyFont="1" applyBorder="1"/>
    <xf numFmtId="0" fontId="10" fillId="0" borderId="3" xfId="0" applyFont="1" applyBorder="1"/>
    <xf numFmtId="0" fontId="4" fillId="0" borderId="4" xfId="0" applyFont="1" applyBorder="1"/>
    <xf numFmtId="3" fontId="10" fillId="0" borderId="4" xfId="0" applyNumberFormat="1" applyFont="1" applyBorder="1"/>
    <xf numFmtId="0" fontId="8" fillId="4" borderId="0" xfId="0" applyFont="1" applyFill="1" applyBorder="1"/>
    <xf numFmtId="0" fontId="8" fillId="4" borderId="0" xfId="0" applyFont="1" applyFill="1"/>
    <xf numFmtId="0" fontId="10" fillId="4" borderId="0" xfId="0" applyFont="1" applyFill="1"/>
    <xf numFmtId="2" fontId="8" fillId="4" borderId="0" xfId="3" applyNumberFormat="1" applyFont="1" applyFill="1"/>
    <xf numFmtId="2" fontId="8" fillId="4" borderId="0" xfId="0" applyNumberFormat="1" applyFont="1" applyFill="1"/>
    <xf numFmtId="0" fontId="8" fillId="4" borderId="0" xfId="0" applyFont="1" applyFill="1" applyAlignment="1">
      <alignment horizontal="right"/>
    </xf>
    <xf numFmtId="2" fontId="8" fillId="4" borderId="0" xfId="0" applyNumberFormat="1" applyFont="1" applyFill="1" applyAlignment="1">
      <alignment horizontal="right"/>
    </xf>
    <xf numFmtId="0" fontId="11" fillId="5" borderId="0" xfId="0" applyFont="1" applyFill="1"/>
    <xf numFmtId="0" fontId="8" fillId="2" borderId="0" xfId="0" applyFont="1" applyFill="1"/>
    <xf numFmtId="0" fontId="12" fillId="2" borderId="0" xfId="0" applyFont="1" applyFill="1"/>
    <xf numFmtId="0" fontId="10" fillId="0" borderId="2" xfId="0" applyFont="1" applyBorder="1"/>
    <xf numFmtId="0" fontId="10" fillId="0" borderId="2" xfId="0" applyFont="1" applyBorder="1" applyAlignment="1">
      <alignment horizontal="right" vertical="center" wrapText="1"/>
    </xf>
    <xf numFmtId="0" fontId="10" fillId="6" borderId="2" xfId="0" applyFont="1" applyFill="1" applyBorder="1" applyAlignment="1">
      <alignment horizontal="right" vertical="center" wrapText="1"/>
    </xf>
    <xf numFmtId="3" fontId="8" fillId="6" borderId="0" xfId="0" applyNumberFormat="1" applyFont="1" applyFill="1"/>
    <xf numFmtId="0" fontId="8" fillId="0" borderId="0" xfId="0" applyFont="1" applyBorder="1"/>
    <xf numFmtId="3" fontId="8" fillId="6" borderId="0" xfId="0" applyNumberFormat="1" applyFont="1" applyFill="1" applyBorder="1"/>
    <xf numFmtId="166" fontId="8" fillId="0" borderId="3" xfId="2" applyNumberFormat="1" applyFont="1" applyBorder="1"/>
    <xf numFmtId="167" fontId="8" fillId="6" borderId="3" xfId="2" applyNumberFormat="1" applyFont="1" applyFill="1" applyBorder="1"/>
    <xf numFmtId="0" fontId="8" fillId="7" borderId="0" xfId="0" applyFont="1" applyFill="1"/>
    <xf numFmtId="166" fontId="8" fillId="7" borderId="0" xfId="1" applyNumberFormat="1" applyFont="1" applyFill="1"/>
    <xf numFmtId="0" fontId="10" fillId="7" borderId="0" xfId="0" applyFont="1" applyFill="1"/>
    <xf numFmtId="9" fontId="8" fillId="7" borderId="0" xfId="0" applyNumberFormat="1" applyFont="1" applyFill="1"/>
    <xf numFmtId="0" fontId="8" fillId="7" borderId="0" xfId="0" applyFont="1" applyFill="1" applyBorder="1"/>
    <xf numFmtId="0" fontId="0" fillId="7" borderId="0" xfId="0" applyFill="1"/>
    <xf numFmtId="165" fontId="0" fillId="7" borderId="0" xfId="1" applyNumberFormat="1" applyFont="1" applyFill="1" applyBorder="1"/>
    <xf numFmtId="166" fontId="0" fillId="7" borderId="0" xfId="2" applyNumberFormat="1" applyFont="1" applyFill="1"/>
    <xf numFmtId="9" fontId="5" fillId="7" borderId="0" xfId="0" applyNumberFormat="1" applyFont="1" applyFill="1"/>
    <xf numFmtId="167" fontId="0" fillId="7" borderId="0" xfId="0" applyNumberFormat="1" applyFill="1"/>
    <xf numFmtId="167" fontId="0" fillId="7" borderId="0" xfId="0" applyNumberFormat="1" applyFill="1" applyBorder="1"/>
    <xf numFmtId="0" fontId="0" fillId="2" borderId="0" xfId="0" applyFill="1"/>
    <xf numFmtId="164" fontId="8" fillId="0" borderId="0" xfId="3" applyNumberFormat="1" applyFont="1"/>
    <xf numFmtId="164" fontId="8" fillId="0" borderId="2" xfId="3" applyNumberFormat="1" applyFont="1" applyBorder="1"/>
    <xf numFmtId="164" fontId="8" fillId="0" borderId="0" xfId="0" applyNumberFormat="1" applyFont="1"/>
    <xf numFmtId="0" fontId="13" fillId="0" borderId="0" xfId="0" applyFont="1"/>
    <xf numFmtId="0" fontId="14" fillId="0" borderId="0" xfId="0" applyFont="1"/>
    <xf numFmtId="0" fontId="0" fillId="0" borderId="2" xfId="0" applyBorder="1"/>
    <xf numFmtId="3" fontId="15" fillId="0" borderId="0" xfId="1" applyNumberFormat="1" applyFont="1"/>
    <xf numFmtId="3" fontId="0" fillId="0" borderId="0" xfId="0" applyNumberFormat="1"/>
    <xf numFmtId="3" fontId="0" fillId="0" borderId="2" xfId="0" applyNumberFormat="1" applyBorder="1"/>
    <xf numFmtId="0" fontId="0" fillId="0" borderId="0" xfId="0" applyFill="1" applyBorder="1"/>
    <xf numFmtId="0" fontId="5" fillId="2" borderId="0" xfId="0" applyFont="1" applyFill="1"/>
    <xf numFmtId="166" fontId="8" fillId="0" borderId="0" xfId="1" applyNumberFormat="1" applyFont="1"/>
    <xf numFmtId="166" fontId="16" fillId="6" borderId="0" xfId="1" applyNumberFormat="1" applyFont="1" applyFill="1"/>
    <xf numFmtId="167" fontId="16" fillId="6" borderId="2" xfId="1" applyNumberFormat="1" applyFont="1" applyFill="1" applyBorder="1"/>
    <xf numFmtId="166" fontId="10" fillId="0" borderId="0" xfId="1" applyNumberFormat="1" applyFont="1"/>
    <xf numFmtId="166" fontId="10" fillId="6" borderId="0" xfId="1" applyNumberFormat="1" applyFont="1" applyFill="1"/>
    <xf numFmtId="164" fontId="5" fillId="0" borderId="0" xfId="3" applyNumberFormat="1" applyFont="1"/>
    <xf numFmtId="0" fontId="8" fillId="5" borderId="0" xfId="0" applyFont="1" applyFill="1" applyBorder="1"/>
    <xf numFmtId="0" fontId="12" fillId="5" borderId="0" xfId="0" applyFont="1" applyFill="1" applyBorder="1"/>
    <xf numFmtId="164" fontId="5" fillId="0" borderId="0" xfId="0" applyNumberFormat="1" applyFont="1"/>
    <xf numFmtId="0" fontId="10" fillId="5" borderId="0" xfId="0" applyFont="1" applyFill="1" applyBorder="1" applyAlignment="1">
      <alignment horizontal="right" vertical="center" wrapText="1"/>
    </xf>
    <xf numFmtId="164" fontId="8" fillId="5" borderId="0" xfId="3" applyNumberFormat="1" applyFont="1" applyFill="1" applyBorder="1"/>
    <xf numFmtId="167" fontId="8" fillId="0" borderId="2" xfId="1" applyNumberFormat="1" applyFont="1" applyBorder="1"/>
    <xf numFmtId="0" fontId="10" fillId="0" borderId="2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17" fillId="0" borderId="0" xfId="0" applyFont="1"/>
    <xf numFmtId="0" fontId="17" fillId="0" borderId="2" xfId="0" applyFont="1" applyBorder="1" applyAlignment="1">
      <alignment horizontal="center"/>
    </xf>
    <xf numFmtId="164" fontId="17" fillId="0" borderId="0" xfId="0" applyNumberFormat="1" applyFont="1"/>
    <xf numFmtId="0" fontId="10" fillId="0" borderId="0" xfId="0" applyFont="1" applyBorder="1"/>
    <xf numFmtId="164" fontId="10" fillId="8" borderId="0" xfId="3" applyNumberFormat="1" applyFont="1" applyFill="1"/>
    <xf numFmtId="0" fontId="18" fillId="0" borderId="0" xfId="0" applyFont="1"/>
    <xf numFmtId="167" fontId="8" fillId="0" borderId="0" xfId="0" applyNumberFormat="1" applyFont="1"/>
    <xf numFmtId="167" fontId="8" fillId="6" borderId="0" xfId="0" applyNumberFormat="1" applyFont="1" applyFill="1"/>
    <xf numFmtId="0" fontId="0" fillId="0" borderId="2" xfId="0" applyBorder="1" applyAlignment="1">
      <alignment horizontal="right"/>
    </xf>
    <xf numFmtId="0" fontId="0" fillId="0" borderId="2" xfId="0" applyFill="1" applyBorder="1" applyAlignment="1">
      <alignment horizontal="right"/>
    </xf>
    <xf numFmtId="164" fontId="0" fillId="0" borderId="0" xfId="3" applyNumberFormat="1" applyFont="1"/>
    <xf numFmtId="164" fontId="0" fillId="0" borderId="0" xfId="0" applyNumberFormat="1"/>
    <xf numFmtId="0" fontId="0" fillId="8" borderId="0" xfId="0" applyFill="1"/>
    <xf numFmtId="3" fontId="0" fillId="8" borderId="0" xfId="0" applyNumberFormat="1" applyFill="1"/>
    <xf numFmtId="164" fontId="0" fillId="8" borderId="0" xfId="3" applyNumberFormat="1" applyFont="1" applyFill="1"/>
    <xf numFmtId="0" fontId="0" fillId="8" borderId="2" xfId="0" applyFill="1" applyBorder="1"/>
    <xf numFmtId="3" fontId="0" fillId="8" borderId="2" xfId="0" applyNumberFormat="1" applyFill="1" applyBorder="1"/>
    <xf numFmtId="164" fontId="0" fillId="8" borderId="2" xfId="3" applyNumberFormat="1" applyFont="1" applyFill="1" applyBorder="1"/>
    <xf numFmtId="164" fontId="14" fillId="0" borderId="0" xfId="0" applyNumberFormat="1" applyFont="1"/>
    <xf numFmtId="0" fontId="19" fillId="5" borderId="0" xfId="0" applyFont="1" applyFill="1" applyAlignment="1">
      <alignment vertical="top"/>
    </xf>
    <xf numFmtId="0" fontId="20" fillId="5" borderId="2" xfId="0" applyFont="1" applyFill="1" applyBorder="1" applyAlignment="1"/>
    <xf numFmtId="0" fontId="20" fillId="5" borderId="2" xfId="0" applyFont="1" applyFill="1" applyBorder="1" applyAlignment="1">
      <alignment horizontal="right" vertical="top" wrapText="1"/>
    </xf>
    <xf numFmtId="0" fontId="20" fillId="5" borderId="0" xfId="0" applyFont="1" applyFill="1" applyBorder="1" applyAlignment="1">
      <alignment horizontal="right" vertical="top" wrapText="1"/>
    </xf>
    <xf numFmtId="0" fontId="19" fillId="5" borderId="0" xfId="0" applyFont="1" applyFill="1" applyBorder="1" applyAlignment="1">
      <alignment vertical="top"/>
    </xf>
    <xf numFmtId="168" fontId="19" fillId="5" borderId="0" xfId="1" applyNumberFormat="1" applyFont="1" applyFill="1" applyAlignment="1">
      <alignment vertical="top"/>
    </xf>
    <xf numFmtId="168" fontId="19" fillId="6" borderId="0" xfId="1" applyNumberFormat="1" applyFont="1" applyFill="1" applyAlignment="1">
      <alignment vertical="top"/>
    </xf>
    <xf numFmtId="169" fontId="19" fillId="5" borderId="0" xfId="0" applyNumberFormat="1" applyFont="1" applyFill="1" applyBorder="1" applyAlignment="1">
      <alignment horizontal="right" vertical="top"/>
    </xf>
    <xf numFmtId="164" fontId="19" fillId="5" borderId="2" xfId="3" applyNumberFormat="1" applyFont="1" applyFill="1" applyBorder="1" applyAlignment="1">
      <alignment vertical="top"/>
    </xf>
    <xf numFmtId="164" fontId="19" fillId="6" borderId="0" xfId="3" applyNumberFormat="1" applyFont="1" applyFill="1" applyAlignment="1">
      <alignment vertical="top"/>
    </xf>
    <xf numFmtId="164" fontId="19" fillId="5" borderId="0" xfId="3" applyNumberFormat="1" applyFont="1" applyFill="1" applyBorder="1" applyAlignment="1">
      <alignment vertical="top"/>
    </xf>
    <xf numFmtId="169" fontId="20" fillId="5" borderId="5" xfId="0" applyNumberFormat="1" applyFont="1" applyFill="1" applyBorder="1" applyAlignment="1">
      <alignment vertical="top"/>
    </xf>
    <xf numFmtId="3" fontId="8" fillId="0" borderId="0" xfId="0" applyNumberFormat="1" applyFont="1" applyAlignment="1">
      <alignment horizontal="right"/>
    </xf>
    <xf numFmtId="169" fontId="19" fillId="6" borderId="5" xfId="0" applyNumberFormat="1" applyFont="1" applyFill="1" applyBorder="1" applyAlignment="1">
      <alignment horizontal="right"/>
    </xf>
    <xf numFmtId="169" fontId="20" fillId="5" borderId="0" xfId="0" applyNumberFormat="1" applyFont="1" applyFill="1" applyBorder="1" applyAlignment="1">
      <alignment horizontal="right" vertical="top"/>
    </xf>
    <xf numFmtId="0" fontId="4" fillId="0" borderId="0" xfId="0" applyFont="1" applyBorder="1"/>
    <xf numFmtId="0" fontId="16" fillId="0" borderId="0" xfId="0" applyFont="1"/>
    <xf numFmtId="167" fontId="8" fillId="0" borderId="0" xfId="0" applyNumberFormat="1" applyFont="1" applyAlignment="1">
      <alignment horizontal="right" wrapText="1"/>
    </xf>
    <xf numFmtId="167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 wrapText="1"/>
    </xf>
    <xf numFmtId="0" fontId="16" fillId="0" borderId="2" xfId="0" applyFont="1" applyBorder="1"/>
    <xf numFmtId="3" fontId="8" fillId="0" borderId="2" xfId="0" applyNumberFormat="1" applyFont="1" applyBorder="1" applyAlignment="1">
      <alignment horizontal="right"/>
    </xf>
    <xf numFmtId="3" fontId="16" fillId="0" borderId="2" xfId="0" applyNumberFormat="1" applyFont="1" applyBorder="1" applyAlignment="1">
      <alignment horizontal="right"/>
    </xf>
    <xf numFmtId="9" fontId="19" fillId="4" borderId="0" xfId="3" applyFont="1" applyFill="1" applyAlignment="1">
      <alignment vertical="top"/>
    </xf>
    <xf numFmtId="0" fontId="10" fillId="3" borderId="2" xfId="0" applyFont="1" applyFill="1" applyBorder="1" applyAlignment="1">
      <alignment horizontal="right" vertical="center" wrapText="1"/>
    </xf>
    <xf numFmtId="0" fontId="10" fillId="0" borderId="2" xfId="0" applyFont="1" applyBorder="1" applyAlignment="1">
      <alignment horizontal="right"/>
    </xf>
    <xf numFmtId="164" fontId="8" fillId="3" borderId="0" xfId="3" applyNumberFormat="1" applyFont="1" applyFill="1" applyAlignment="1">
      <alignment horizontal="right" wrapText="1"/>
    </xf>
    <xf numFmtId="164" fontId="8" fillId="0" borderId="0" xfId="3" applyNumberFormat="1" applyFont="1" applyAlignment="1">
      <alignment horizontal="right" wrapText="1"/>
    </xf>
    <xf numFmtId="164" fontId="8" fillId="0" borderId="0" xfId="0" applyNumberFormat="1" applyFont="1" applyBorder="1"/>
    <xf numFmtId="164" fontId="8" fillId="3" borderId="2" xfId="3" applyNumberFormat="1" applyFont="1" applyFill="1" applyBorder="1" applyAlignment="1">
      <alignment horizontal="right" wrapText="1"/>
    </xf>
    <xf numFmtId="164" fontId="8" fillId="0" borderId="2" xfId="3" applyNumberFormat="1" applyFont="1" applyBorder="1" applyAlignment="1">
      <alignment horizontal="right" wrapText="1"/>
    </xf>
    <xf numFmtId="164" fontId="8" fillId="0" borderId="2" xfId="0" applyNumberFormat="1" applyFont="1" applyBorder="1"/>
    <xf numFmtId="164" fontId="8" fillId="3" borderId="0" xfId="3" applyNumberFormat="1" applyFont="1" applyFill="1" applyAlignment="1">
      <alignment horizontal="right"/>
    </xf>
    <xf numFmtId="164" fontId="8" fillId="0" borderId="0" xfId="3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43" fontId="8" fillId="6" borderId="0" xfId="0" applyNumberFormat="1" applyFont="1" applyFill="1"/>
    <xf numFmtId="43" fontId="8" fillId="6" borderId="2" xfId="0" applyNumberFormat="1" applyFont="1" applyFill="1" applyBorder="1"/>
    <xf numFmtId="9" fontId="8" fillId="0" borderId="0" xfId="3" applyFont="1"/>
    <xf numFmtId="9" fontId="19" fillId="5" borderId="0" xfId="3" applyFont="1" applyFill="1" applyAlignment="1">
      <alignment horizontal="right" vertical="top"/>
    </xf>
    <xf numFmtId="9" fontId="19" fillId="5" borderId="0" xfId="0" applyNumberFormat="1" applyFont="1" applyFill="1" applyAlignment="1">
      <alignment vertical="top"/>
    </xf>
    <xf numFmtId="0" fontId="21" fillId="4" borderId="0" xfId="0" applyFont="1" applyFill="1" applyAlignment="1">
      <alignment vertical="top"/>
    </xf>
    <xf numFmtId="0" fontId="19" fillId="4" borderId="0" xfId="0" applyFont="1" applyFill="1" applyAlignment="1">
      <alignment vertical="top"/>
    </xf>
    <xf numFmtId="9" fontId="19" fillId="4" borderId="0" xfId="3" applyFont="1" applyFill="1" applyAlignment="1">
      <alignment horizontal="right" vertical="top"/>
    </xf>
    <xf numFmtId="0" fontId="19" fillId="4" borderId="0" xfId="0" applyFont="1" applyFill="1" applyAlignment="1">
      <alignment horizontal="right" vertical="top"/>
    </xf>
    <xf numFmtId="9" fontId="19" fillId="4" borderId="0" xfId="0" applyNumberFormat="1" applyFont="1" applyFill="1" applyAlignment="1">
      <alignment vertical="top"/>
    </xf>
    <xf numFmtId="0" fontId="20" fillId="4" borderId="0" xfId="0" applyFont="1" applyFill="1" applyAlignment="1">
      <alignment vertical="top"/>
    </xf>
    <xf numFmtId="9" fontId="19" fillId="4" borderId="0" xfId="3" applyNumberFormat="1" applyFont="1" applyFill="1" applyAlignment="1">
      <alignment horizontal="right" vertical="top"/>
    </xf>
    <xf numFmtId="0" fontId="9" fillId="2" borderId="0" xfId="0" applyFont="1" applyFill="1"/>
    <xf numFmtId="0" fontId="10" fillId="0" borderId="0" xfId="0" applyFont="1"/>
    <xf numFmtId="3" fontId="8" fillId="6" borderId="2" xfId="0" applyNumberFormat="1" applyFont="1" applyFill="1" applyBorder="1"/>
    <xf numFmtId="3" fontId="10" fillId="0" borderId="0" xfId="0" applyNumberFormat="1" applyFont="1" applyBorder="1"/>
    <xf numFmtId="3" fontId="10" fillId="6" borderId="0" xfId="0" applyNumberFormat="1" applyFont="1" applyFill="1" applyBorder="1"/>
    <xf numFmtId="167" fontId="8" fillId="0" borderId="2" xfId="0" applyNumberFormat="1" applyFont="1" applyBorder="1"/>
    <xf numFmtId="3" fontId="10" fillId="0" borderId="0" xfId="0" applyNumberFormat="1" applyFont="1" applyAlignment="1">
      <alignment horizontal="right"/>
    </xf>
    <xf numFmtId="167" fontId="10" fillId="0" borderId="0" xfId="1" applyNumberFormat="1" applyFont="1"/>
    <xf numFmtId="0" fontId="22" fillId="0" borderId="0" xfId="0" applyFont="1"/>
    <xf numFmtId="164" fontId="8" fillId="4" borderId="0" xfId="3" applyNumberFormat="1" applyFont="1" applyFill="1" applyAlignment="1">
      <alignment horizontal="right" vertical="top"/>
    </xf>
    <xf numFmtId="164" fontId="19" fillId="4" borderId="0" xfId="3" applyNumberFormat="1" applyFont="1" applyFill="1" applyAlignment="1">
      <alignment horizontal="right" vertical="top"/>
    </xf>
    <xf numFmtId="164" fontId="10" fillId="3" borderId="0" xfId="0" applyNumberFormat="1" applyFont="1" applyFill="1"/>
    <xf numFmtId="164" fontId="8" fillId="0" borderId="2" xfId="3" applyNumberFormat="1" applyFont="1" applyBorder="1" applyAlignment="1">
      <alignment horizontal="right"/>
    </xf>
    <xf numFmtId="164" fontId="10" fillId="3" borderId="0" xfId="0" applyNumberFormat="1" applyFont="1" applyFill="1" applyBorder="1"/>
    <xf numFmtId="9" fontId="10" fillId="0" borderId="0" xfId="3" applyFont="1" applyAlignment="1">
      <alignment horizontal="right"/>
    </xf>
    <xf numFmtId="9" fontId="8" fillId="0" borderId="0" xfId="3" applyFont="1" applyAlignment="1">
      <alignment horizontal="right"/>
    </xf>
    <xf numFmtId="164" fontId="10" fillId="0" borderId="0" xfId="3" applyNumberFormat="1" applyFont="1" applyBorder="1"/>
    <xf numFmtId="0" fontId="11" fillId="0" borderId="0" xfId="0" applyFont="1"/>
    <xf numFmtId="168" fontId="8" fillId="0" borderId="0" xfId="0" applyNumberFormat="1" applyFont="1"/>
    <xf numFmtId="0" fontId="24" fillId="2" borderId="0" xfId="0" applyFont="1" applyFill="1"/>
    <xf numFmtId="0" fontId="23" fillId="2" borderId="0" xfId="0" applyFont="1" applyFill="1"/>
    <xf numFmtId="0" fontId="8" fillId="5" borderId="0" xfId="0" applyFont="1" applyFill="1" applyAlignment="1"/>
    <xf numFmtId="168" fontId="25" fillId="5" borderId="0" xfId="1" applyNumberFormat="1" applyFont="1" applyFill="1" applyAlignment="1"/>
    <xf numFmtId="168" fontId="26" fillId="5" borderId="0" xfId="1" applyNumberFormat="1" applyFont="1" applyFill="1" applyAlignment="1"/>
    <xf numFmtId="168" fontId="26" fillId="5" borderId="0" xfId="0" applyNumberFormat="1" applyFont="1" applyFill="1" applyAlignment="1">
      <alignment horizontal="right"/>
    </xf>
    <xf numFmtId="168" fontId="26" fillId="6" borderId="0" xfId="0" applyNumberFormat="1" applyFont="1" applyFill="1" applyAlignment="1"/>
    <xf numFmtId="3" fontId="26" fillId="6" borderId="0" xfId="0" applyNumberFormat="1" applyFont="1" applyFill="1" applyAlignment="1"/>
    <xf numFmtId="168" fontId="8" fillId="5" borderId="0" xfId="1" applyNumberFormat="1" applyFont="1" applyFill="1" applyAlignment="1"/>
    <xf numFmtId="167" fontId="8" fillId="6" borderId="0" xfId="0" applyNumberFormat="1" applyFont="1" applyFill="1" applyAlignment="1"/>
    <xf numFmtId="0" fontId="5" fillId="5" borderId="0" xfId="0" applyFont="1" applyFill="1" applyAlignment="1"/>
    <xf numFmtId="168" fontId="25" fillId="5" borderId="0" xfId="0" applyNumberFormat="1" applyFont="1" applyFill="1" applyAlignment="1"/>
    <xf numFmtId="168" fontId="26" fillId="5" borderId="0" xfId="0" applyNumberFormat="1" applyFont="1" applyFill="1" applyAlignment="1"/>
    <xf numFmtId="169" fontId="26" fillId="6" borderId="2" xfId="0" applyNumberFormat="1" applyFont="1" applyFill="1" applyBorder="1" applyAlignment="1"/>
    <xf numFmtId="168" fontId="26" fillId="6" borderId="2" xfId="0" applyNumberFormat="1" applyFont="1" applyFill="1" applyBorder="1" applyAlignment="1"/>
    <xf numFmtId="0" fontId="20" fillId="5" borderId="6" xfId="0" applyFont="1" applyFill="1" applyBorder="1" applyAlignment="1"/>
    <xf numFmtId="168" fontId="20" fillId="5" borderId="6" xfId="0" applyNumberFormat="1" applyFont="1" applyFill="1" applyBorder="1" applyAlignment="1"/>
    <xf numFmtId="0" fontId="20" fillId="6" borderId="2" xfId="0" applyFont="1" applyFill="1" applyBorder="1" applyAlignment="1">
      <alignment horizontal="right" vertical="top" wrapText="1"/>
    </xf>
    <xf numFmtId="0" fontId="19" fillId="5" borderId="0" xfId="0" applyFont="1" applyFill="1" applyAlignment="1"/>
    <xf numFmtId="169" fontId="19" fillId="5" borderId="0" xfId="0" applyNumberFormat="1" applyFont="1" applyFill="1" applyAlignment="1">
      <alignment horizontal="right" vertical="top"/>
    </xf>
    <xf numFmtId="169" fontId="19" fillId="6" borderId="0" xfId="0" applyNumberFormat="1" applyFont="1" applyFill="1" applyAlignment="1">
      <alignment horizontal="right" vertical="top"/>
    </xf>
    <xf numFmtId="0" fontId="27" fillId="4" borderId="0" xfId="0" applyFont="1" applyFill="1" applyAlignment="1"/>
    <xf numFmtId="164" fontId="27" fillId="4" borderId="0" xfId="3" applyNumberFormat="1" applyFont="1" applyFill="1" applyAlignment="1"/>
    <xf numFmtId="164" fontId="27" fillId="4" borderId="0" xfId="0" applyNumberFormat="1" applyFont="1" applyFill="1" applyAlignment="1"/>
    <xf numFmtId="168" fontId="1" fillId="5" borderId="0" xfId="1" applyNumberFormat="1" applyFill="1" applyAlignment="1">
      <alignment vertical="top"/>
    </xf>
    <xf numFmtId="0" fontId="0" fillId="5" borderId="0" xfId="0" applyFill="1" applyAlignment="1"/>
    <xf numFmtId="0" fontId="28" fillId="5" borderId="0" xfId="0" applyFont="1" applyFill="1" applyAlignment="1"/>
    <xf numFmtId="0" fontId="29" fillId="5" borderId="0" xfId="0" applyFont="1" applyFill="1" applyAlignment="1">
      <alignment vertical="top"/>
    </xf>
    <xf numFmtId="0" fontId="20" fillId="5" borderId="2" xfId="0" applyFont="1" applyFill="1" applyBorder="1" applyAlignment="1">
      <alignment horizontal="left" wrapText="1"/>
    </xf>
    <xf numFmtId="0" fontId="20" fillId="5" borderId="2" xfId="0" applyFont="1" applyFill="1" applyBorder="1" applyAlignment="1">
      <alignment horizontal="right" wrapText="1"/>
    </xf>
    <xf numFmtId="9" fontId="19" fillId="3" borderId="0" xfId="3" applyNumberFormat="1" applyFont="1" applyFill="1" applyAlignment="1">
      <alignment vertical="top"/>
    </xf>
    <xf numFmtId="9" fontId="19" fillId="3" borderId="0" xfId="0" applyNumberFormat="1" applyFont="1" applyFill="1" applyAlignment="1">
      <alignment horizontal="right" vertical="top"/>
    </xf>
    <xf numFmtId="9" fontId="19" fillId="3" borderId="0" xfId="3" applyFont="1" applyFill="1" applyAlignment="1">
      <alignment vertical="top"/>
    </xf>
    <xf numFmtId="9" fontId="19" fillId="3" borderId="0" xfId="0" applyNumberFormat="1" applyFont="1" applyFill="1" applyAlignment="1">
      <alignment vertical="top"/>
    </xf>
    <xf numFmtId="9" fontId="19" fillId="5" borderId="0" xfId="0" applyNumberFormat="1" applyFont="1" applyFill="1" applyAlignment="1">
      <alignment horizontal="right" vertical="top"/>
    </xf>
    <xf numFmtId="0" fontId="0" fillId="5" borderId="0" xfId="0" applyFill="1"/>
    <xf numFmtId="0" fontId="20" fillId="5" borderId="5" xfId="0" applyFont="1" applyFill="1" applyBorder="1" applyAlignment="1">
      <alignment vertical="top"/>
    </xf>
    <xf numFmtId="164" fontId="20" fillId="5" borderId="5" xfId="0" applyNumberFormat="1" applyFont="1" applyFill="1" applyBorder="1" applyAlignment="1">
      <alignment horizontal="right" vertical="top"/>
    </xf>
    <xf numFmtId="164" fontId="19" fillId="5" borderId="0" xfId="0" applyNumberFormat="1" applyFont="1" applyFill="1" applyAlignment="1">
      <alignment vertical="top"/>
    </xf>
    <xf numFmtId="168" fontId="10" fillId="6" borderId="3" xfId="0" applyNumberFormat="1" applyFont="1" applyFill="1" applyBorder="1" applyAlignment="1"/>
    <xf numFmtId="0" fontId="30" fillId="5" borderId="0" xfId="0" applyFont="1" applyFill="1" applyAlignment="1">
      <alignment vertical="top"/>
    </xf>
    <xf numFmtId="0" fontId="20" fillId="6" borderId="2" xfId="0" applyFont="1" applyFill="1" applyBorder="1" applyAlignment="1">
      <alignment horizontal="right" wrapText="1"/>
    </xf>
    <xf numFmtId="170" fontId="19" fillId="5" borderId="0" xfId="1" applyNumberFormat="1" applyFont="1" applyFill="1" applyAlignment="1">
      <alignment vertical="top"/>
    </xf>
    <xf numFmtId="170" fontId="19" fillId="0" borderId="0" xfId="1" applyNumberFormat="1" applyFont="1" applyAlignment="1">
      <alignment vertical="top"/>
    </xf>
    <xf numFmtId="43" fontId="19" fillId="6" borderId="0" xfId="1" applyFont="1" applyFill="1" applyAlignment="1">
      <alignment vertical="top"/>
    </xf>
    <xf numFmtId="171" fontId="19" fillId="6" borderId="0" xfId="0" applyNumberFormat="1" applyFont="1" applyFill="1" applyAlignment="1">
      <alignment vertical="top"/>
    </xf>
    <xf numFmtId="170" fontId="19" fillId="4" borderId="0" xfId="1" applyNumberFormat="1" applyFont="1" applyFill="1" applyAlignment="1">
      <alignment vertical="top"/>
    </xf>
    <xf numFmtId="170" fontId="20" fillId="5" borderId="5" xfId="1" applyNumberFormat="1" applyFont="1" applyFill="1" applyBorder="1" applyAlignment="1">
      <alignment vertical="top"/>
    </xf>
    <xf numFmtId="43" fontId="20" fillId="6" borderId="5" xfId="1" applyFont="1" applyFill="1" applyBorder="1" applyAlignment="1">
      <alignment vertical="top"/>
    </xf>
    <xf numFmtId="0" fontId="30" fillId="5" borderId="0" xfId="0" applyFont="1" applyFill="1" applyAlignment="1"/>
    <xf numFmtId="172" fontId="19" fillId="5" borderId="0" xfId="0" applyNumberFormat="1" applyFont="1" applyFill="1" applyAlignment="1">
      <alignment vertical="top"/>
    </xf>
    <xf numFmtId="172" fontId="19" fillId="6" borderId="0" xfId="1" applyNumberFormat="1" applyFont="1" applyFill="1" applyAlignment="1">
      <alignment vertical="top"/>
    </xf>
    <xf numFmtId="0" fontId="19" fillId="4" borderId="0" xfId="0" applyFont="1" applyFill="1" applyAlignment="1"/>
    <xf numFmtId="0" fontId="8" fillId="5" borderId="0" xfId="0" applyFont="1" applyFill="1" applyBorder="1" applyAlignment="1"/>
    <xf numFmtId="0" fontId="10" fillId="5" borderId="5" xfId="0" applyFont="1" applyFill="1" applyBorder="1" applyAlignment="1"/>
    <xf numFmtId="0" fontId="20" fillId="5" borderId="7" xfId="0" applyFont="1" applyFill="1" applyBorder="1" applyAlignment="1"/>
    <xf numFmtId="0" fontId="20" fillId="5" borderId="8" xfId="0" applyFont="1" applyFill="1" applyBorder="1" applyAlignment="1">
      <alignment horizontal="right" vertical="top" wrapText="1"/>
    </xf>
    <xf numFmtId="0" fontId="20" fillId="6" borderId="8" xfId="0" applyFont="1" applyFill="1" applyBorder="1" applyAlignment="1">
      <alignment horizontal="right" vertical="top" wrapText="1"/>
    </xf>
    <xf numFmtId="167" fontId="8" fillId="0" borderId="0" xfId="2" applyNumberFormat="1" applyFont="1" applyBorder="1"/>
    <xf numFmtId="167" fontId="8" fillId="5" borderId="8" xfId="0" applyNumberFormat="1" applyFont="1" applyFill="1" applyBorder="1" applyAlignment="1"/>
    <xf numFmtId="167" fontId="20" fillId="5" borderId="7" xfId="0" applyNumberFormat="1" applyFont="1" applyFill="1" applyBorder="1" applyAlignment="1"/>
    <xf numFmtId="167" fontId="8" fillId="0" borderId="8" xfId="0" applyNumberFormat="1" applyFont="1" applyBorder="1"/>
    <xf numFmtId="167" fontId="10" fillId="0" borderId="0" xfId="0" applyNumberFormat="1" applyFont="1"/>
    <xf numFmtId="172" fontId="19" fillId="6" borderId="0" xfId="2" applyNumberFormat="1" applyFont="1" applyFill="1" applyAlignment="1">
      <alignment vertical="top"/>
    </xf>
    <xf numFmtId="0" fontId="8" fillId="5" borderId="2" xfId="0" applyFont="1" applyFill="1" applyBorder="1" applyAlignment="1"/>
    <xf numFmtId="0" fontId="8" fillId="10" borderId="0" xfId="0" applyFont="1" applyFill="1"/>
    <xf numFmtId="0" fontId="10" fillId="10" borderId="0" xfId="0" applyFont="1" applyFill="1"/>
    <xf numFmtId="3" fontId="8" fillId="10" borderId="0" xfId="0" applyNumberFormat="1" applyFont="1" applyFill="1"/>
    <xf numFmtId="3" fontId="10" fillId="0" borderId="2" xfId="0" applyNumberFormat="1" applyFont="1" applyBorder="1"/>
    <xf numFmtId="3" fontId="10" fillId="0" borderId="1" xfId="0" applyNumberFormat="1" applyFont="1" applyBorder="1"/>
    <xf numFmtId="15" fontId="4" fillId="6" borderId="1" xfId="0" applyNumberFormat="1" applyFont="1" applyFill="1" applyBorder="1"/>
    <xf numFmtId="173" fontId="8" fillId="5" borderId="0" xfId="0" applyNumberFormat="1" applyFont="1" applyFill="1" applyAlignment="1"/>
    <xf numFmtId="173" fontId="31" fillId="5" borderId="0" xfId="0" applyNumberFormat="1" applyFont="1" applyFill="1" applyAlignment="1"/>
    <xf numFmtId="173" fontId="19" fillId="5" borderId="0" xfId="0" applyNumberFormat="1" applyFont="1" applyFill="1" applyAlignment="1"/>
    <xf numFmtId="174" fontId="12" fillId="9" borderId="3" xfId="0" applyNumberFormat="1" applyFont="1" applyFill="1" applyBorder="1" applyAlignment="1"/>
    <xf numFmtId="174" fontId="20" fillId="5" borderId="0" xfId="0" applyNumberFormat="1" applyFont="1" applyFill="1" applyBorder="1" applyAlignment="1"/>
    <xf numFmtId="173" fontId="8" fillId="5" borderId="2" xfId="0" applyNumberFormat="1" applyFont="1" applyFill="1" applyBorder="1" applyAlignment="1"/>
    <xf numFmtId="167" fontId="24" fillId="2" borderId="0" xfId="0" applyNumberFormat="1" applyFont="1" applyFill="1"/>
    <xf numFmtId="167" fontId="12" fillId="2" borderId="0" xfId="0" applyNumberFormat="1" applyFont="1" applyFill="1"/>
    <xf numFmtId="167" fontId="8" fillId="6" borderId="2" xfId="0" applyNumberFormat="1" applyFont="1" applyFill="1" applyBorder="1"/>
    <xf numFmtId="167" fontId="10" fillId="0" borderId="1" xfId="0" applyNumberFormat="1" applyFont="1" applyBorder="1"/>
    <xf numFmtId="10" fontId="8" fillId="0" borderId="0" xfId="0" applyNumberFormat="1" applyFont="1"/>
    <xf numFmtId="0" fontId="32" fillId="0" borderId="0" xfId="0" applyFont="1"/>
    <xf numFmtId="9" fontId="24" fillId="2" borderId="0" xfId="0" applyNumberFormat="1" applyFont="1" applyFill="1"/>
    <xf numFmtId="3" fontId="19" fillId="5" borderId="0" xfId="0" applyNumberFormat="1" applyFont="1" applyFill="1" applyBorder="1" applyAlignment="1">
      <alignment horizontal="right" vertical="top" wrapText="1"/>
    </xf>
    <xf numFmtId="0" fontId="10" fillId="4" borderId="2" xfId="0" applyFont="1" applyFill="1" applyBorder="1"/>
    <xf numFmtId="0" fontId="8" fillId="4" borderId="2" xfId="0" applyFont="1" applyFill="1" applyBorder="1"/>
    <xf numFmtId="9" fontId="8" fillId="4" borderId="0" xfId="3" applyFont="1" applyFill="1"/>
    <xf numFmtId="9" fontId="8" fillId="0" borderId="0" xfId="0" applyNumberFormat="1" applyFont="1"/>
    <xf numFmtId="164" fontId="8" fillId="6" borderId="0" xfId="0" applyNumberFormat="1" applyFont="1" applyFill="1"/>
    <xf numFmtId="0" fontId="10" fillId="4" borderId="2" xfId="0" applyFont="1" applyFill="1" applyBorder="1" applyAlignment="1">
      <alignment horizontal="right"/>
    </xf>
    <xf numFmtId="167" fontId="19" fillId="6" borderId="0" xfId="0" applyNumberFormat="1" applyFont="1" applyFill="1" applyBorder="1" applyAlignment="1">
      <alignment horizontal="right" vertical="top" wrapText="1"/>
    </xf>
    <xf numFmtId="167" fontId="12" fillId="11" borderId="0" xfId="0" applyNumberFormat="1" applyFont="1" applyFill="1"/>
    <xf numFmtId="0" fontId="8" fillId="6" borderId="0" xfId="0" applyFont="1" applyFill="1"/>
    <xf numFmtId="9" fontId="8" fillId="4" borderId="0" xfId="3" applyNumberFormat="1" applyFont="1" applyFill="1"/>
    <xf numFmtId="0" fontId="8" fillId="5" borderId="0" xfId="0" applyFont="1" applyFill="1"/>
    <xf numFmtId="167" fontId="8" fillId="6" borderId="0" xfId="2" applyNumberFormat="1" applyFont="1" applyFill="1" applyBorder="1"/>
    <xf numFmtId="167" fontId="8" fillId="6" borderId="8" xfId="0" applyNumberFormat="1" applyFont="1" applyFill="1" applyBorder="1"/>
    <xf numFmtId="167" fontId="10" fillId="6" borderId="0" xfId="0" applyNumberFormat="1" applyFont="1" applyFill="1"/>
    <xf numFmtId="167" fontId="8" fillId="6" borderId="8" xfId="0" applyNumberFormat="1" applyFont="1" applyFill="1" applyBorder="1" applyAlignment="1"/>
    <xf numFmtId="167" fontId="8" fillId="0" borderId="2" xfId="1" applyNumberFormat="1" applyFont="1" applyFill="1" applyBorder="1"/>
    <xf numFmtId="0" fontId="8" fillId="0" borderId="2" xfId="0" applyFont="1" applyBorder="1" applyAlignment="1">
      <alignment horizontal="left"/>
    </xf>
    <xf numFmtId="0" fontId="8" fillId="6" borderId="2" xfId="0" applyFont="1" applyFill="1" applyBorder="1"/>
    <xf numFmtId="9" fontId="8" fillId="6" borderId="0" xfId="3" applyFont="1" applyFill="1"/>
    <xf numFmtId="164" fontId="10" fillId="0" borderId="0" xfId="0" applyNumberFormat="1" applyFont="1"/>
    <xf numFmtId="164" fontId="8" fillId="6" borderId="0" xfId="3" applyNumberFormat="1" applyFont="1" applyFill="1"/>
    <xf numFmtId="164" fontId="8" fillId="0" borderId="3" xfId="3" applyNumberFormat="1" applyFont="1" applyBorder="1"/>
    <xf numFmtId="0" fontId="14" fillId="0" borderId="2" xfId="0" applyFont="1" applyBorder="1" applyAlignment="1">
      <alignment horizontal="center"/>
    </xf>
    <xf numFmtId="0" fontId="12" fillId="9" borderId="0" xfId="0" applyFont="1" applyFill="1"/>
    <xf numFmtId="169" fontId="8" fillId="12" borderId="0" xfId="0" applyNumberFormat="1" applyFont="1" applyFill="1" applyAlignment="1"/>
    <xf numFmtId="10" fontId="24" fillId="9" borderId="0" xfId="0" applyNumberFormat="1" applyFont="1" applyFill="1"/>
    <xf numFmtId="169" fontId="8" fillId="12" borderId="2" xfId="0" applyNumberFormat="1" applyFont="1" applyFill="1" applyBorder="1" applyAlignment="1"/>
    <xf numFmtId="0" fontId="23" fillId="9" borderId="0" xfId="0" applyFont="1" applyFill="1"/>
    <xf numFmtId="164" fontId="8" fillId="6" borderId="2" xfId="3" applyNumberFormat="1" applyFont="1" applyFill="1" applyBorder="1"/>
    <xf numFmtId="0" fontId="8" fillId="0" borderId="0" xfId="0" applyFont="1" applyAlignment="1">
      <alignment wrapText="1"/>
    </xf>
    <xf numFmtId="0" fontId="8" fillId="0" borderId="0" xfId="0" quotePrefix="1" applyFont="1"/>
    <xf numFmtId="0" fontId="8" fillId="0" borderId="2" xfId="0" quotePrefix="1" applyFont="1" applyBorder="1"/>
    <xf numFmtId="167" fontId="0" fillId="0" borderId="0" xfId="0" applyNumberFormat="1"/>
    <xf numFmtId="167" fontId="0" fillId="0" borderId="2" xfId="0" applyNumberFormat="1" applyBorder="1"/>
    <xf numFmtId="0" fontId="0" fillId="0" borderId="0" xfId="0" applyBorder="1"/>
    <xf numFmtId="167" fontId="0" fillId="0" borderId="0" xfId="0" applyNumberFormat="1" applyBorder="1"/>
    <xf numFmtId="0" fontId="31" fillId="0" borderId="0" xfId="0" quotePrefix="1" applyFont="1" applyBorder="1"/>
    <xf numFmtId="3" fontId="34" fillId="0" borderId="0" xfId="0" applyNumberFormat="1" applyFont="1" applyBorder="1"/>
    <xf numFmtId="167" fontId="34" fillId="0" borderId="0" xfId="0" applyNumberFormat="1" applyFont="1"/>
    <xf numFmtId="0" fontId="31" fillId="0" borderId="0" xfId="0" applyFont="1"/>
    <xf numFmtId="170" fontId="19" fillId="13" borderId="0" xfId="1" applyNumberFormat="1" applyFont="1" applyFill="1" applyAlignment="1">
      <alignment vertical="top"/>
    </xf>
    <xf numFmtId="171" fontId="19" fillId="13" borderId="0" xfId="0" applyNumberFormat="1" applyFont="1" applyFill="1" applyAlignment="1">
      <alignment vertical="top"/>
    </xf>
    <xf numFmtId="10" fontId="0" fillId="0" borderId="0" xfId="0" applyNumberFormat="1"/>
    <xf numFmtId="0" fontId="35" fillId="0" borderId="0" xfId="0" applyFont="1"/>
    <xf numFmtId="0" fontId="36" fillId="0" borderId="0" xfId="0" applyFont="1"/>
    <xf numFmtId="167" fontId="8" fillId="6" borderId="0" xfId="1" applyNumberFormat="1" applyFont="1" applyFill="1"/>
    <xf numFmtId="167" fontId="23" fillId="9" borderId="0" xfId="0" applyNumberFormat="1" applyFont="1" applyFill="1"/>
    <xf numFmtId="0" fontId="37" fillId="0" borderId="0" xfId="0" applyFont="1"/>
    <xf numFmtId="0" fontId="12" fillId="2" borderId="0" xfId="0" applyFont="1" applyFill="1" applyAlignment="1">
      <alignment horizontal="center" vertical="top"/>
    </xf>
    <xf numFmtId="0" fontId="12" fillId="9" borderId="0" xfId="0" applyFont="1" applyFill="1" applyAlignment="1">
      <alignment horizontal="center" vertical="top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theme" Target="theme/theme1.xml"/><Relationship Id="rId35" Type="http://schemas.openxmlformats.org/officeDocument/2006/relationships/styles" Target="styles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Development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72896343396132"/>
          <c:y val="0.0581069042316258"/>
          <c:w val="0.913348822878136"/>
          <c:h val="0.747543272013047"/>
        </c:manualLayout>
      </c:layout>
      <c:barChart>
        <c:barDir val="col"/>
        <c:grouping val="stacked"/>
        <c:varyColors val="0"/>
        <c:ser>
          <c:idx val="0"/>
          <c:order val="0"/>
          <c:tx>
            <c:v>Home Applaince &amp; Air Solution (H&amp;A)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1.6762514E7</c:v>
              </c:pt>
              <c:pt idx="1">
                <c:v>1.6531291E7</c:v>
              </c:pt>
              <c:pt idx="2">
                <c:v>1.7234242E7</c:v>
              </c:pt>
              <c:pt idx="3">
                <c:v>1.8514954E7</c:v>
              </c:pt>
              <c:pt idx="4">
                <c:v>1.9361988E7</c:v>
              </c:pt>
              <c:pt idx="5">
                <c:v>1.99082632506715E7</c:v>
              </c:pt>
              <c:pt idx="6">
                <c:v>2.0724168758916E7</c:v>
              </c:pt>
              <c:pt idx="7">
                <c:v>2.15735127338917E7</c:v>
              </c:pt>
              <c:pt idx="8">
                <c:v>2.245766559294E7</c:v>
              </c:pt>
              <c:pt idx="9">
                <c:v>2.33780539175706E7</c:v>
              </c:pt>
              <c:pt idx="10">
                <c:v>2.43361627552534E7</c:v>
              </c:pt>
              <c:pt idx="11">
                <c:v>2.53335380155426E7</c:v>
              </c:pt>
              <c:pt idx="12">
                <c:v>2.6371788E7</c:v>
              </c:pt>
              <c:pt idx="13">
                <c:v>2.74525908207691E7</c:v>
              </c:pt>
              <c:pt idx="14">
                <c:v>2.85776874594973E7</c:v>
              </c:pt>
            </c:numLit>
          </c:val>
        </c:ser>
        <c:ser>
          <c:idx val="1"/>
          <c:order val="1"/>
          <c:tx>
            <c:v>Home Entertainment (HE)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1.9378588E7</c:v>
              </c:pt>
              <c:pt idx="1">
                <c:v>1.7397568E7</c:v>
              </c:pt>
              <c:pt idx="2">
                <c:v>1.7425472E7</c:v>
              </c:pt>
              <c:pt idx="3">
                <c:v>1.6433085E7</c:v>
              </c:pt>
              <c:pt idx="4">
                <c:v>1.6208343E7</c:v>
              </c:pt>
              <c:pt idx="5">
                <c:v>1.53076896881752E7</c:v>
              </c:pt>
              <c:pt idx="6">
                <c:v>1.4686422014766E7</c:v>
              </c:pt>
              <c:pt idx="7">
                <c:v>1.40903686963565E7</c:v>
              </c:pt>
              <c:pt idx="8">
                <c:v>1.35185063999692E7</c:v>
              </c:pt>
              <c:pt idx="9">
                <c:v>1.29698533249357E7</c:v>
              </c:pt>
              <c:pt idx="10">
                <c:v>1.24434675172938E7</c:v>
              </c:pt>
              <c:pt idx="11">
                <c:v>1.1938445252596E7</c:v>
              </c:pt>
              <c:pt idx="12">
                <c:v>1.1453919E7</c:v>
              </c:pt>
              <c:pt idx="13">
                <c:v>1.09890583554413E7</c:v>
              </c:pt>
              <c:pt idx="14">
                <c:v>1.05430637699411E7</c:v>
              </c:pt>
            </c:numLit>
          </c:val>
        </c:ser>
        <c:ser>
          <c:idx val="2"/>
          <c:order val="2"/>
          <c:tx>
            <c:v>Mobile Communications (MC)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1.5105251E7</c:v>
              </c:pt>
              <c:pt idx="1">
                <c:v>1.400343E7</c:v>
              </c:pt>
              <c:pt idx="2">
                <c:v>1.170967E7</c:v>
              </c:pt>
              <c:pt idx="3">
                <c:v>1.1158338E7</c:v>
              </c:pt>
              <c:pt idx="4">
                <c:v>7.980042E6</c:v>
              </c:pt>
              <c:pt idx="5">
                <c:v>7.46170728669547E6</c:v>
              </c:pt>
              <c:pt idx="6">
                <c:v>6.42022374004198E6</c:v>
              </c:pt>
              <c:pt idx="7">
                <c:v>5.52410745804707E6</c:v>
              </c:pt>
              <c:pt idx="8">
                <c:v>4.75306849786698E6</c:v>
              </c:pt>
              <c:pt idx="9">
                <c:v>4.08964892826366E6</c:v>
              </c:pt>
              <c:pt idx="10">
                <c:v>3.51882754560634E6</c:v>
              </c:pt>
              <c:pt idx="11">
                <c:v>3.0276797624717E6</c:v>
              </c:pt>
              <c:pt idx="12">
                <c:v>2.605084E6</c:v>
              </c:pt>
              <c:pt idx="13">
                <c:v>2.24147473410943E6</c:v>
              </c:pt>
              <c:pt idx="14">
                <c:v>1.9286161662081E6</c:v>
              </c:pt>
            </c:numLit>
          </c:val>
        </c:ser>
        <c:ser>
          <c:idx val="3"/>
          <c:order val="3"/>
          <c:tx>
            <c:v>Vehicle Components (VC)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1">
                <c:v>1.832387E6</c:v>
              </c:pt>
              <c:pt idx="2">
                <c:v>2.773053E6</c:v>
              </c:pt>
              <c:pt idx="3">
                <c:v>3.338574E6</c:v>
              </c:pt>
              <c:pt idx="4">
                <c:v>4.287637E6</c:v>
              </c:pt>
              <c:pt idx="5">
                <c:v>5.78748545334799E6</c:v>
              </c:pt>
              <c:pt idx="6">
                <c:v>7.60869960906367E6</c:v>
              </c:pt>
              <c:pt idx="7">
                <c:v>1.00030160261527E7</c:v>
              </c:pt>
              <c:pt idx="8">
                <c:v>1.31507793395173E7</c:v>
              </c:pt>
              <c:pt idx="9">
                <c:v>1.72890852903283E7</c:v>
              </c:pt>
              <c:pt idx="10">
                <c:v>2.27296392448798E7</c:v>
              </c:pt>
              <c:pt idx="11">
                <c:v>2.98822344575621E7</c:v>
              </c:pt>
              <c:pt idx="12">
                <c:v>3.9285618E7</c:v>
              </c:pt>
              <c:pt idx="13">
                <c:v>5.16480728263997E7</c:v>
              </c:pt>
              <c:pt idx="14">
                <c:v>6.7900761857775E7</c:v>
              </c:pt>
            </c:numLit>
          </c:val>
        </c:ser>
        <c:ser>
          <c:idx val="4"/>
          <c:order val="4"/>
          <c:tx>
            <c:v>Business-to-Business (B2B)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General</c:formatCode>
              <c:ptCount val="15"/>
              <c:pt idx="3" formatCode="#,##0">
                <c:v>2.36173E6</c:v>
              </c:pt>
              <c:pt idx="4" formatCode="#,##0">
                <c:v>2.40566199999999E6</c:v>
              </c:pt>
              <c:pt idx="5" formatCode="#,##0">
                <c:v>2.45041120629538E6</c:v>
              </c:pt>
              <c:pt idx="6" formatCode="#,##0">
                <c:v>2.49599282024573E6</c:v>
              </c:pt>
              <c:pt idx="7" formatCode="#,##0">
                <c:v>2.54242232598052E6</c:v>
              </c:pt>
              <c:pt idx="8" formatCode="#,##0">
                <c:v>2.58971549565908E6</c:v>
              </c:pt>
              <c:pt idx="9" formatCode="#,##0">
                <c:v>2.63788839482846E6</c:v>
              </c:pt>
              <c:pt idx="10" formatCode="#,##0">
                <c:v>2.68695738788084E6</c:v>
              </c:pt>
              <c:pt idx="11" formatCode="#,##0">
                <c:v>2.7369391436126E6</c:v>
              </c:pt>
              <c:pt idx="12" formatCode="#,##0">
                <c:v>2.78785E6</c:v>
              </c:pt>
              <c:pt idx="13" formatCode="#,##0">
                <c:v>2.83970917440046E6</c:v>
              </c:pt>
              <c:pt idx="14" formatCode="#,##0">
                <c:v>2.89253236056049E6</c:v>
              </c:pt>
            </c:numLit>
          </c:val>
        </c:ser>
        <c:ser>
          <c:idx val="5"/>
          <c:order val="5"/>
          <c:tx>
            <c:v>LG Innotek Co. (Innotek)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6.466119E6</c:v>
              </c:pt>
              <c:pt idx="1">
                <c:v>6.138129E6</c:v>
              </c:pt>
              <c:pt idx="2">
                <c:v>5.754566E6</c:v>
              </c:pt>
              <c:pt idx="3">
                <c:v>7.641361E6</c:v>
              </c:pt>
              <c:pt idx="4">
                <c:v>7.982104E6</c:v>
              </c:pt>
              <c:pt idx="5">
                <c:v>8.1699745013376E6</c:v>
              </c:pt>
              <c:pt idx="6">
                <c:v>8.71021568972644E6</c:v>
              </c:pt>
              <c:pt idx="7">
                <c:v>9.28618043411706E6</c:v>
              </c:pt>
              <c:pt idx="8">
                <c:v>9.90023096175325E6</c:v>
              </c:pt>
              <c:pt idx="9">
                <c:v>1.05548857026249E7</c:v>
              </c:pt>
              <c:pt idx="10">
                <c:v>1.1252829618406E7</c:v>
              </c:pt>
              <c:pt idx="11">
                <c:v>1.19969252143945E7</c:v>
              </c:pt>
              <c:pt idx="12">
                <c:v>1.2790224E7</c:v>
              </c:pt>
              <c:pt idx="13">
                <c:v>1.36359804032726E7</c:v>
              </c:pt>
              <c:pt idx="14">
                <c:v>1.45376623187675E7</c:v>
              </c:pt>
            </c:numLit>
          </c:val>
        </c:ser>
        <c:ser>
          <c:idx val="6"/>
          <c:order val="6"/>
          <c:tx>
            <c:v>Other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</c:formatCode>
              <c:ptCount val="15"/>
              <c:pt idx="0">
                <c:v>3.318605E6</c:v>
              </c:pt>
              <c:pt idx="1">
                <c:v>2.435156E6</c:v>
              </c:pt>
              <c:pt idx="2">
                <c:v>2.409183E6</c:v>
              </c:pt>
              <c:pt idx="3">
                <c:v>3.641055E6</c:v>
              </c:pt>
              <c:pt idx="4">
                <c:v>4.395994E6</c:v>
              </c:pt>
              <c:pt idx="5">
                <c:v>4.21112706949555E6</c:v>
              </c:pt>
              <c:pt idx="6">
                <c:v>4.63755098224666E6</c:v>
              </c:pt>
              <c:pt idx="7">
                <c:v>5.1071551055127E6</c:v>
              </c:pt>
              <c:pt idx="8">
                <c:v>5.62431192058367E6</c:v>
              </c:pt>
              <c:pt idx="9">
                <c:v>6.19383667158941E6</c:v>
              </c:pt>
              <c:pt idx="10">
                <c:v>6.82103220020992E6</c:v>
              </c:pt>
              <c:pt idx="11">
                <c:v>7.51173832040383E6</c:v>
              </c:pt>
              <c:pt idx="12">
                <c:v>8.272386E6</c:v>
              </c:pt>
              <c:pt idx="13">
                <c:v>9.11005820561034E6</c:v>
              </c:pt>
              <c:pt idx="14">
                <c:v>1.00325539178786E7</c:v>
              </c:pt>
            </c:numLit>
          </c:val>
        </c:ser>
        <c:ser>
          <c:idx val="7"/>
          <c:order val="7"/>
          <c:tx>
            <c:v>Intersegment transactions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5"/>
              <c:pt idx="0">
                <c:v>2014 Act</c:v>
              </c:pt>
              <c:pt idx="1">
                <c:v>2015 Act</c:v>
              </c:pt>
              <c:pt idx="2">
                <c:v>2016 Act</c:v>
              </c:pt>
              <c:pt idx="3">
                <c:v>2017 Act</c:v>
              </c:pt>
              <c:pt idx="4">
                <c:v>2018 Act</c:v>
              </c:pt>
              <c:pt idx="5">
                <c:v>2019 Fcst</c:v>
              </c:pt>
              <c:pt idx="6">
                <c:v>2020 Fcst</c:v>
              </c:pt>
              <c:pt idx="7">
                <c:v>2021 Fcst</c:v>
              </c:pt>
              <c:pt idx="8">
                <c:v>2022 Fcst</c:v>
              </c:pt>
              <c:pt idx="9">
                <c:v>2023 Fcst</c:v>
              </c:pt>
              <c:pt idx="10">
                <c:v>2024 Fcst</c:v>
              </c:pt>
              <c:pt idx="11">
                <c:v>2025 Fcst</c:v>
              </c:pt>
              <c:pt idx="12">
                <c:v>2026 Fcst</c:v>
              </c:pt>
              <c:pt idx="13">
                <c:v>2027 Fcst</c:v>
              </c:pt>
              <c:pt idx="14">
                <c:v>2028 Fcst</c:v>
              </c:pt>
            </c:strLit>
          </c:cat>
          <c:val>
            <c:numLit>
              <c:formatCode>#,##0.00;[Red]#,##0.00</c:formatCode>
              <c:ptCount val="15"/>
              <c:pt idx="0">
                <c:v>-1.99031E6</c:v>
              </c:pt>
              <c:pt idx="1">
                <c:v>-1.828953E6</c:v>
              </c:pt>
              <c:pt idx="2">
                <c:v>-1.939153E6</c:v>
              </c:pt>
              <c:pt idx="3">
                <c:v>-1.692813E6</c:v>
              </c:pt>
              <c:pt idx="4">
                <c:v>-1.280106E6</c:v>
              </c:pt>
              <c:pt idx="5">
                <c:v>-1.29370456333007E6</c:v>
              </c:pt>
              <c:pt idx="6">
                <c:v>-1.17527851154441E6</c:v>
              </c:pt>
              <c:pt idx="7">
                <c:v>-1.06769321130209E6</c:v>
              </c:pt>
              <c:pt idx="8">
                <c:v>-969956.2973907718</c:v>
              </c:pt>
              <c:pt idx="9">
                <c:v>-881166.24596749</c:v>
              </c:pt>
              <c:pt idx="10">
                <c:v>-800504.058915983</c:v>
              </c:pt>
              <c:pt idx="11">
                <c:v>-727225.709420337</c:v>
              </c:pt>
              <c:pt idx="12">
                <c:v>-660655.0</c:v>
              </c:pt>
              <c:pt idx="13">
                <c:v>-600178.723211584</c:v>
              </c:pt>
              <c:pt idx="14">
                <c:v>-545238.206983714</c:v>
              </c:pt>
            </c:numLit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-2079734112"/>
        <c:axId val="-2090514992"/>
      </c:barChart>
      <c:catAx>
        <c:axId val="-2079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514992"/>
        <c:crosses val="autoZero"/>
        <c:auto val="1"/>
        <c:lblAlgn val="ctr"/>
        <c:lblOffset val="100"/>
        <c:noMultiLvlLbl val="0"/>
      </c:catAx>
      <c:valAx>
        <c:axId val="-2090514992"/>
        <c:scaling>
          <c:orientation val="minMax"/>
          <c:min val="-2.0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Trade receivables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31Dec2019_x000d_Fcst</c:v>
                </c:pt>
                <c:pt idx="1">
                  <c:v>31Dec2020_x000d_Fcst</c:v>
                </c:pt>
                <c:pt idx="2">
                  <c:v>31Dec2021_x000d_Fcst</c:v>
                </c:pt>
                <c:pt idx="3">
                  <c:v>31Dec2022_x000d_Fcst</c:v>
                </c:pt>
                <c:pt idx="4">
                  <c:v>31Dec2023_x000d_Fcst</c:v>
                </c:pt>
                <c:pt idx="5">
                  <c:v>31Dec2024_x000d_Fcst</c:v>
                </c:pt>
                <c:pt idx="6">
                  <c:v>31Dec2025_x000d_Fcst</c:v>
                </c:pt>
                <c:pt idx="7">
                  <c:v>31Dec2026_x000d_Fcst</c:v>
                </c:pt>
                <c:pt idx="8">
                  <c:v>31Dec2027_x000d_Fcst</c:v>
                </c:pt>
                <c:pt idx="9">
                  <c:v>31Dec2028_x000d_Fcst</c:v>
                </c:pt>
              </c:strCache>
            </c:strRef>
          </c:cat>
          <c:val>
            <c:numRef>
              <c:f>'Working Capital'!$H$5:$Q$5</c:f>
              <c:numCache>
                <c:formatCode>#,##0_);\(#,##0\)</c:formatCode>
                <c:ptCount val="10"/>
                <c:pt idx="0">
                  <c:v>7.60225553977341E6</c:v>
                </c:pt>
                <c:pt idx="1">
                  <c:v>7.62423736667175E6</c:v>
                </c:pt>
                <c:pt idx="2">
                  <c:v>7.61371883030238E6</c:v>
                </c:pt>
                <c:pt idx="3">
                  <c:v>7.63475806201466E6</c:v>
                </c:pt>
                <c:pt idx="4">
                  <c:v>7.65024865222673E6</c:v>
                </c:pt>
                <c:pt idx="5">
                  <c:v>7.65805308123517E6</c:v>
                </c:pt>
                <c:pt idx="6">
                  <c:v>7.66718989985608E6</c:v>
                </c:pt>
                <c:pt idx="7">
                  <c:v>7.68343098619385E6</c:v>
                </c:pt>
                <c:pt idx="8">
                  <c:v>7.69293329676787E6</c:v>
                </c:pt>
                <c:pt idx="9">
                  <c:v>7.7037053842091E6</c:v>
                </c:pt>
              </c:numCache>
            </c:numRef>
          </c:val>
          <c:smooth val="0"/>
        </c:ser>
        <c:ser>
          <c:idx val="1"/>
          <c:order val="1"/>
          <c:tx>
            <c:v>Inventory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31Dec2019_x000d_Fcst</c:v>
                </c:pt>
                <c:pt idx="1">
                  <c:v>31Dec2020_x000d_Fcst</c:v>
                </c:pt>
                <c:pt idx="2">
                  <c:v>31Dec2021_x000d_Fcst</c:v>
                </c:pt>
                <c:pt idx="3">
                  <c:v>31Dec2022_x000d_Fcst</c:v>
                </c:pt>
                <c:pt idx="4">
                  <c:v>31Dec2023_x000d_Fcst</c:v>
                </c:pt>
                <c:pt idx="5">
                  <c:v>31Dec2024_x000d_Fcst</c:v>
                </c:pt>
                <c:pt idx="6">
                  <c:v>31Dec2025_x000d_Fcst</c:v>
                </c:pt>
                <c:pt idx="7">
                  <c:v>31Dec2026_x000d_Fcst</c:v>
                </c:pt>
                <c:pt idx="8">
                  <c:v>31Dec2027_x000d_Fcst</c:v>
                </c:pt>
                <c:pt idx="9">
                  <c:v>31Dec2028_x000d_Fcst</c:v>
                </c:pt>
              </c:strCache>
            </c:strRef>
          </c:cat>
          <c:val>
            <c:numRef>
              <c:f>'Working Capital'!$H$6:$Q$6</c:f>
              <c:numCache>
                <c:formatCode>#,##0_);\(#,##0\)</c:formatCode>
                <c:ptCount val="10"/>
                <c:pt idx="0">
                  <c:v>5.77190373924017E6</c:v>
                </c:pt>
                <c:pt idx="1">
                  <c:v>5.78859312677865E6</c:v>
                </c:pt>
                <c:pt idx="2">
                  <c:v>5.78060707854809E6</c:v>
                </c:pt>
                <c:pt idx="3">
                  <c:v>5.79658081417898E6</c:v>
                </c:pt>
                <c:pt idx="4">
                  <c:v>5.80834182314538E6</c:v>
                </c:pt>
                <c:pt idx="5">
                  <c:v>5.81426722419784E6</c:v>
                </c:pt>
                <c:pt idx="6">
                  <c:v>5.82120422299864E6</c:v>
                </c:pt>
                <c:pt idx="7">
                  <c:v>5.83353503540975E6</c:v>
                </c:pt>
                <c:pt idx="8">
                  <c:v>5.84074952874619E6</c:v>
                </c:pt>
                <c:pt idx="9">
                  <c:v>5.84892808200005E6</c:v>
                </c:pt>
              </c:numCache>
            </c:numRef>
          </c:val>
          <c:smooth val="0"/>
        </c:ser>
        <c:ser>
          <c:idx val="2"/>
          <c:order val="2"/>
          <c:tx>
            <c:v>Trade payables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Capital'!$H$4:$Q$4</c:f>
              <c:strCache>
                <c:ptCount val="10"/>
                <c:pt idx="0">
                  <c:v>31Dec2019_x000d_Fcst</c:v>
                </c:pt>
                <c:pt idx="1">
                  <c:v>31Dec2020_x000d_Fcst</c:v>
                </c:pt>
                <c:pt idx="2">
                  <c:v>31Dec2021_x000d_Fcst</c:v>
                </c:pt>
                <c:pt idx="3">
                  <c:v>31Dec2022_x000d_Fcst</c:v>
                </c:pt>
                <c:pt idx="4">
                  <c:v>31Dec2023_x000d_Fcst</c:v>
                </c:pt>
                <c:pt idx="5">
                  <c:v>31Dec2024_x000d_Fcst</c:v>
                </c:pt>
                <c:pt idx="6">
                  <c:v>31Dec2025_x000d_Fcst</c:v>
                </c:pt>
                <c:pt idx="7">
                  <c:v>31Dec2026_x000d_Fcst</c:v>
                </c:pt>
                <c:pt idx="8">
                  <c:v>31Dec2027_x000d_Fcst</c:v>
                </c:pt>
                <c:pt idx="9">
                  <c:v>31Dec2028_x000d_Fcst</c:v>
                </c:pt>
              </c:strCache>
            </c:strRef>
          </c:cat>
          <c:val>
            <c:numRef>
              <c:f>'Working Capital'!$H$7:$Q$7</c:f>
              <c:numCache>
                <c:formatCode>#,##0_);\(#,##0\)</c:formatCode>
                <c:ptCount val="10"/>
                <c:pt idx="0">
                  <c:v>7.28315139124843E6</c:v>
                </c:pt>
                <c:pt idx="1">
                  <c:v>7.30421053248871E6</c:v>
                </c:pt>
                <c:pt idx="2">
                  <c:v>7.29413351095323E6</c:v>
                </c:pt>
                <c:pt idx="3">
                  <c:v>7.31428962237496E6</c:v>
                </c:pt>
                <c:pt idx="4">
                  <c:v>7.32912999613825E6</c:v>
                </c:pt>
                <c:pt idx="5">
                  <c:v>7.33660683478086E6</c:v>
                </c:pt>
                <c:pt idx="6">
                  <c:v>7.34536013607444E6</c:v>
                </c:pt>
                <c:pt idx="7">
                  <c:v>7.36091950394066E6</c:v>
                </c:pt>
                <c:pt idx="8">
                  <c:v>7.37002295568799E6</c:v>
                </c:pt>
                <c:pt idx="9">
                  <c:v>7.38034288550669E6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666032"/>
        <c:axId val="-2100064896"/>
      </c:lineChart>
      <c:catAx>
        <c:axId val="-20746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064896"/>
        <c:crosses val="autoZero"/>
        <c:auto val="1"/>
        <c:lblAlgn val="ctr"/>
        <c:lblOffset val="100"/>
        <c:noMultiLvlLbl val="0"/>
      </c:catAx>
      <c:valAx>
        <c:axId val="-2100064896"/>
        <c:scaling>
          <c:orientation val="minMax"/>
          <c:min val="4.0E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baseline="0">
                    <a:latin typeface="Arial" charset="0"/>
                    <a:ea typeface="Arial" charset="0"/>
                    <a:cs typeface="Arial" charset="0"/>
                  </a:rPr>
                  <a:t>krw in trillions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66032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25400</xdr:colOff>
      <xdr:row>0</xdr:row>
      <xdr:rowOff>114300</xdr:rowOff>
    </xdr:from>
    <xdr:to>
      <xdr:col>17</xdr:col>
      <xdr:colOff>330200</xdr:colOff>
      <xdr:row>25</xdr:row>
      <xdr:rowOff>50800</xdr:rowOff>
    </xdr:to>
    <xdr:pic>
      <xdr:nvPicPr>
        <xdr:cNvPr id="2" name="Picture 1" descr="mage result for lg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52900" y="114300"/>
          <a:ext cx="10210800" cy="680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124460</xdr:colOff>
      <xdr:row>2</xdr:row>
      <xdr:rowOff>88900</xdr:rowOff>
    </xdr:from>
    <xdr:to>
      <xdr:col>17</xdr:col>
      <xdr:colOff>241300</xdr:colOff>
      <xdr:row>30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127000</xdr:rowOff>
    </xdr:from>
    <xdr:to>
      <xdr:col>12</xdr:col>
      <xdr:colOff>787400</xdr:colOff>
      <xdr:row>22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E13"/>
  <sheetViews>
    <sheetView showGridLines="0" workbookViewId="0">
      <selection activeCell="C21" sqref="C21"/>
    </sheetView>
  </sheetViews>
  <sheetFormatPr baseColWidth="10" defaultRowHeight="16" x14ac:dyDescent="0.2"/>
  <cols>
    <col min="5" max="5" width="16" customWidth="1"/>
  </cols>
  <sheetData>
    <row r="10" spans="1:5" ht="52" x14ac:dyDescent="0.6">
      <c r="A10" s="1" t="s">
        <v>0</v>
      </c>
      <c r="B10" s="309"/>
      <c r="C10" s="309"/>
      <c r="D10" s="309"/>
      <c r="E10" s="309"/>
    </row>
    <row r="11" spans="1:5" ht="52" x14ac:dyDescent="0.6">
      <c r="A11" s="2" t="s">
        <v>1</v>
      </c>
      <c r="B11" s="309"/>
      <c r="C11" s="309"/>
      <c r="D11" s="309"/>
      <c r="E11" s="309"/>
    </row>
    <row r="12" spans="1:5" ht="52" x14ac:dyDescent="0.6">
      <c r="A12" s="1" t="s">
        <v>363</v>
      </c>
      <c r="B12" s="309"/>
      <c r="C12" s="309"/>
      <c r="D12" s="309"/>
      <c r="E12" s="309"/>
    </row>
    <row r="13" spans="1:5" ht="49" x14ac:dyDescent="0.45">
      <c r="A13" s="1" t="s">
        <v>364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7"/>
  <sheetViews>
    <sheetView showGridLines="0" workbookViewId="0">
      <selection activeCell="B1" sqref="B1"/>
    </sheetView>
  </sheetViews>
  <sheetFormatPr baseColWidth="10" defaultRowHeight="16" x14ac:dyDescent="0.2"/>
  <cols>
    <col min="1" max="1" width="2.83203125" customWidth="1"/>
    <col min="5" max="5" width="28.6640625" customWidth="1"/>
  </cols>
  <sheetData>
    <row r="1" spans="2:5" x14ac:dyDescent="0.2">
      <c r="B1" s="306" t="s">
        <v>133</v>
      </c>
    </row>
    <row r="4" spans="2:5" x14ac:dyDescent="0.2">
      <c r="B4" s="71" t="s">
        <v>134</v>
      </c>
    </row>
    <row r="6" spans="2:5" x14ac:dyDescent="0.2">
      <c r="B6" s="72" t="s">
        <v>4</v>
      </c>
      <c r="C6" s="72"/>
      <c r="D6" s="72"/>
      <c r="E6" s="72" t="s">
        <v>135</v>
      </c>
    </row>
    <row r="7" spans="2:5" x14ac:dyDescent="0.2">
      <c r="B7" t="s">
        <v>136</v>
      </c>
      <c r="E7" s="73">
        <v>4142600</v>
      </c>
    </row>
    <row r="8" spans="2:5" x14ac:dyDescent="0.2">
      <c r="B8" t="s">
        <v>137</v>
      </c>
      <c r="E8" s="74">
        <v>93676076</v>
      </c>
    </row>
    <row r="9" spans="2:5" x14ac:dyDescent="0.2">
      <c r="B9" t="s">
        <v>138</v>
      </c>
      <c r="E9" s="74">
        <v>23717881</v>
      </c>
    </row>
    <row r="10" spans="2:5" x14ac:dyDescent="0.2">
      <c r="B10" t="s">
        <v>139</v>
      </c>
      <c r="E10" s="74">
        <v>3551</v>
      </c>
    </row>
    <row r="11" spans="2:5" x14ac:dyDescent="0.2">
      <c r="B11" t="s">
        <v>140</v>
      </c>
      <c r="E11" s="74">
        <v>366517</v>
      </c>
    </row>
    <row r="12" spans="2:5" x14ac:dyDescent="0.2">
      <c r="B12" t="s">
        <v>141</v>
      </c>
      <c r="E12" s="74">
        <v>243771415</v>
      </c>
    </row>
    <row r="13" spans="2:5" x14ac:dyDescent="0.2">
      <c r="B13" t="s">
        <v>142</v>
      </c>
      <c r="E13" s="74">
        <v>127938141</v>
      </c>
    </row>
    <row r="14" spans="2:5" x14ac:dyDescent="0.2">
      <c r="B14" t="s">
        <v>143</v>
      </c>
      <c r="E14" s="74">
        <v>15537759</v>
      </c>
    </row>
    <row r="15" spans="2:5" x14ac:dyDescent="0.2">
      <c r="B15" t="s">
        <v>144</v>
      </c>
      <c r="E15" s="74">
        <v>15281753</v>
      </c>
    </row>
    <row r="16" spans="2:5" x14ac:dyDescent="0.2">
      <c r="B16" s="72" t="s">
        <v>145</v>
      </c>
      <c r="C16" s="72"/>
      <c r="D16" s="72"/>
      <c r="E16" s="75">
        <v>888651</v>
      </c>
    </row>
    <row r="17" spans="2:5" x14ac:dyDescent="0.2">
      <c r="B17" s="76" t="s">
        <v>146</v>
      </c>
      <c r="E17" s="74">
        <f>AVERAGE(E7:E16)</f>
        <v>52532434.399999999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"/>
  <sheetViews>
    <sheetView showGridLines="0" zoomScale="142" workbookViewId="0">
      <selection activeCell="E2" sqref="E2"/>
    </sheetView>
  </sheetViews>
  <sheetFormatPr baseColWidth="10" defaultRowHeight="16" x14ac:dyDescent="0.2"/>
  <cols>
    <col min="1" max="1" width="3.33203125" customWidth="1"/>
    <col min="2" max="2" width="28.5" customWidth="1"/>
  </cols>
  <sheetData>
    <row r="1" spans="2:17" x14ac:dyDescent="0.2">
      <c r="B1" s="3" t="s">
        <v>358</v>
      </c>
    </row>
    <row r="3" spans="2:17" x14ac:dyDescent="0.2">
      <c r="B3" s="45"/>
      <c r="C3" s="45"/>
      <c r="D3" s="45"/>
      <c r="E3" s="45"/>
      <c r="F3" s="45"/>
      <c r="G3" s="45"/>
      <c r="H3" s="77"/>
      <c r="I3" s="46" t="s">
        <v>22</v>
      </c>
      <c r="J3" s="45"/>
      <c r="K3" s="45"/>
      <c r="L3" s="45"/>
      <c r="M3" s="45"/>
      <c r="N3" s="45"/>
      <c r="O3" s="45"/>
      <c r="P3" s="45"/>
      <c r="Q3" s="45"/>
    </row>
    <row r="4" spans="2:17" x14ac:dyDescent="0.2">
      <c r="B4" s="47" t="s">
        <v>105</v>
      </c>
      <c r="C4" s="48" t="s">
        <v>16</v>
      </c>
      <c r="D4" s="48" t="s">
        <v>17</v>
      </c>
      <c r="E4" s="48" t="s">
        <v>18</v>
      </c>
      <c r="F4" s="48" t="s">
        <v>19</v>
      </c>
      <c r="G4" s="48" t="s">
        <v>20</v>
      </c>
      <c r="H4" s="49" t="s">
        <v>106</v>
      </c>
      <c r="I4" s="49" t="s">
        <v>107</v>
      </c>
      <c r="J4" s="49" t="s">
        <v>108</v>
      </c>
      <c r="K4" s="49" t="s">
        <v>109</v>
      </c>
      <c r="L4" s="49" t="s">
        <v>110</v>
      </c>
      <c r="M4" s="49" t="s">
        <v>111</v>
      </c>
      <c r="N4" s="49" t="s">
        <v>112</v>
      </c>
      <c r="O4" s="49" t="s">
        <v>113</v>
      </c>
      <c r="P4" s="49" t="s">
        <v>114</v>
      </c>
      <c r="Q4" s="49" t="s">
        <v>115</v>
      </c>
    </row>
    <row r="5" spans="2:17" x14ac:dyDescent="0.2">
      <c r="B5" s="10" t="s">
        <v>116</v>
      </c>
      <c r="C5" s="78">
        <f>C$15*'Divisional Sales Revenue'!C5</f>
        <v>12861065.417946011</v>
      </c>
      <c r="D5" s="78">
        <f>D$15*'Divisional Sales Revenue'!D5</f>
        <v>12765113.913454877</v>
      </c>
      <c r="E5" s="78">
        <f>E$15*'Divisional Sales Revenue'!E5</f>
        <v>12958370.806918731</v>
      </c>
      <c r="F5" s="78">
        <f>F$15*'Divisional Sales Revenue'!F5</f>
        <v>14094400.713520415</v>
      </c>
      <c r="G5" s="78">
        <f>G$15*'Divisional Sales Revenue'!G5</f>
        <v>14601781.414220521</v>
      </c>
      <c r="H5" s="79">
        <f>$C$16*'Divisional Sales Revenue'!H5</f>
        <v>15101845.824041996</v>
      </c>
      <c r="I5" s="79">
        <f>$C$16*'Divisional Sales Revenue'!I5</f>
        <v>15924773.015299445</v>
      </c>
      <c r="J5" s="79">
        <f>$C$16*'Divisional Sales Revenue'!J5</f>
        <v>16580870.136912992</v>
      </c>
      <c r="K5" s="79">
        <f>$C$16*'Divisional Sales Revenue'!K5</f>
        <v>17134842.132288761</v>
      </c>
      <c r="L5" s="79">
        <f>$C$16*'Divisional Sales Revenue'!L5</f>
        <v>17776628.21104455</v>
      </c>
      <c r="M5" s="79">
        <f>$C$16*'Divisional Sales Revenue'!M5</f>
        <v>18471682.031215914</v>
      </c>
      <c r="N5" s="79">
        <f>$C$16*'Divisional Sales Revenue'!N5</f>
        <v>19064631.937141698</v>
      </c>
      <c r="O5" s="79">
        <f>$C$16*'Divisional Sales Revenue'!O5</f>
        <v>19697039.939536188</v>
      </c>
      <c r="P5" s="79">
        <f>$C$16*'Divisional Sales Revenue'!P5</f>
        <v>20352684.652423006</v>
      </c>
      <c r="Q5" s="79">
        <f>$C$16*'Divisional Sales Revenue'!Q5</f>
        <v>20985774.591595355</v>
      </c>
    </row>
    <row r="6" spans="2:17" x14ac:dyDescent="0.2">
      <c r="B6" s="10" t="s">
        <v>117</v>
      </c>
      <c r="C6" s="78">
        <f>C$15*'Divisional Sales Revenue'!C6</f>
        <v>14868252.338248519</v>
      </c>
      <c r="D6" s="78">
        <f>D$15*'Divisional Sales Revenue'!D6</f>
        <v>13434034.724636892</v>
      </c>
      <c r="E6" s="78">
        <f>E$15*'Divisional Sales Revenue'!E6</f>
        <v>13102156.025288479</v>
      </c>
      <c r="F6" s="78">
        <f>F$15*'Divisional Sales Revenue'!F6</f>
        <v>12509590.083202023</v>
      </c>
      <c r="G6" s="78">
        <f>G$15*'Divisional Sales Revenue'!G6</f>
        <v>12223470.109201146</v>
      </c>
      <c r="H6" s="79">
        <f>$C$16*'Divisional Sales Revenue'!H6</f>
        <v>11931564.100649333</v>
      </c>
      <c r="I6" s="79">
        <f>$C$16*'Divisional Sales Revenue'!I6</f>
        <v>11592467.985671332</v>
      </c>
      <c r="J6" s="79">
        <f>$C$16*'Divisional Sales Revenue'!J6</f>
        <v>11150664.993247747</v>
      </c>
      <c r="K6" s="79">
        <f>$C$16*'Divisional Sales Revenue'!K6</f>
        <v>10874274.724930007</v>
      </c>
      <c r="L6" s="79">
        <f>$C$16*'Divisional Sales Revenue'!L6</f>
        <v>10476578.570709962</v>
      </c>
      <c r="M6" s="79">
        <f>$C$16*'Divisional Sales Revenue'!M6</f>
        <v>10120831.183541244</v>
      </c>
      <c r="N6" s="79">
        <f>$C$16*'Divisional Sales Revenue'!N6</f>
        <v>9757836.9329621587</v>
      </c>
      <c r="O6" s="79">
        <f>$C$16*'Divisional Sales Revenue'!O6</f>
        <v>9414213.5523702018</v>
      </c>
      <c r="P6" s="79">
        <f>$C$16*'Divisional Sales Revenue'!P6</f>
        <v>9037461.5827383902</v>
      </c>
      <c r="Q6" s="79">
        <f>$C$16*'Divisional Sales Revenue'!Q6</f>
        <v>8686428.5738950428</v>
      </c>
    </row>
    <row r="7" spans="2:17" x14ac:dyDescent="0.2">
      <c r="B7" s="10" t="s">
        <v>118</v>
      </c>
      <c r="C7" s="78">
        <f>C$15*'Divisional Sales Revenue'!C7</f>
        <v>11589527.756128609</v>
      </c>
      <c r="D7" s="78">
        <f>D$15*'Divisional Sales Revenue'!D7</f>
        <v>10813153.015641151</v>
      </c>
      <c r="E7" s="78">
        <f>E$15*'Divisional Sales Revenue'!E7</f>
        <v>8804462.9921438992</v>
      </c>
      <c r="F7" s="78">
        <f>F$15*'Divisional Sales Revenue'!F7</f>
        <v>8494219.7031060383</v>
      </c>
      <c r="G7" s="78">
        <f>G$15*'Divisional Sales Revenue'!G7</f>
        <v>6018123.188605383</v>
      </c>
      <c r="H7" s="79">
        <f>$C$16*'Divisional Sales Revenue'!H7</f>
        <v>6709915.1380135193</v>
      </c>
      <c r="I7" s="79">
        <f>$C$16*'Divisional Sales Revenue'!I7</f>
        <v>5363842.7534153722</v>
      </c>
      <c r="J7" s="79">
        <f>$C$16*'Divisional Sales Revenue'!J7</f>
        <v>4645112.475108739</v>
      </c>
      <c r="K7" s="79">
        <f>$C$16*'Divisional Sales Revenue'!K7</f>
        <v>3912654.5203704983</v>
      </c>
      <c r="L7" s="79">
        <f>$C$16*'Divisional Sales Revenue'!L7</f>
        <v>3474018.8081109952</v>
      </c>
      <c r="M7" s="79">
        <f>$C$16*'Divisional Sales Revenue'!M7</f>
        <v>2462135.4155892907</v>
      </c>
      <c r="N7" s="79">
        <f>$C$16*'Divisional Sales Revenue'!N7</f>
        <v>1888096.5541396975</v>
      </c>
      <c r="O7" s="79">
        <f>$C$16*'Divisional Sales Revenue'!O7</f>
        <v>1193537.5009632781</v>
      </c>
      <c r="P7" s="79">
        <f>$C$16*'Divisional Sales Revenue'!P7</f>
        <v>483611.99520989362</v>
      </c>
      <c r="Q7" s="79">
        <f>$C$16*'Divisional Sales Revenue'!Q7</f>
        <v>-272906.55105910054</v>
      </c>
    </row>
    <row r="8" spans="2:17" x14ac:dyDescent="0.2">
      <c r="B8" s="10" t="s">
        <v>119</v>
      </c>
      <c r="C8" s="78">
        <f>C$15*'Divisional Sales Revenue'!C8</f>
        <v>0</v>
      </c>
      <c r="D8" s="78">
        <f>D$15*'Divisional Sales Revenue'!D8</f>
        <v>1414930.5573614209</v>
      </c>
      <c r="E8" s="78">
        <f>E$15*'Divisional Sales Revenue'!E8</f>
        <v>2085049.5798561033</v>
      </c>
      <c r="F8" s="78">
        <f>F$15*'Divisional Sales Revenue'!F8</f>
        <v>2541469.9797655833</v>
      </c>
      <c r="G8" s="78">
        <f>G$15*'Divisional Sales Revenue'!G8</f>
        <v>3233507.7502126452</v>
      </c>
      <c r="H8" s="79">
        <f>$C$16*'Divisional Sales Revenue'!H8</f>
        <v>3074403.4101275513</v>
      </c>
      <c r="I8" s="79">
        <f>$C$16*'Divisional Sales Revenue'!I8</f>
        <v>3624258.6532444768</v>
      </c>
      <c r="J8" s="79">
        <f>$C$16*'Divisional Sales Revenue'!J8</f>
        <v>3870536.1986120855</v>
      </c>
      <c r="K8" s="79">
        <f>$C$16*'Divisional Sales Revenue'!K8</f>
        <v>4089554.7592518711</v>
      </c>
      <c r="L8" s="79">
        <f>$C$16*'Divisional Sales Revenue'!L8</f>
        <v>4285294.7276565647</v>
      </c>
      <c r="M8" s="79">
        <f>$C$16*'Divisional Sales Revenue'!M8</f>
        <v>4653633.6165054711</v>
      </c>
      <c r="N8" s="79">
        <f>$C$16*'Divisional Sales Revenue'!N8</f>
        <v>4843026.5191516364</v>
      </c>
      <c r="O8" s="79">
        <f>$C$16*'Divisional Sales Revenue'!O8</f>
        <v>5098111.655962171</v>
      </c>
      <c r="P8" s="79">
        <f>$C$16*'Divisional Sales Revenue'!P8</f>
        <v>5363505.3963534804</v>
      </c>
      <c r="Q8" s="79">
        <f>$C$16*'Divisional Sales Revenue'!Q8</f>
        <v>5628662.6777097648</v>
      </c>
    </row>
    <row r="9" spans="2:17" x14ac:dyDescent="0.2">
      <c r="B9" s="10" t="s">
        <v>120</v>
      </c>
      <c r="C9" s="78">
        <f>C$15*'Divisional Sales Revenue'!C9</f>
        <v>0</v>
      </c>
      <c r="D9" s="78">
        <f>D$15*'Divisional Sales Revenue'!D9</f>
        <v>0</v>
      </c>
      <c r="E9" s="78">
        <f>E$15*'Divisional Sales Revenue'!E9</f>
        <v>0</v>
      </c>
      <c r="F9" s="78">
        <f>F$15*'Divisional Sales Revenue'!F9</f>
        <v>1797853.1838179308</v>
      </c>
      <c r="G9" s="78">
        <f>G$15*'Divisional Sales Revenue'!G9</f>
        <v>1814222.3143871627</v>
      </c>
      <c r="H9" s="79">
        <f>$C$16*'Divisional Sales Revenue'!H9</f>
        <v>1822742.1638886803</v>
      </c>
      <c r="I9" s="79">
        <f>$C$16*'Divisional Sales Revenue'!I9</f>
        <v>1848194.8899359615</v>
      </c>
      <c r="J9" s="79">
        <f>$C$16*'Divisional Sales Revenue'!J9</f>
        <v>1859595.0447445349</v>
      </c>
      <c r="K9" s="79">
        <f>$C$16*'Divisional Sales Revenue'!K9</f>
        <v>1869733.3847767839</v>
      </c>
      <c r="L9" s="79">
        <f>$C$16*'Divisional Sales Revenue'!L9</f>
        <v>1878794.1618716174</v>
      </c>
      <c r="M9" s="79">
        <f>$C$16*'Divisional Sales Revenue'!M9</f>
        <v>1895844.5200300422</v>
      </c>
      <c r="N9" s="79">
        <f>$C$16*'Divisional Sales Revenue'!N9</f>
        <v>1904611.4922953721</v>
      </c>
      <c r="O9" s="79">
        <f>$C$16*'Divisional Sales Revenue'!O9</f>
        <v>1916419.3493400146</v>
      </c>
      <c r="P9" s="79">
        <f>$C$16*'Divisional Sales Revenue'!P9</f>
        <v>1928704.3902728821</v>
      </c>
      <c r="Q9" s="79">
        <f>$C$16*'Divisional Sales Revenue'!Q9</f>
        <v>1940978.4855484786</v>
      </c>
    </row>
    <row r="10" spans="2:17" x14ac:dyDescent="0.2">
      <c r="B10" s="10" t="s">
        <v>121</v>
      </c>
      <c r="C10" s="78">
        <f>C$15*'Divisional Sales Revenue'!C10</f>
        <v>4961140.0449373908</v>
      </c>
      <c r="D10" s="78">
        <f>D$15*'Divisional Sales Revenue'!D10</f>
        <v>4739733.6300281007</v>
      </c>
      <c r="E10" s="78">
        <f>E$15*'Divisional Sales Revenue'!E10</f>
        <v>4326839.5593427951</v>
      </c>
      <c r="F10" s="78">
        <f>F$15*'Divisional Sales Revenue'!F10</f>
        <v>5816941.4804199394</v>
      </c>
      <c r="G10" s="78">
        <f>G$15*'Divisional Sales Revenue'!G10</f>
        <v>6019678.2393200155</v>
      </c>
      <c r="H10" s="79">
        <f>$C$16*'Divisional Sales Revenue'!H10</f>
        <v>6008921.9772967556</v>
      </c>
      <c r="I10" s="79">
        <f>$C$16*'Divisional Sales Revenue'!I10</f>
        <v>6206337.033099575</v>
      </c>
      <c r="J10" s="79">
        <f>$C$16*'Divisional Sales Revenue'!J10</f>
        <v>6294758.2966418266</v>
      </c>
      <c r="K10" s="79">
        <f>$C$16*'Divisional Sales Revenue'!K10</f>
        <v>6373392.7407283429</v>
      </c>
      <c r="L10" s="79">
        <f>$C$16*'Divisional Sales Revenue'!L10</f>
        <v>6443669.4494970143</v>
      </c>
      <c r="M10" s="79">
        <f>$C$16*'Divisional Sales Revenue'!M10</f>
        <v>6575914.5143694645</v>
      </c>
      <c r="N10" s="79">
        <f>$C$16*'Divisional Sales Revenue'!N10</f>
        <v>6643912.4300256046</v>
      </c>
      <c r="O10" s="79">
        <f>$C$16*'Divisional Sales Revenue'!O10</f>
        <v>6735495.8915789807</v>
      </c>
      <c r="P10" s="79">
        <f>$C$16*'Divisional Sales Revenue'!P10</f>
        <v>6830780.460972324</v>
      </c>
      <c r="Q10" s="79">
        <f>$C$16*'Divisional Sales Revenue'!Q10</f>
        <v>6925980.1342513217</v>
      </c>
    </row>
    <row r="11" spans="2:17" x14ac:dyDescent="0.2">
      <c r="B11" s="51" t="s">
        <v>122</v>
      </c>
      <c r="C11" s="78">
        <f>C$15*'Divisional Sales Revenue'!C11</f>
        <v>2546204.9428458475</v>
      </c>
      <c r="D11" s="78">
        <f>D$15*'Divisional Sales Revenue'!D11</f>
        <v>1880376.0539351176</v>
      </c>
      <c r="E11" s="78">
        <f>E$15*'Divisional Sales Revenue'!E11</f>
        <v>1811456.9039778418</v>
      </c>
      <c r="F11" s="78">
        <f>F$15*'Divisional Sales Revenue'!F11</f>
        <v>2771731.876296699</v>
      </c>
      <c r="G11" s="78">
        <f>G$15*'Divisional Sales Revenue'!G11</f>
        <v>3315224.8357051415</v>
      </c>
      <c r="H11" s="79">
        <f>$C$16*'Divisional Sales Revenue'!H11</f>
        <v>3152334.6245201225</v>
      </c>
      <c r="I11" s="79">
        <f>$C$16*'Divisional Sales Revenue'!I11</f>
        <v>3300828.533349066</v>
      </c>
      <c r="J11" s="79">
        <f>$C$16*'Divisional Sales Revenue'!J11</f>
        <v>3369639.4411196117</v>
      </c>
      <c r="K11" s="79">
        <f>$C$16*'Divisional Sales Revenue'!K11</f>
        <v>3542067.8988657016</v>
      </c>
      <c r="L11" s="79">
        <f>$C$16*'Divisional Sales Revenue'!L11</f>
        <v>3544709.7092046971</v>
      </c>
      <c r="M11" s="79">
        <f>$C$16*'Divisional Sales Revenue'!M11</f>
        <v>3681626.8872011239</v>
      </c>
      <c r="N11" s="79">
        <f>$C$16*'Divisional Sales Revenue'!N11</f>
        <v>3765754.5843820465</v>
      </c>
      <c r="O11" s="79">
        <f>$C$16*'Divisional Sales Revenue'!O11</f>
        <v>3857819.1472549769</v>
      </c>
      <c r="P11" s="79">
        <f>$C$16*'Divisional Sales Revenue'!P11</f>
        <v>3934097.3303933358</v>
      </c>
      <c r="Q11" s="79">
        <f>$C$16*'Divisional Sales Revenue'!Q11</f>
        <v>4043053.2535254294</v>
      </c>
    </row>
    <row r="12" spans="2:17" x14ac:dyDescent="0.2">
      <c r="B12" s="15" t="s">
        <v>123</v>
      </c>
      <c r="C12" s="89">
        <f>C$15*'Divisional Sales Revenue'!C12</f>
        <v>-1527068.5001063757</v>
      </c>
      <c r="D12" s="89">
        <f>D$15*'Divisional Sales Revenue'!D12</f>
        <v>-1412278.8950575632</v>
      </c>
      <c r="E12" s="89">
        <f>E$15*'Divisional Sales Revenue'!E12</f>
        <v>-1458042.8675278483</v>
      </c>
      <c r="F12" s="89">
        <f>F$15*'Divisional Sales Revenue'!F12</f>
        <v>-1288644.0201286287</v>
      </c>
      <c r="G12" s="89">
        <f>G$15*'Divisional Sales Revenue'!G12</f>
        <v>-965387.85165201908</v>
      </c>
      <c r="H12" s="80">
        <f>$C$16*'Divisional Sales Revenue'!H12</f>
        <v>-1144217.5019896906</v>
      </c>
      <c r="I12" s="80">
        <f>$C$16*'Divisional Sales Revenue'!I12</f>
        <v>-1068283.5210783945</v>
      </c>
      <c r="J12" s="80">
        <f>$C$16*'Divisional Sales Revenue'!J12</f>
        <v>-1043312.9151853091</v>
      </c>
      <c r="K12" s="80">
        <f>$C$16*'Divisional Sales Revenue'!K12</f>
        <v>-939531.89621918707</v>
      </c>
      <c r="L12" s="80">
        <f>$C$16*'Divisional Sales Revenue'!L12</f>
        <v>-927634.59313956008</v>
      </c>
      <c r="M12" s="80">
        <f>$C$16*'Divisional Sales Revenue'!M12</f>
        <v>-861710.80956283677</v>
      </c>
      <c r="N12" s="80">
        <f>$C$16*'Divisional Sales Revenue'!N12</f>
        <v>-811837.46976489166</v>
      </c>
      <c r="O12" s="80">
        <f>$C$16*'Divisional Sales Revenue'!O12</f>
        <v>-756927.23839502956</v>
      </c>
      <c r="P12" s="80">
        <f>$C$16*'Divisional Sales Revenue'!P12</f>
        <v>-716817.24556375411</v>
      </c>
      <c r="Q12" s="80">
        <f>$C$16*'Divisional Sales Revenue'!Q12</f>
        <v>-657830.80570820742</v>
      </c>
    </row>
    <row r="13" spans="2:17" x14ac:dyDescent="0.2">
      <c r="B13" s="10" t="s">
        <v>124</v>
      </c>
      <c r="C13" s="81">
        <f>SUM(C5:C12)</f>
        <v>45299122</v>
      </c>
      <c r="D13" s="81">
        <f t="shared" ref="D13:Q13" si="0">SUM(D5:D12)</f>
        <v>43635062.999999993</v>
      </c>
      <c r="E13" s="81">
        <f t="shared" si="0"/>
        <v>41630293</v>
      </c>
      <c r="F13" s="81">
        <f t="shared" si="0"/>
        <v>46737563</v>
      </c>
      <c r="G13" s="81">
        <f t="shared" si="0"/>
        <v>46260620</v>
      </c>
      <c r="H13" s="82">
        <f t="shared" si="0"/>
        <v>46657509.73654826</v>
      </c>
      <c r="I13" s="82">
        <f t="shared" si="0"/>
        <v>46792419.342936836</v>
      </c>
      <c r="J13" s="82">
        <f t="shared" si="0"/>
        <v>46727863.671202227</v>
      </c>
      <c r="K13" s="82">
        <f t="shared" si="0"/>
        <v>46856988.264992781</v>
      </c>
      <c r="L13" s="82">
        <f t="shared" si="0"/>
        <v>46952059.044955842</v>
      </c>
      <c r="M13" s="82">
        <f t="shared" si="0"/>
        <v>46999957.358889714</v>
      </c>
      <c r="N13" s="82">
        <f t="shared" si="0"/>
        <v>47056032.980333328</v>
      </c>
      <c r="O13" s="82">
        <f t="shared" si="0"/>
        <v>47155709.798610777</v>
      </c>
      <c r="P13" s="82">
        <f t="shared" si="0"/>
        <v>47214028.562799565</v>
      </c>
      <c r="Q13" s="82">
        <f t="shared" si="0"/>
        <v>47280140.359758079</v>
      </c>
    </row>
    <row r="14" spans="2:17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2:17" x14ac:dyDescent="0.2">
      <c r="B15" s="4" t="s">
        <v>147</v>
      </c>
      <c r="C15" s="83">
        <f>'P&amp;L Input'!D5/'P&amp;L Input'!D4</f>
        <v>0.7672515839775591</v>
      </c>
      <c r="D15" s="83">
        <f>'P&amp;L Input'!E5/'P&amp;L Input'!E4</f>
        <v>0.77217888871806062</v>
      </c>
      <c r="E15" s="83">
        <f>'P&amp;L Input'!F5/'P&amp;L Input'!F4</f>
        <v>0.75189676499371028</v>
      </c>
      <c r="F15" s="83">
        <f>'P&amp;L Input'!G5/'P&amp;L Input'!G4</f>
        <v>0.76124416585212229</v>
      </c>
      <c r="G15" s="83">
        <f>'P&amp;L Input'!H5/'P&amp;L Input'!H4</f>
        <v>0.75414680632074149</v>
      </c>
      <c r="H15" s="84"/>
      <c r="I15" s="85"/>
      <c r="J15" s="84"/>
      <c r="K15" s="84"/>
      <c r="L15" s="84"/>
      <c r="M15" s="84"/>
      <c r="N15" s="84"/>
      <c r="O15" s="84"/>
      <c r="P15" s="84"/>
      <c r="Q15" s="84"/>
    </row>
    <row r="16" spans="2:17" x14ac:dyDescent="0.2">
      <c r="B16" s="4" t="s">
        <v>146</v>
      </c>
      <c r="C16" s="86">
        <f>AVERAGE(C15:G15)</f>
        <v>0.76134364197243887</v>
      </c>
      <c r="D16" s="4"/>
      <c r="E16" s="4"/>
      <c r="F16" s="4"/>
      <c r="G16" s="4"/>
      <c r="H16" s="87"/>
      <c r="I16" s="87"/>
      <c r="J16" s="87"/>
      <c r="K16" s="87"/>
      <c r="L16" s="87"/>
      <c r="M16" s="87"/>
      <c r="N16" s="87"/>
      <c r="O16" s="87"/>
      <c r="P16" s="87"/>
      <c r="Q16" s="87"/>
    </row>
    <row r="17" spans="2:17" x14ac:dyDescent="0.2">
      <c r="B17" s="84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workbookViewId="0">
      <selection activeCell="C18" sqref="C18"/>
    </sheetView>
  </sheetViews>
  <sheetFormatPr baseColWidth="10" defaultRowHeight="16" x14ac:dyDescent="0.2"/>
  <cols>
    <col min="1" max="1" width="1.6640625" customWidth="1"/>
    <col min="2" max="2" width="28" customWidth="1"/>
    <col min="3" max="3" width="27.1640625" customWidth="1"/>
  </cols>
  <sheetData>
    <row r="1" spans="2:7" x14ac:dyDescent="0.2">
      <c r="B1" s="70" t="s">
        <v>148</v>
      </c>
    </row>
    <row r="2" spans="2:7" x14ac:dyDescent="0.2">
      <c r="B2" s="10"/>
      <c r="C2" s="10"/>
      <c r="D2" s="10"/>
    </row>
    <row r="3" spans="2:7" x14ac:dyDescent="0.2">
      <c r="B3" s="3" t="s">
        <v>359</v>
      </c>
      <c r="C3" s="10"/>
      <c r="D3" s="10"/>
      <c r="E3" s="4"/>
      <c r="F3" s="4"/>
      <c r="G3" s="4"/>
    </row>
    <row r="4" spans="2:7" x14ac:dyDescent="0.2">
      <c r="B4" s="10"/>
      <c r="C4" s="10"/>
      <c r="D4" s="10"/>
      <c r="E4" s="4"/>
      <c r="F4" s="4"/>
      <c r="G4" s="4"/>
    </row>
    <row r="5" spans="2:7" ht="25" x14ac:dyDescent="0.2">
      <c r="B5" s="47" t="s">
        <v>105</v>
      </c>
      <c r="C5" s="47" t="s">
        <v>149</v>
      </c>
      <c r="D5" s="90" t="s">
        <v>150</v>
      </c>
      <c r="E5" s="91" t="s">
        <v>151</v>
      </c>
      <c r="F5" s="92"/>
      <c r="G5" s="93" t="s">
        <v>146</v>
      </c>
    </row>
    <row r="6" spans="2:7" x14ac:dyDescent="0.2">
      <c r="B6" s="10" t="s">
        <v>116</v>
      </c>
      <c r="C6" s="10" t="s">
        <v>152</v>
      </c>
      <c r="D6" s="67">
        <f>(23962000-19183000)/23962000</f>
        <v>0.19944078123695852</v>
      </c>
      <c r="E6" s="83">
        <f>(124129000-100312000)/124129000</f>
        <v>0.19187297086095917</v>
      </c>
      <c r="F6" s="4"/>
      <c r="G6" s="94">
        <f>AVERAGE(D6:E6)</f>
        <v>0.19565687604895884</v>
      </c>
    </row>
    <row r="7" spans="2:7" x14ac:dyDescent="0.2">
      <c r="B7" s="10" t="s">
        <v>117</v>
      </c>
      <c r="C7" s="10" t="s">
        <v>153</v>
      </c>
      <c r="D7" s="67">
        <f>(8665687000-6263878000)/8665687000</f>
        <v>0.2771631377869983</v>
      </c>
      <c r="E7" s="83">
        <f>(18121000-9489000)/18121000</f>
        <v>0.47635340213012528</v>
      </c>
      <c r="F7" s="4"/>
      <c r="G7" s="94">
        <f>AVERAGE(D7:E7)</f>
        <v>0.37675826995856176</v>
      </c>
    </row>
    <row r="8" spans="2:7" x14ac:dyDescent="0.2">
      <c r="B8" s="10" t="s">
        <v>118</v>
      </c>
      <c r="C8" s="10" t="s">
        <v>154</v>
      </c>
      <c r="D8" s="67">
        <f>(243771415000-132394411000)/243771415000</f>
        <v>0.45689115764454991</v>
      </c>
      <c r="E8" s="83">
        <f>(23740610-23225592)/23740610</f>
        <v>2.1693545363830162E-2</v>
      </c>
      <c r="F8" s="4"/>
      <c r="G8" s="94">
        <f>AVERAGE(D8:E8)</f>
        <v>0.23929235150419004</v>
      </c>
    </row>
    <row r="9" spans="2:7" x14ac:dyDescent="0.2">
      <c r="B9" s="10" t="s">
        <v>119</v>
      </c>
      <c r="C9" s="10" t="s">
        <v>155</v>
      </c>
      <c r="D9" s="67">
        <f>(197941-173372)/197941</f>
        <v>0.12412284468604282</v>
      </c>
      <c r="E9" s="86">
        <v>0.16600000000000001</v>
      </c>
      <c r="F9" s="4"/>
      <c r="G9" s="94">
        <f>AVERAGE(D9:E9)</f>
        <v>0.14506142234302141</v>
      </c>
    </row>
    <row r="10" spans="2:7" x14ac:dyDescent="0.2">
      <c r="B10" s="10" t="s">
        <v>121</v>
      </c>
      <c r="C10" s="10" t="s">
        <v>156</v>
      </c>
      <c r="D10" s="67">
        <f>(766570-220907)/766570</f>
        <v>0.7118240995603794</v>
      </c>
      <c r="E10" s="83">
        <f>(316159-221714)/316159</f>
        <v>0.29872627380526889</v>
      </c>
      <c r="F10" s="4"/>
      <c r="G10" s="94">
        <f>AVERAGE(D10:E10)</f>
        <v>0.50527518668282412</v>
      </c>
    </row>
    <row r="11" spans="2:7" x14ac:dyDescent="0.2">
      <c r="B11" s="4"/>
      <c r="C11" s="4"/>
      <c r="D11" s="10"/>
      <c r="E11" s="4"/>
      <c r="F11" s="4"/>
      <c r="G11" s="4"/>
    </row>
    <row r="12" spans="2:7" x14ac:dyDescent="0.2">
      <c r="B12" s="95"/>
      <c r="C12" s="10"/>
      <c r="D12" s="10"/>
      <c r="E12" s="4"/>
      <c r="F12" s="4"/>
      <c r="G12" s="4"/>
    </row>
    <row r="13" spans="2:7" x14ac:dyDescent="0.2">
      <c r="B13" s="93" t="s">
        <v>157</v>
      </c>
      <c r="C13" s="10"/>
      <c r="D13" s="10"/>
      <c r="E13" s="4"/>
      <c r="F13" s="4"/>
      <c r="G13" s="4"/>
    </row>
    <row r="14" spans="2:7" x14ac:dyDescent="0.2">
      <c r="B14" s="96">
        <f>'P&amp;L Input'!H25</f>
        <v>0.24585319367925851</v>
      </c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showGridLines="0" workbookViewId="0">
      <selection activeCell="I21" sqref="I21"/>
    </sheetView>
  </sheetViews>
  <sheetFormatPr baseColWidth="10" defaultRowHeight="16" x14ac:dyDescent="0.2"/>
  <cols>
    <col min="1" max="1" width="2.1640625" customWidth="1"/>
    <col min="2" max="2" width="30.83203125" customWidth="1"/>
  </cols>
  <sheetData>
    <row r="1" spans="2:17" x14ac:dyDescent="0.2">
      <c r="B1" s="70" t="s">
        <v>158</v>
      </c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2:17" x14ac:dyDescent="0.2"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</row>
    <row r="3" spans="2:17" x14ac:dyDescent="0.2">
      <c r="B3" s="10" t="s">
        <v>360</v>
      </c>
      <c r="C3" s="45"/>
      <c r="D3" s="45"/>
      <c r="E3" s="45"/>
      <c r="F3" s="45"/>
      <c r="G3" s="45"/>
      <c r="H3" s="45"/>
      <c r="I3" s="46" t="s">
        <v>159</v>
      </c>
      <c r="J3" s="45"/>
      <c r="K3" s="45"/>
      <c r="L3" s="45"/>
      <c r="M3" s="45"/>
      <c r="N3" s="45"/>
      <c r="O3" s="45"/>
      <c r="P3" s="45"/>
      <c r="Q3" s="45"/>
    </row>
    <row r="4" spans="2:17" x14ac:dyDescent="0.2">
      <c r="B4" s="47" t="s">
        <v>105</v>
      </c>
      <c r="C4" s="48" t="s">
        <v>16</v>
      </c>
      <c r="D4" s="48" t="s">
        <v>17</v>
      </c>
      <c r="E4" s="48" t="s">
        <v>18</v>
      </c>
      <c r="F4" s="48" t="s">
        <v>19</v>
      </c>
      <c r="G4" s="48" t="s">
        <v>20</v>
      </c>
      <c r="H4" s="49" t="s">
        <v>106</v>
      </c>
      <c r="I4" s="49" t="s">
        <v>107</v>
      </c>
      <c r="J4" s="49" t="s">
        <v>108</v>
      </c>
      <c r="K4" s="49" t="s">
        <v>109</v>
      </c>
      <c r="L4" s="49" t="s">
        <v>110</v>
      </c>
      <c r="M4" s="49" t="s">
        <v>111</v>
      </c>
      <c r="N4" s="49" t="s">
        <v>112</v>
      </c>
      <c r="O4" s="49" t="s">
        <v>113</v>
      </c>
      <c r="P4" s="49" t="s">
        <v>114</v>
      </c>
      <c r="Q4" s="49" t="s">
        <v>115</v>
      </c>
    </row>
    <row r="5" spans="2:17" x14ac:dyDescent="0.2">
      <c r="B5" s="10" t="s">
        <v>116</v>
      </c>
      <c r="C5" s="14">
        <f>'Divisional Sales Revenue'!C58*'P&amp;L Input'!D$6</f>
        <v>3901448.5820539901</v>
      </c>
      <c r="D5" s="14">
        <f>'Divisional Sales Revenue'!D58*'P&amp;L Input'!E$6</f>
        <v>3766177.0865451219</v>
      </c>
      <c r="E5" s="14">
        <f>'Divisional Sales Revenue'!E58*'P&amp;L Input'!F$6</f>
        <v>4275871.193081269</v>
      </c>
      <c r="F5" s="14">
        <f>'Divisional Sales Revenue'!F58*'P&amp;L Input'!G$6</f>
        <v>4420553.2864795858</v>
      </c>
      <c r="G5" s="14">
        <f>'Divisional Sales Revenue'!G58*'P&amp;L Input'!H$6</f>
        <v>4760206.5857794797</v>
      </c>
      <c r="H5" s="50">
        <f>'Divisional Sales Revenue'!H5-COGS!H5</f>
        <v>4733935.2759579085</v>
      </c>
      <c r="I5" s="50">
        <f>'Divisional Sales Revenue'!I5-COGS!I5</f>
        <v>4991896.0647004787</v>
      </c>
      <c r="J5" s="50">
        <f>'Divisional Sales Revenue'!J5-COGS!J5</f>
        <v>5197561.0770869944</v>
      </c>
      <c r="K5" s="50">
        <f>'Divisional Sales Revenue'!K5-COGS!K5</f>
        <v>5371213.1989108846</v>
      </c>
      <c r="L5" s="50">
        <f>'Divisional Sales Revenue'!L5-COGS!L5</f>
        <v>5572392.1669151783</v>
      </c>
      <c r="M5" s="50">
        <f>'Divisional Sales Revenue'!M5-COGS!M5</f>
        <v>5790268.8315517828</v>
      </c>
      <c r="N5" s="50">
        <f>'Divisional Sales Revenue'!N5-COGS!N5</f>
        <v>5976139.2548923083</v>
      </c>
      <c r="O5" s="50">
        <f>'Divisional Sales Revenue'!O5-COGS!O5</f>
        <v>6174378.5023468994</v>
      </c>
      <c r="P5" s="50">
        <f>'Divisional Sales Revenue'!P5-COGS!P5</f>
        <v>6379901.6993781514</v>
      </c>
      <c r="Q5" s="50">
        <f>'Divisional Sales Revenue'!Q5-COGS!Q5</f>
        <v>6578354.7117331587</v>
      </c>
    </row>
    <row r="6" spans="2:17" x14ac:dyDescent="0.2">
      <c r="B6" s="10" t="s">
        <v>117</v>
      </c>
      <c r="C6" s="14">
        <f>'Divisional Sales Revenue'!C59*'P&amp;L Input'!D$6</f>
        <v>4510335.6617514808</v>
      </c>
      <c r="D6" s="14">
        <f>'Divisional Sales Revenue'!D59*'P&amp;L Input'!E$6</f>
        <v>3963533.2753631067</v>
      </c>
      <c r="E6" s="14">
        <f>'Divisional Sales Revenue'!E59*'P&amp;L Input'!F$6</f>
        <v>4323315.9747115215</v>
      </c>
      <c r="F6" s="14">
        <f>'Divisional Sales Revenue'!F59*'P&amp;L Input'!G$6</f>
        <v>3923494.9167979779</v>
      </c>
      <c r="G6" s="14">
        <f>'Divisional Sales Revenue'!G59*'P&amp;L Input'!H$6</f>
        <v>3984872.8907988546</v>
      </c>
      <c r="H6" s="50">
        <f>'Divisional Sales Revenue'!H6-COGS!H6</f>
        <v>3740155.5314182881</v>
      </c>
      <c r="I6" s="50">
        <f>'Divisional Sales Revenue'!I6-COGS!I6</f>
        <v>3633859.9779251479</v>
      </c>
      <c r="J6" s="50">
        <f>'Divisional Sales Revenue'!J6-COGS!J6</f>
        <v>3495369.1738720313</v>
      </c>
      <c r="K6" s="50">
        <f>'Divisional Sales Revenue'!K6-COGS!K6</f>
        <v>3408729.8546546511</v>
      </c>
      <c r="L6" s="50">
        <f>'Divisional Sales Revenue'!L6-COGS!L6</f>
        <v>3284065.1033712104</v>
      </c>
      <c r="M6" s="50">
        <f>'Divisional Sales Revenue'!M6-COGS!M6</f>
        <v>3172549.9200572073</v>
      </c>
      <c r="N6" s="50">
        <f>'Divisional Sales Revenue'!N6-COGS!N6</f>
        <v>3058763.0818251185</v>
      </c>
      <c r="O6" s="50">
        <f>'Divisional Sales Revenue'!O6-COGS!O6</f>
        <v>2951048.3784715384</v>
      </c>
      <c r="P6" s="50">
        <f>'Divisional Sales Revenue'!P6-COGS!P6</f>
        <v>2832948.9447925556</v>
      </c>
      <c r="Q6" s="50">
        <f>'Divisional Sales Revenue'!Q6-COGS!Q6</f>
        <v>2722911.5650608912</v>
      </c>
    </row>
    <row r="7" spans="2:17" x14ac:dyDescent="0.2">
      <c r="B7" s="10" t="s">
        <v>118</v>
      </c>
      <c r="C7" s="14">
        <f>'Divisional Sales Revenue'!C60*'P&amp;L Input'!D$6</f>
        <v>3515723.2438713918</v>
      </c>
      <c r="D7" s="14">
        <f>'Divisional Sales Revenue'!D60*'P&amp;L Input'!E$6</f>
        <v>3190276.9843588476</v>
      </c>
      <c r="E7" s="14">
        <f>'Divisional Sales Revenue'!E60*'P&amp;L Input'!F$6</f>
        <v>2905207.0078561013</v>
      </c>
      <c r="F7" s="14">
        <f>'Divisional Sales Revenue'!F60*'P&amp;L Input'!G$6</f>
        <v>2664118.2968939622</v>
      </c>
      <c r="G7" s="14">
        <f>'Divisional Sales Revenue'!G60*'P&amp;L Input'!H$6</f>
        <v>1961918.8113946179</v>
      </c>
      <c r="H7" s="50">
        <f>'Divisional Sales Revenue'!H7-COGS!H7</f>
        <v>2103339.1772519425</v>
      </c>
      <c r="I7" s="50">
        <f>'Divisional Sales Revenue'!I7-COGS!I7</f>
        <v>1681389.4619861804</v>
      </c>
      <c r="J7" s="50">
        <f>'Divisional Sales Revenue'!J7-COGS!J7</f>
        <v>1456091.0012537725</v>
      </c>
      <c r="K7" s="50">
        <f>'Divisional Sales Revenue'!K7-COGS!K7</f>
        <v>1226489.3624546751</v>
      </c>
      <c r="L7" s="50">
        <f>'Divisional Sales Revenue'!L7-COGS!L7</f>
        <v>1088991.3972553182</v>
      </c>
      <c r="M7" s="50">
        <f>'Divisional Sales Revenue'!M7-COGS!M7</f>
        <v>771799.01277285162</v>
      </c>
      <c r="N7" s="50">
        <f>'Divisional Sales Revenue'!N7-COGS!N7</f>
        <v>591856.58403604338</v>
      </c>
      <c r="O7" s="50">
        <f>'Divisional Sales Revenue'!O7-COGS!O7</f>
        <v>374135.0126879029</v>
      </c>
      <c r="P7" s="50">
        <f>'Divisional Sales Revenue'!P7-COGS!P7</f>
        <v>151596.56049168628</v>
      </c>
      <c r="Q7" s="50">
        <f>'Divisional Sales Revenue'!Q7-COGS!Q7</f>
        <v>-85547.287672739709</v>
      </c>
    </row>
    <row r="8" spans="2:17" x14ac:dyDescent="0.2">
      <c r="B8" s="10" t="s">
        <v>119</v>
      </c>
      <c r="C8" s="14">
        <f>'Divisional Sales Revenue'!C61*'P&amp;L Input'!D$6</f>
        <v>0</v>
      </c>
      <c r="D8" s="14">
        <f>'Divisional Sales Revenue'!D61*'P&amp;L Input'!E$6</f>
        <v>417456.44263857894</v>
      </c>
      <c r="E8" s="14">
        <f>'Divisional Sales Revenue'!E61*'P&amp;L Input'!F$6</f>
        <v>688003.42014389683</v>
      </c>
      <c r="F8" s="14">
        <f>'Divisional Sales Revenue'!F61*'P&amp;L Input'!G$6</f>
        <v>797104.02023441682</v>
      </c>
      <c r="G8" s="14">
        <f>'Divisional Sales Revenue'!G61*'P&amp;L Input'!H$6</f>
        <v>1054129.2497873551</v>
      </c>
      <c r="H8" s="50">
        <f>'Divisional Sales Revenue'!H8-COGS!H8</f>
        <v>963725.02575534349</v>
      </c>
      <c r="I8" s="50">
        <f>'Divisional Sales Revenue'!I8-COGS!I8</f>
        <v>1136086.6802438106</v>
      </c>
      <c r="J8" s="50">
        <f>'Divisional Sales Revenue'!J8-COGS!J8</f>
        <v>1213286.6446240591</v>
      </c>
      <c r="K8" s="50">
        <f>'Divisional Sales Revenue'!K8-COGS!K8</f>
        <v>1281941.8078658665</v>
      </c>
      <c r="L8" s="50">
        <f>'Divisional Sales Revenue'!L8-COGS!L8</f>
        <v>1343299.8929729657</v>
      </c>
      <c r="M8" s="50">
        <f>'Divisional Sales Revenue'!M8-COGS!M8</f>
        <v>1458762.1006888617</v>
      </c>
      <c r="N8" s="50">
        <f>'Divisional Sales Revenue'!N8-COGS!N8</f>
        <v>1518130.5880445866</v>
      </c>
      <c r="O8" s="50">
        <f>'Divisional Sales Revenue'!O8-COGS!O8</f>
        <v>1598091.4445908461</v>
      </c>
      <c r="P8" s="50">
        <f>'Divisional Sales Revenue'!P8-COGS!P8</f>
        <v>1681283.711569014</v>
      </c>
      <c r="Q8" s="50">
        <f>'Divisional Sales Revenue'!Q8-COGS!Q8</f>
        <v>1764401.8563650148</v>
      </c>
    </row>
    <row r="9" spans="2:17" x14ac:dyDescent="0.2">
      <c r="B9" s="10" t="s">
        <v>120</v>
      </c>
      <c r="C9" s="14">
        <f>'Divisional Sales Revenue'!C62*'P&amp;L Input'!D$6</f>
        <v>0</v>
      </c>
      <c r="D9" s="14">
        <f>'Divisional Sales Revenue'!D62*'P&amp;L Input'!E$6</f>
        <v>0</v>
      </c>
      <c r="E9" s="14">
        <f>'Divisional Sales Revenue'!E62*'P&amp;L Input'!F$6</f>
        <v>0</v>
      </c>
      <c r="F9" s="14">
        <f>'Divisional Sales Revenue'!F62*'P&amp;L Input'!G$6</f>
        <v>563876.81618206657</v>
      </c>
      <c r="G9" s="14">
        <f>'Divisional Sales Revenue'!G62*'P&amp;L Input'!H$6</f>
        <v>591439.68561283092</v>
      </c>
      <c r="H9" s="50">
        <f>'Divisional Sales Revenue'!H9-COGS!H9</f>
        <v>571370.11787470337</v>
      </c>
      <c r="I9" s="50">
        <f>'Divisional Sales Revenue'!I9-COGS!I9</f>
        <v>579348.71592877014</v>
      </c>
      <c r="J9" s="50">
        <f>'Divisional Sales Revenue'!J9-COGS!J9</f>
        <v>582922.29200870683</v>
      </c>
      <c r="K9" s="50">
        <f>'Divisional Sales Revenue'!K9-COGS!K9</f>
        <v>586100.33038080507</v>
      </c>
      <c r="L9" s="50">
        <f>'Divisional Sales Revenue'!L9-COGS!L9</f>
        <v>588940.58797690249</v>
      </c>
      <c r="M9" s="50">
        <f>'Divisional Sales Revenue'!M9-COGS!M9</f>
        <v>594285.31821016874</v>
      </c>
      <c r="N9" s="50">
        <f>'Divisional Sales Revenue'!N9-COGS!N9</f>
        <v>597033.47759106499</v>
      </c>
      <c r="O9" s="50">
        <f>'Divisional Sales Revenue'!O9-COGS!O9</f>
        <v>600734.85500203772</v>
      </c>
      <c r="P9" s="50">
        <f>'Divisional Sales Revenue'!P9-COGS!P9</f>
        <v>604585.81397197372</v>
      </c>
      <c r="Q9" s="50">
        <f>'Divisional Sales Revenue'!Q9-COGS!Q9</f>
        <v>608433.34183595935</v>
      </c>
    </row>
    <row r="10" spans="2:17" x14ac:dyDescent="0.2">
      <c r="B10" s="10" t="s">
        <v>121</v>
      </c>
      <c r="C10" s="14">
        <f>'Divisional Sales Revenue'!C63*'P&amp;L Input'!D$6</f>
        <v>1504978.9550626096</v>
      </c>
      <c r="D10" s="14">
        <f>'Divisional Sales Revenue'!D63*'P&amp;L Input'!E$6</f>
        <v>1398395.3699718989</v>
      </c>
      <c r="E10" s="14">
        <f>'Divisional Sales Revenue'!E63*'P&amp;L Input'!F$6</f>
        <v>1427726.4406572049</v>
      </c>
      <c r="F10" s="14">
        <f>'Divisional Sales Revenue'!F63*'P&amp;L Input'!G$6</f>
        <v>1824419.5195800611</v>
      </c>
      <c r="G10" s="14">
        <f>'Divisional Sales Revenue'!G63*'P&amp;L Input'!H$6</f>
        <v>1962425.7606799845</v>
      </c>
      <c r="H10" s="50">
        <f>'Divisional Sales Revenue'!H10-COGS!H10</f>
        <v>1883600.7233975558</v>
      </c>
      <c r="I10" s="50">
        <f>'Divisional Sales Revenue'!I10-COGS!I10</f>
        <v>1945483.8936774675</v>
      </c>
      <c r="J10" s="50">
        <f>'Divisional Sales Revenue'!J10-COGS!J10</f>
        <v>1973201.0710016489</v>
      </c>
      <c r="K10" s="50">
        <f>'Divisional Sales Revenue'!K10-COGS!K10</f>
        <v>1997850.4001700003</v>
      </c>
      <c r="L10" s="50">
        <f>'Divisional Sales Revenue'!L10-COGS!L10</f>
        <v>2019879.8523703795</v>
      </c>
      <c r="M10" s="50">
        <f>'Divisional Sales Revenue'!M10-COGS!M10</f>
        <v>2061334.3596514957</v>
      </c>
      <c r="N10" s="50">
        <f>'Divisional Sales Revenue'!N10-COGS!N10</f>
        <v>2082649.4846611647</v>
      </c>
      <c r="O10" s="50">
        <f>'Divisional Sales Revenue'!O10-COGS!O10</f>
        <v>2111357.9077501921</v>
      </c>
      <c r="P10" s="50">
        <f>'Divisional Sales Revenue'!P10-COGS!P10</f>
        <v>2141226.5072287749</v>
      </c>
      <c r="Q10" s="50">
        <f>'Divisional Sales Revenue'!Q10-COGS!Q10</f>
        <v>2171068.4945491357</v>
      </c>
    </row>
    <row r="11" spans="2:17" x14ac:dyDescent="0.2">
      <c r="B11" s="51" t="s">
        <v>122</v>
      </c>
      <c r="C11" s="14">
        <f>'Divisional Sales Revenue'!C64*'P&amp;L Input'!D$6</f>
        <v>772400.05715415243</v>
      </c>
      <c r="D11" s="14">
        <f>'Divisional Sales Revenue'!D64*'P&amp;L Input'!E$6</f>
        <v>554779.94606488233</v>
      </c>
      <c r="E11" s="14">
        <f>'Divisional Sales Revenue'!E64*'P&amp;L Input'!F$6</f>
        <v>597726.09602215816</v>
      </c>
      <c r="F11" s="14">
        <f>'Divisional Sales Revenue'!F64*'P&amp;L Input'!G$6</f>
        <v>869323.12370330095</v>
      </c>
      <c r="G11" s="14">
        <f>'Divisional Sales Revenue'!G64*'P&amp;L Input'!H$6</f>
        <v>1080769.1642948587</v>
      </c>
      <c r="H11" s="50">
        <f>'Divisional Sales Revenue'!H11-COGS!H11</f>
        <v>988153.9153897427</v>
      </c>
      <c r="I11" s="50">
        <f>'Divisional Sales Revenue'!I11-COGS!I11</f>
        <v>1034701.9043879556</v>
      </c>
      <c r="J11" s="50">
        <f>'Divisional Sales Revenue'!J11-COGS!J11</f>
        <v>1056271.8758643619</v>
      </c>
      <c r="K11" s="50">
        <f>'Divisional Sales Revenue'!K11-COGS!K11</f>
        <v>1110322.5639864551</v>
      </c>
      <c r="L11" s="50">
        <f>'Divisional Sales Revenue'!L11-COGS!L11</f>
        <v>1111150.6852175863</v>
      </c>
      <c r="M11" s="50">
        <f>'Divisional Sales Revenue'!M11-COGS!M11</f>
        <v>1154069.7473212425</v>
      </c>
      <c r="N11" s="50">
        <f>'Divisional Sales Revenue'!N11-COGS!N11</f>
        <v>1180441.0318655367</v>
      </c>
      <c r="O11" s="50">
        <f>'Divisional Sales Revenue'!O11-COGS!O11</f>
        <v>1209300.2645002636</v>
      </c>
      <c r="P11" s="50">
        <f>'Divisional Sales Revenue'!P11-COGS!P11</f>
        <v>1233210.9828423746</v>
      </c>
      <c r="Q11" s="50">
        <f>'Divisional Sales Revenue'!Q11-COGS!Q11</f>
        <v>1267365.1050635437</v>
      </c>
    </row>
    <row r="12" spans="2:17" x14ac:dyDescent="0.2">
      <c r="B12" s="20" t="s">
        <v>123</v>
      </c>
      <c r="C12" s="98">
        <f>'Divisional Sales Revenue'!C65*'P&amp;L Input'!D$6</f>
        <v>-463241.49989362439</v>
      </c>
      <c r="D12" s="98">
        <f>'Divisional Sales Revenue'!D65*'P&amp;L Input'!E$6</f>
        <v>-416674.1049424368</v>
      </c>
      <c r="E12" s="98">
        <f>'Divisional Sales Revenue'!E65*'P&amp;L Input'!F$6</f>
        <v>-481110.13247215177</v>
      </c>
      <c r="F12" s="98">
        <f>'Divisional Sales Revenue'!F65*'P&amp;L Input'!G$6</f>
        <v>-404168.97987137135</v>
      </c>
      <c r="G12" s="98">
        <f>'Divisional Sales Revenue'!G65*'P&amp;L Input'!H$6</f>
        <v>-314718.14834798092</v>
      </c>
      <c r="H12" s="99">
        <f>'Divisional Sales Revenue'!H12-COGS!H12</f>
        <v>-358674.80433512153</v>
      </c>
      <c r="I12" s="99">
        <f>'Divisional Sales Revenue'!I12-COGS!I12</f>
        <v>-334871.98214582121</v>
      </c>
      <c r="J12" s="99">
        <f>'Divisional Sales Revenue'!J12-COGS!J12</f>
        <v>-327044.51300882793</v>
      </c>
      <c r="K12" s="99">
        <f>'Divisional Sales Revenue'!K12-COGS!K12</f>
        <v>-294512.55417526269</v>
      </c>
      <c r="L12" s="99">
        <f>'Divisional Sales Revenue'!L12-COGS!L12</f>
        <v>-290783.13835459889</v>
      </c>
      <c r="M12" s="99">
        <f>'Divisional Sales Revenue'!M12-COGS!M12</f>
        <v>-270118.18598820409</v>
      </c>
      <c r="N12" s="99">
        <f>'Divisional Sales Revenue'!N12-COGS!N12</f>
        <v>-254484.52336509188</v>
      </c>
      <c r="O12" s="99">
        <f>'Divisional Sales Revenue'!O12-COGS!O12</f>
        <v>-237271.95979362598</v>
      </c>
      <c r="P12" s="99">
        <f>'Divisional Sales Revenue'!P12-COGS!P12</f>
        <v>-224698.78746788879</v>
      </c>
      <c r="Q12" s="99">
        <f>'Divisional Sales Revenue'!Q12-COGS!Q12</f>
        <v>-206208.46570928651</v>
      </c>
    </row>
    <row r="13" spans="2:17" ht="17" thickBot="1" x14ac:dyDescent="0.25">
      <c r="B13" s="34" t="s">
        <v>124</v>
      </c>
      <c r="C13" s="53">
        <f>SUM(C5:C12)</f>
        <v>13741645</v>
      </c>
      <c r="D13" s="53">
        <f t="shared" ref="D13:Q13" si="0">SUM(D5:D12)</f>
        <v>12873945</v>
      </c>
      <c r="E13" s="53">
        <f t="shared" si="0"/>
        <v>13736739.999999998</v>
      </c>
      <c r="F13" s="53">
        <f t="shared" si="0"/>
        <v>14658720.999999998</v>
      </c>
      <c r="G13" s="53">
        <f t="shared" si="0"/>
        <v>15081044.000000002</v>
      </c>
      <c r="H13" s="53">
        <f t="shared" si="0"/>
        <v>14625604.962710366</v>
      </c>
      <c r="I13" s="53">
        <f t="shared" si="0"/>
        <v>14667894.71670399</v>
      </c>
      <c r="J13" s="53">
        <f t="shared" si="0"/>
        <v>14647658.622702749</v>
      </c>
      <c r="K13" s="53">
        <f t="shared" si="0"/>
        <v>14688134.964248074</v>
      </c>
      <c r="L13" s="53">
        <f t="shared" si="0"/>
        <v>14717936.547724944</v>
      </c>
      <c r="M13" s="53">
        <f t="shared" si="0"/>
        <v>14732951.104265403</v>
      </c>
      <c r="N13" s="53">
        <f t="shared" si="0"/>
        <v>14750528.97955073</v>
      </c>
      <c r="O13" s="53">
        <f t="shared" si="0"/>
        <v>14781774.405556055</v>
      </c>
      <c r="P13" s="53">
        <f t="shared" si="0"/>
        <v>14800055.432806643</v>
      </c>
      <c r="Q13" s="53">
        <f t="shared" si="0"/>
        <v>14820779.321225675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2:A13"/>
  <sheetViews>
    <sheetView showGridLines="0" workbookViewId="0">
      <selection activeCell="B7" sqref="B7"/>
    </sheetView>
  </sheetViews>
  <sheetFormatPr baseColWidth="10" defaultRowHeight="16" x14ac:dyDescent="0.2"/>
  <sheetData>
    <row r="12" spans="1:1" ht="18" customHeight="1" x14ac:dyDescent="0.2"/>
    <row r="13" spans="1:1" ht="61" customHeight="1" x14ac:dyDescent="0.45">
      <c r="A13" s="175" t="s">
        <v>354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showGridLines="0" zoomScale="150" workbookViewId="0">
      <selection activeCell="B5" sqref="B5"/>
    </sheetView>
  </sheetViews>
  <sheetFormatPr baseColWidth="10" defaultRowHeight="16" x14ac:dyDescent="0.2"/>
  <cols>
    <col min="1" max="1" width="2.33203125" customWidth="1"/>
    <col min="5" max="5" width="16.6640625" customWidth="1"/>
    <col min="6" max="6" width="16.83203125" customWidth="1"/>
    <col min="7" max="7" width="18.6640625" customWidth="1"/>
  </cols>
  <sheetData>
    <row r="1" spans="2:7" x14ac:dyDescent="0.2">
      <c r="B1" s="70" t="s">
        <v>163</v>
      </c>
    </row>
    <row r="4" spans="2:7" x14ac:dyDescent="0.2">
      <c r="B4" s="306" t="s">
        <v>247</v>
      </c>
    </row>
    <row r="6" spans="2:7" x14ac:dyDescent="0.2">
      <c r="B6" s="72" t="s">
        <v>4</v>
      </c>
      <c r="C6" s="72"/>
      <c r="D6" s="72"/>
      <c r="E6" s="100" t="s">
        <v>160</v>
      </c>
      <c r="F6" s="100" t="s">
        <v>161</v>
      </c>
      <c r="G6" s="101" t="s">
        <v>162</v>
      </c>
    </row>
    <row r="7" spans="2:7" x14ac:dyDescent="0.2">
      <c r="B7" t="s">
        <v>137</v>
      </c>
      <c r="E7" s="74">
        <v>84139684</v>
      </c>
      <c r="F7" s="102">
        <f>E7/'Sales Comparables'!E8</f>
        <v>0.89819821231623753</v>
      </c>
      <c r="G7" s="102">
        <f>F7</f>
        <v>0.89819821231623753</v>
      </c>
    </row>
    <row r="8" spans="2:7" x14ac:dyDescent="0.2">
      <c r="B8" t="s">
        <v>138</v>
      </c>
      <c r="E8" s="74">
        <v>21247688</v>
      </c>
      <c r="F8" s="102">
        <f>E8/'Sales Comparables'!E9</f>
        <v>0.8958510248027638</v>
      </c>
      <c r="G8" s="103">
        <f>F8</f>
        <v>0.8958510248027638</v>
      </c>
    </row>
    <row r="9" spans="2:7" x14ac:dyDescent="0.2">
      <c r="B9" s="104" t="s">
        <v>140</v>
      </c>
      <c r="C9" s="104"/>
      <c r="D9" s="104"/>
      <c r="E9" s="105">
        <v>358900</v>
      </c>
      <c r="F9" s="106">
        <f>E9/'Sales Comparables'!E11</f>
        <v>0.97921788075314375</v>
      </c>
      <c r="G9" s="104"/>
    </row>
    <row r="10" spans="2:7" x14ac:dyDescent="0.2">
      <c r="B10" t="s">
        <v>141</v>
      </c>
      <c r="E10" s="74">
        <v>184884746</v>
      </c>
      <c r="F10" s="102">
        <f>E10/'Sales Comparables'!E12</f>
        <v>0.758434888684549</v>
      </c>
      <c r="G10" s="103">
        <f>F10</f>
        <v>0.758434888684549</v>
      </c>
    </row>
    <row r="11" spans="2:7" x14ac:dyDescent="0.2">
      <c r="B11" t="s">
        <v>142</v>
      </c>
      <c r="E11" s="74">
        <v>87283301</v>
      </c>
      <c r="F11" s="102">
        <f>E11/'Sales Comparables'!E13</f>
        <v>0.68223049293798943</v>
      </c>
      <c r="G11" s="103">
        <f>F11</f>
        <v>0.68223049293798943</v>
      </c>
    </row>
    <row r="12" spans="2:7" x14ac:dyDescent="0.2">
      <c r="B12" t="s">
        <v>143</v>
      </c>
      <c r="E12" s="74">
        <v>14551025</v>
      </c>
      <c r="F12" s="102">
        <f>E12/'Sales Comparables'!E14</f>
        <v>0.93649444556322436</v>
      </c>
      <c r="G12" s="103">
        <f>F12</f>
        <v>0.93649444556322436</v>
      </c>
    </row>
    <row r="13" spans="2:7" x14ac:dyDescent="0.2">
      <c r="B13" s="107" t="s">
        <v>145</v>
      </c>
      <c r="C13" s="107"/>
      <c r="D13" s="107"/>
      <c r="E13" s="108">
        <v>1411138</v>
      </c>
      <c r="F13" s="109">
        <f>E13/'Sales Comparables'!E16</f>
        <v>1.5879552265174968</v>
      </c>
      <c r="G13" s="107"/>
    </row>
    <row r="14" spans="2:7" x14ac:dyDescent="0.2">
      <c r="B14" s="76" t="s">
        <v>146</v>
      </c>
      <c r="E14" s="74">
        <f>AVERAGE(E7:E13)</f>
        <v>56268068.857142858</v>
      </c>
      <c r="F14" s="103">
        <f>AVERAGE(F7:F13)</f>
        <v>0.96262602451077206</v>
      </c>
      <c r="G14" s="110">
        <f>AVERAGE(G7:G8,G10:G12)</f>
        <v>0.83424181286095289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showGridLines="0" workbookViewId="0">
      <selection activeCell="B2" sqref="B2"/>
    </sheetView>
  </sheetViews>
  <sheetFormatPr baseColWidth="10" defaultRowHeight="16" x14ac:dyDescent="0.2"/>
  <cols>
    <col min="1" max="1" width="3.1640625" customWidth="1"/>
    <col min="2" max="2" width="33.83203125" customWidth="1"/>
    <col min="3" max="7" width="11" bestFit="1" customWidth="1"/>
    <col min="8" max="17" width="11.6640625" bestFit="1" customWidth="1"/>
  </cols>
  <sheetData>
    <row r="1" spans="2:19" x14ac:dyDescent="0.2">
      <c r="B1" s="70" t="s">
        <v>173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2:19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2:19" x14ac:dyDescent="0.2">
      <c r="B3" s="111"/>
      <c r="C3" s="310" t="s">
        <v>164</v>
      </c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</row>
    <row r="4" spans="2:19" ht="24" x14ac:dyDescent="0.2">
      <c r="B4" s="112" t="s">
        <v>165</v>
      </c>
      <c r="C4" s="113" t="s">
        <v>166</v>
      </c>
      <c r="D4" s="113" t="s">
        <v>167</v>
      </c>
      <c r="E4" s="113" t="s">
        <v>168</v>
      </c>
      <c r="F4" s="113" t="s">
        <v>169</v>
      </c>
      <c r="G4" s="113" t="s">
        <v>170</v>
      </c>
      <c r="H4" s="49" t="s">
        <v>106</v>
      </c>
      <c r="I4" s="49" t="s">
        <v>107</v>
      </c>
      <c r="J4" s="49" t="s">
        <v>108</v>
      </c>
      <c r="K4" s="49" t="s">
        <v>109</v>
      </c>
      <c r="L4" s="49" t="s">
        <v>110</v>
      </c>
      <c r="M4" s="49" t="s">
        <v>111</v>
      </c>
      <c r="N4" s="49" t="s">
        <v>112</v>
      </c>
      <c r="O4" s="49" t="s">
        <v>113</v>
      </c>
      <c r="P4" s="49" t="s">
        <v>114</v>
      </c>
      <c r="Q4" s="49" t="s">
        <v>115</v>
      </c>
      <c r="R4" s="114"/>
      <c r="S4" s="114"/>
    </row>
    <row r="5" spans="2:19" x14ac:dyDescent="0.2">
      <c r="B5" s="115" t="s">
        <v>171</v>
      </c>
      <c r="C5" s="116">
        <f>'P&amp;L Input'!D4</f>
        <v>59040767</v>
      </c>
      <c r="D5" s="116">
        <f>'P&amp;L Input'!E4</f>
        <v>56509008</v>
      </c>
      <c r="E5" s="116">
        <f>'P&amp;L Input'!F4</f>
        <v>55367033</v>
      </c>
      <c r="F5" s="116">
        <f>'P&amp;L Input'!G4</f>
        <v>61396284</v>
      </c>
      <c r="G5" s="116">
        <f>'P&amp;L Input'!H4</f>
        <v>61341664</v>
      </c>
      <c r="H5" s="117">
        <f>'Divisional Sales Revenue'!H13</f>
        <v>61283114.699258633</v>
      </c>
      <c r="I5" s="117">
        <f>'Divisional Sales Revenue'!I13</f>
        <v>61460314.059640817</v>
      </c>
      <c r="J5" s="117">
        <f>'Divisional Sales Revenue'!J13</f>
        <v>61375522.293904975</v>
      </c>
      <c r="K5" s="117">
        <f>'Divisional Sales Revenue'!K13</f>
        <v>61545123.229240857</v>
      </c>
      <c r="L5" s="117">
        <f>'Divisional Sales Revenue'!L13</f>
        <v>61669995.592680797</v>
      </c>
      <c r="M5" s="117">
        <f>'Divisional Sales Revenue'!M13</f>
        <v>61732908.463155113</v>
      </c>
      <c r="N5" s="117">
        <f>'Divisional Sales Revenue'!N13</f>
        <v>61806561.959884048</v>
      </c>
      <c r="O5" s="117">
        <f>'Divisional Sales Revenue'!O13</f>
        <v>61937484.204166844</v>
      </c>
      <c r="P5" s="117">
        <f>'Divisional Sales Revenue'!P13</f>
        <v>62014083.995606191</v>
      </c>
      <c r="Q5" s="117">
        <f>'Divisional Sales Revenue'!Q13</f>
        <v>62100919.680983767</v>
      </c>
      <c r="R5" s="118"/>
      <c r="S5" s="118"/>
    </row>
    <row r="6" spans="2:19" x14ac:dyDescent="0.2">
      <c r="B6" s="111" t="s">
        <v>172</v>
      </c>
      <c r="C6" s="119">
        <f>C7/C5</f>
        <v>0.96902890844897049</v>
      </c>
      <c r="D6" s="119">
        <f>D7/D5</f>
        <v>0.97890086833589429</v>
      </c>
      <c r="E6" s="119">
        <f>E7/E5</f>
        <v>0.97583827545897217</v>
      </c>
      <c r="F6" s="119">
        <f>F7/F5</f>
        <v>0.95979318552894832</v>
      </c>
      <c r="G6" s="119">
        <f>G7/G5</f>
        <v>0.95593058903651518</v>
      </c>
      <c r="H6" s="120">
        <f>H28</f>
        <v>0.96789836536186002</v>
      </c>
      <c r="I6" s="120">
        <f t="shared" ref="I6:Q6" si="0">I28</f>
        <v>0.96767225674443791</v>
      </c>
      <c r="J6" s="120">
        <f t="shared" si="0"/>
        <v>0.96542653442614657</v>
      </c>
      <c r="K6" s="120">
        <f t="shared" si="0"/>
        <v>0.96334418621958162</v>
      </c>
      <c r="L6" s="120">
        <f t="shared" si="0"/>
        <v>0.96405438635770824</v>
      </c>
      <c r="M6" s="120">
        <f t="shared" si="0"/>
        <v>0.9656791458219468</v>
      </c>
      <c r="N6" s="120">
        <f t="shared" si="0"/>
        <v>0.96523530191396423</v>
      </c>
      <c r="O6" s="120">
        <f t="shared" si="0"/>
        <v>0.96474791094786949</v>
      </c>
      <c r="P6" s="120">
        <f t="shared" si="0"/>
        <v>0.96461218625221401</v>
      </c>
      <c r="Q6" s="120">
        <f t="shared" si="0"/>
        <v>0.96486578625874064</v>
      </c>
      <c r="R6" s="121"/>
      <c r="S6" s="121"/>
    </row>
    <row r="7" spans="2:19" x14ac:dyDescent="0.2">
      <c r="B7" s="122" t="s">
        <v>173</v>
      </c>
      <c r="C7" s="123">
        <v>57212210</v>
      </c>
      <c r="D7" s="123">
        <v>55316717</v>
      </c>
      <c r="E7" s="145">
        <v>54029270</v>
      </c>
      <c r="F7" s="145">
        <v>58927735</v>
      </c>
      <c r="G7" s="145">
        <v>58638373</v>
      </c>
      <c r="H7" s="124">
        <f>H5*H6</f>
        <v>59315826.541695803</v>
      </c>
      <c r="I7" s="124">
        <f t="shared" ref="I7:Q7" si="1">I5*I6</f>
        <v>59473440.806314535</v>
      </c>
      <c r="J7" s="124">
        <f t="shared" si="1"/>
        <v>59253557.786799379</v>
      </c>
      <c r="K7" s="124">
        <f t="shared" si="1"/>
        <v>59289136.653056905</v>
      </c>
      <c r="L7" s="124">
        <f t="shared" si="1"/>
        <v>59453229.757784456</v>
      </c>
      <c r="M7" s="124">
        <f t="shared" si="1"/>
        <v>59614182.31380406</v>
      </c>
      <c r="N7" s="124">
        <f t="shared" si="1"/>
        <v>59657875.493612818</v>
      </c>
      <c r="O7" s="124">
        <f t="shared" si="1"/>
        <v>59754058.495336629</v>
      </c>
      <c r="P7" s="124">
        <f t="shared" si="1"/>
        <v>59819541.141430125</v>
      </c>
      <c r="Q7" s="124">
        <f t="shared" si="1"/>
        <v>59919052.695383303</v>
      </c>
      <c r="R7" s="125"/>
      <c r="S7" s="125"/>
    </row>
    <row r="8" spans="2:19" x14ac:dyDescent="0.2">
      <c r="B8" s="126"/>
      <c r="C8" s="31"/>
      <c r="D8" s="31"/>
      <c r="E8" s="31"/>
      <c r="F8" s="31"/>
      <c r="G8" s="31"/>
      <c r="H8" s="51"/>
      <c r="I8" s="51"/>
      <c r="J8" s="51"/>
      <c r="K8" s="51"/>
      <c r="L8" s="51"/>
      <c r="M8" s="51"/>
      <c r="N8" s="51"/>
      <c r="O8" s="51"/>
      <c r="P8" s="51"/>
      <c r="Q8" s="51"/>
      <c r="R8" s="10"/>
      <c r="S8" s="10"/>
    </row>
    <row r="9" spans="2:19" x14ac:dyDescent="0.2">
      <c r="B9" s="10"/>
      <c r="C9" s="10"/>
      <c r="D9" s="116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2:19" x14ac:dyDescent="0.2">
      <c r="B10" s="10"/>
      <c r="C10" s="45"/>
      <c r="D10" s="45"/>
      <c r="E10" s="45"/>
      <c r="F10" s="45"/>
      <c r="G10" s="45"/>
      <c r="H10" s="45"/>
      <c r="I10" s="46" t="s">
        <v>174</v>
      </c>
      <c r="J10" s="45"/>
      <c r="K10" s="45"/>
      <c r="L10" s="45"/>
      <c r="M10" s="45"/>
      <c r="N10" s="45"/>
      <c r="O10" s="45"/>
      <c r="P10" s="45"/>
      <c r="Q10" s="45"/>
      <c r="R10" s="10"/>
      <c r="S10" s="10"/>
    </row>
    <row r="11" spans="2:19" x14ac:dyDescent="0.2">
      <c r="B11" s="47" t="s">
        <v>175</v>
      </c>
      <c r="C11" s="48" t="s">
        <v>16</v>
      </c>
      <c r="D11" s="48" t="s">
        <v>17</v>
      </c>
      <c r="E11" s="48" t="s">
        <v>18</v>
      </c>
      <c r="F11" s="48" t="s">
        <v>19</v>
      </c>
      <c r="G11" s="48" t="s">
        <v>20</v>
      </c>
      <c r="H11" s="49" t="s">
        <v>106</v>
      </c>
      <c r="I11" s="49" t="s">
        <v>107</v>
      </c>
      <c r="J11" s="49" t="s">
        <v>108</v>
      </c>
      <c r="K11" s="49" t="s">
        <v>109</v>
      </c>
      <c r="L11" s="49" t="s">
        <v>110</v>
      </c>
      <c r="M11" s="49" t="s">
        <v>111</v>
      </c>
      <c r="N11" s="49" t="s">
        <v>112</v>
      </c>
      <c r="O11" s="49" t="s">
        <v>113</v>
      </c>
      <c r="P11" s="49" t="s">
        <v>114</v>
      </c>
      <c r="Q11" s="49" t="s">
        <v>115</v>
      </c>
      <c r="R11" s="111"/>
      <c r="S11" s="111"/>
    </row>
    <row r="12" spans="2:19" x14ac:dyDescent="0.2">
      <c r="B12" s="127" t="s">
        <v>176</v>
      </c>
      <c r="C12" s="128">
        <v>-555698</v>
      </c>
      <c r="D12" s="128">
        <v>484862</v>
      </c>
      <c r="E12" s="129">
        <v>-162369</v>
      </c>
      <c r="F12" s="129">
        <v>-576537</v>
      </c>
      <c r="G12" s="129">
        <v>236025</v>
      </c>
      <c r="H12" s="99">
        <f t="shared" ref="H12:Q20" si="2">$C42*H$7</f>
        <v>-576130.27319810365</v>
      </c>
      <c r="I12" s="99">
        <f t="shared" si="2"/>
        <v>-577661.16899150331</v>
      </c>
      <c r="J12" s="99">
        <f t="shared" si="2"/>
        <v>-575525.46134835284</v>
      </c>
      <c r="K12" s="99">
        <f t="shared" si="2"/>
        <v>-575871.03626709082</v>
      </c>
      <c r="L12" s="99">
        <f t="shared" si="2"/>
        <v>-577464.86055933358</v>
      </c>
      <c r="M12" s="99">
        <f t="shared" si="2"/>
        <v>-579028.18093229213</v>
      </c>
      <c r="N12" s="99">
        <f t="shared" si="2"/>
        <v>-579452.56958347978</v>
      </c>
      <c r="O12" s="99">
        <f t="shared" si="2"/>
        <v>-580386.78802552074</v>
      </c>
      <c r="P12" s="99">
        <f t="shared" si="2"/>
        <v>-581022.81616477389</v>
      </c>
      <c r="Q12" s="99">
        <f t="shared" si="2"/>
        <v>-581989.36459051503</v>
      </c>
      <c r="R12" s="149"/>
      <c r="S12" s="149"/>
    </row>
    <row r="13" spans="2:19" x14ac:dyDescent="0.2">
      <c r="B13" s="127" t="s">
        <v>177</v>
      </c>
      <c r="C13" s="123">
        <v>37856599</v>
      </c>
      <c r="D13" s="130">
        <v>35284070</v>
      </c>
      <c r="E13" s="123">
        <v>33936093</v>
      </c>
      <c r="F13" s="123">
        <v>38558819</v>
      </c>
      <c r="G13" s="123">
        <v>37196178</v>
      </c>
      <c r="H13" s="146">
        <f t="shared" si="2"/>
        <v>39248535.579075426</v>
      </c>
      <c r="I13" s="146">
        <f t="shared" si="2"/>
        <v>39352826.953457765</v>
      </c>
      <c r="J13" s="146">
        <f t="shared" si="2"/>
        <v>39207333.127984248</v>
      </c>
      <c r="K13" s="146">
        <f t="shared" si="2"/>
        <v>39230875.215814546</v>
      </c>
      <c r="L13" s="146">
        <f t="shared" si="2"/>
        <v>39339453.557122037</v>
      </c>
      <c r="M13" s="146">
        <f t="shared" si="2"/>
        <v>39445953.836892024</v>
      </c>
      <c r="N13" s="146">
        <f t="shared" si="2"/>
        <v>39474865.063832134</v>
      </c>
      <c r="O13" s="146">
        <f t="shared" si="2"/>
        <v>39538508.145035863</v>
      </c>
      <c r="P13" s="146">
        <f t="shared" si="2"/>
        <v>39581837.187466145</v>
      </c>
      <c r="Q13" s="146">
        <f t="shared" si="2"/>
        <v>39647682.729770355</v>
      </c>
      <c r="R13" s="150"/>
      <c r="S13" s="150"/>
    </row>
    <row r="14" spans="2:19" x14ac:dyDescent="0.2">
      <c r="B14" s="127" t="s">
        <v>178</v>
      </c>
      <c r="C14" s="123">
        <v>6095018</v>
      </c>
      <c r="D14" s="123">
        <v>6210216</v>
      </c>
      <c r="E14" s="123">
        <v>6371390</v>
      </c>
      <c r="F14" s="123">
        <v>6787531</v>
      </c>
      <c r="G14" s="123">
        <v>6825822</v>
      </c>
      <c r="H14" s="146">
        <f t="shared" si="2"/>
        <v>6319123.6705681123</v>
      </c>
      <c r="I14" s="146">
        <f t="shared" si="2"/>
        <v>6335914.8726543095</v>
      </c>
      <c r="J14" s="146">
        <f t="shared" si="2"/>
        <v>6312489.9610517118</v>
      </c>
      <c r="K14" s="146">
        <f t="shared" si="2"/>
        <v>6316280.3028381811</v>
      </c>
      <c r="L14" s="146">
        <f t="shared" si="2"/>
        <v>6333761.7185532935</v>
      </c>
      <c r="M14" s="146">
        <f t="shared" si="2"/>
        <v>6350908.5605663089</v>
      </c>
      <c r="N14" s="146">
        <f t="shared" si="2"/>
        <v>6355563.3487209985</v>
      </c>
      <c r="O14" s="146">
        <f t="shared" si="2"/>
        <v>6365810.0622599563</v>
      </c>
      <c r="P14" s="146">
        <f t="shared" si="2"/>
        <v>6372786.1589118326</v>
      </c>
      <c r="Q14" s="146">
        <f t="shared" si="2"/>
        <v>6383387.4748294074</v>
      </c>
      <c r="R14" s="150"/>
      <c r="S14" s="150"/>
    </row>
    <row r="15" spans="2:19" x14ac:dyDescent="0.2">
      <c r="B15" s="127" t="s">
        <v>179</v>
      </c>
      <c r="C15" s="123">
        <v>1876576</v>
      </c>
      <c r="D15" s="123">
        <v>1901626</v>
      </c>
      <c r="E15" s="123">
        <v>1721684</v>
      </c>
      <c r="F15" s="123">
        <v>1755125</v>
      </c>
      <c r="G15" s="123">
        <v>1981739</v>
      </c>
      <c r="H15" s="146">
        <f t="shared" si="2"/>
        <v>1945575.1929231426</v>
      </c>
      <c r="I15" s="146">
        <f t="shared" si="2"/>
        <v>1950744.9835367401</v>
      </c>
      <c r="J15" s="146">
        <f t="shared" si="2"/>
        <v>1943532.7608795541</v>
      </c>
      <c r="K15" s="146">
        <f t="shared" si="2"/>
        <v>1944699.7573393323</v>
      </c>
      <c r="L15" s="146">
        <f t="shared" si="2"/>
        <v>1950082.055665113</v>
      </c>
      <c r="M15" s="146">
        <f t="shared" si="2"/>
        <v>1955361.343141773</v>
      </c>
      <c r="N15" s="146">
        <f t="shared" si="2"/>
        <v>1956794.4912860729</v>
      </c>
      <c r="O15" s="146">
        <f t="shared" si="2"/>
        <v>1959949.3198208013</v>
      </c>
      <c r="P15" s="146">
        <f t="shared" si="2"/>
        <v>1962097.1683670389</v>
      </c>
      <c r="Q15" s="146">
        <f t="shared" si="2"/>
        <v>1965361.1743173639</v>
      </c>
      <c r="R15" s="150"/>
      <c r="S15" s="150"/>
    </row>
    <row r="16" spans="2:19" x14ac:dyDescent="0.2">
      <c r="B16" s="127" t="s">
        <v>180</v>
      </c>
      <c r="C16" s="123">
        <v>1153182</v>
      </c>
      <c r="D16" s="123">
        <v>1088882</v>
      </c>
      <c r="E16" s="123">
        <v>1322215</v>
      </c>
      <c r="F16" s="123">
        <v>1251010</v>
      </c>
      <c r="G16" s="123">
        <v>1374365</v>
      </c>
      <c r="H16" s="146">
        <f t="shared" si="2"/>
        <v>1195582.9618014379</v>
      </c>
      <c r="I16" s="146">
        <f t="shared" si="2"/>
        <v>1198759.8698932868</v>
      </c>
      <c r="J16" s="146">
        <f t="shared" si="2"/>
        <v>1194327.8589604716</v>
      </c>
      <c r="K16" s="146">
        <f t="shared" si="2"/>
        <v>1195044.9944836157</v>
      </c>
      <c r="L16" s="146">
        <f t="shared" si="2"/>
        <v>1198352.4915143356</v>
      </c>
      <c r="M16" s="146">
        <f t="shared" si="2"/>
        <v>1201596.6869484186</v>
      </c>
      <c r="N16" s="146">
        <f t="shared" si="2"/>
        <v>1202477.3763760466</v>
      </c>
      <c r="O16" s="146">
        <f t="shared" si="2"/>
        <v>1204416.0623015487</v>
      </c>
      <c r="P16" s="146">
        <f t="shared" si="2"/>
        <v>1205735.9450466372</v>
      </c>
      <c r="Q16" s="146">
        <f t="shared" si="2"/>
        <v>1207741.7220094716</v>
      </c>
      <c r="R16" s="149"/>
      <c r="S16" s="149"/>
    </row>
    <row r="17" spans="2:19" x14ac:dyDescent="0.2">
      <c r="B17" s="127" t="s">
        <v>181</v>
      </c>
      <c r="C17" s="123">
        <v>833284</v>
      </c>
      <c r="D17" s="123">
        <v>698107</v>
      </c>
      <c r="E17" s="123">
        <v>761576</v>
      </c>
      <c r="F17" s="123">
        <v>813201</v>
      </c>
      <c r="G17" s="123">
        <v>785333</v>
      </c>
      <c r="H17" s="146">
        <f t="shared" si="2"/>
        <v>863922.73963845219</v>
      </c>
      <c r="I17" s="146">
        <f t="shared" si="2"/>
        <v>866218.35878825525</v>
      </c>
      <c r="J17" s="146">
        <f t="shared" si="2"/>
        <v>863015.80810836249</v>
      </c>
      <c r="K17" s="146">
        <f t="shared" si="2"/>
        <v>863534.00693323812</v>
      </c>
      <c r="L17" s="146">
        <f t="shared" si="2"/>
        <v>865923.98904859065</v>
      </c>
      <c r="M17" s="146">
        <f t="shared" si="2"/>
        <v>868268.22972187062</v>
      </c>
      <c r="N17" s="146">
        <f t="shared" si="2"/>
        <v>868904.61184456374</v>
      </c>
      <c r="O17" s="146">
        <f t="shared" si="2"/>
        <v>870305.49736198073</v>
      </c>
      <c r="P17" s="146">
        <f t="shared" si="2"/>
        <v>871259.23855232063</v>
      </c>
      <c r="Q17" s="146">
        <f t="shared" si="2"/>
        <v>872708.60374419694</v>
      </c>
      <c r="R17" s="150"/>
      <c r="S17" s="150"/>
    </row>
    <row r="18" spans="2:19" x14ac:dyDescent="0.2">
      <c r="B18" s="127" t="s">
        <v>182</v>
      </c>
      <c r="C18" s="123">
        <v>1587319</v>
      </c>
      <c r="D18" s="123">
        <v>1443815</v>
      </c>
      <c r="E18" s="123">
        <v>1377625</v>
      </c>
      <c r="F18" s="123">
        <v>1505861</v>
      </c>
      <c r="G18" s="123">
        <v>1570672</v>
      </c>
      <c r="H18" s="146">
        <f t="shared" si="2"/>
        <v>1645682.5994020863</v>
      </c>
      <c r="I18" s="146">
        <f t="shared" si="2"/>
        <v>1650055.514150535</v>
      </c>
      <c r="J18" s="146">
        <f t="shared" si="2"/>
        <v>1643954.9895482904</v>
      </c>
      <c r="K18" s="146">
        <f t="shared" si="2"/>
        <v>1644942.1041940807</v>
      </c>
      <c r="L18" s="146">
        <f t="shared" si="2"/>
        <v>1649494.7705375594</v>
      </c>
      <c r="M18" s="146">
        <f t="shared" si="2"/>
        <v>1653960.304210677</v>
      </c>
      <c r="N18" s="146">
        <f t="shared" si="2"/>
        <v>1655172.5456969063</v>
      </c>
      <c r="O18" s="146">
        <f t="shared" si="2"/>
        <v>1657841.0863128558</v>
      </c>
      <c r="P18" s="146">
        <f t="shared" si="2"/>
        <v>1659657.863681087</v>
      </c>
      <c r="Q18" s="146">
        <f t="shared" si="2"/>
        <v>1662418.7530141403</v>
      </c>
      <c r="R18" s="150"/>
      <c r="S18" s="150"/>
    </row>
    <row r="19" spans="2:19" x14ac:dyDescent="0.2">
      <c r="B19" s="127" t="s">
        <v>183</v>
      </c>
      <c r="C19" s="123">
        <v>2751176</v>
      </c>
      <c r="D19" s="123">
        <v>2771935</v>
      </c>
      <c r="E19" s="123">
        <v>2811245</v>
      </c>
      <c r="F19" s="123">
        <v>2982121</v>
      </c>
      <c r="G19" s="123">
        <v>3121469</v>
      </c>
      <c r="H19" s="146">
        <f t="shared" si="2"/>
        <v>2852333.0666946182</v>
      </c>
      <c r="I19" s="146">
        <f t="shared" si="2"/>
        <v>2859912.2981572151</v>
      </c>
      <c r="J19" s="146">
        <f t="shared" si="2"/>
        <v>2849338.7355191414</v>
      </c>
      <c r="K19" s="146">
        <f t="shared" si="2"/>
        <v>2851049.6242080228</v>
      </c>
      <c r="L19" s="146">
        <f t="shared" si="2"/>
        <v>2858940.4050656743</v>
      </c>
      <c r="M19" s="146">
        <f t="shared" si="2"/>
        <v>2866680.1656737644</v>
      </c>
      <c r="N19" s="146">
        <f t="shared" si="2"/>
        <v>2868781.2491252436</v>
      </c>
      <c r="O19" s="146">
        <f t="shared" si="2"/>
        <v>2873406.4220726006</v>
      </c>
      <c r="P19" s="146">
        <f t="shared" si="2"/>
        <v>2876555.3003338827</v>
      </c>
      <c r="Q19" s="146">
        <f t="shared" si="2"/>
        <v>2881340.5340970722</v>
      </c>
      <c r="R19" s="149"/>
      <c r="S19" s="149"/>
    </row>
    <row r="20" spans="2:19" x14ac:dyDescent="0.2">
      <c r="B20" s="131" t="s">
        <v>122</v>
      </c>
      <c r="C20" s="132">
        <v>5614754</v>
      </c>
      <c r="D20" s="133">
        <v>5443204</v>
      </c>
      <c r="E20" s="132">
        <v>5889811</v>
      </c>
      <c r="F20" s="132">
        <v>5850604</v>
      </c>
      <c r="G20" s="132">
        <v>5546770</v>
      </c>
      <c r="H20" s="147">
        <f t="shared" si="2"/>
        <v>5821201.0047906321</v>
      </c>
      <c r="I20" s="147">
        <f t="shared" si="2"/>
        <v>5836669.1246679295</v>
      </c>
      <c r="J20" s="147">
        <f t="shared" si="2"/>
        <v>5815090.0060959533</v>
      </c>
      <c r="K20" s="147">
        <f t="shared" si="2"/>
        <v>5818581.6835129745</v>
      </c>
      <c r="L20" s="147">
        <f t="shared" si="2"/>
        <v>5834685.6308371816</v>
      </c>
      <c r="M20" s="147">
        <f t="shared" si="2"/>
        <v>5850481.3675815109</v>
      </c>
      <c r="N20" s="147">
        <f t="shared" si="2"/>
        <v>5854769.3763143308</v>
      </c>
      <c r="O20" s="147">
        <f t="shared" si="2"/>
        <v>5864208.6881965455</v>
      </c>
      <c r="P20" s="147">
        <f t="shared" si="2"/>
        <v>5870635.0952359531</v>
      </c>
      <c r="Q20" s="147">
        <f t="shared" si="2"/>
        <v>5880401.0681918105</v>
      </c>
      <c r="R20" s="150"/>
      <c r="S20" s="150"/>
    </row>
    <row r="21" spans="2:19" x14ac:dyDescent="0.2">
      <c r="B21" s="3" t="s">
        <v>124</v>
      </c>
      <c r="C21" s="123">
        <f>SUM(C12:C20)</f>
        <v>57212210</v>
      </c>
      <c r="D21" s="123">
        <f>SUM(D12:D20)</f>
        <v>55326717</v>
      </c>
      <c r="E21" s="123">
        <f>SUM(E12:E20)</f>
        <v>54029270</v>
      </c>
      <c r="F21" s="123">
        <f>SUM(F12:F20)</f>
        <v>58927735</v>
      </c>
      <c r="G21" s="123">
        <f>SUM(G12:G20)</f>
        <v>58638373</v>
      </c>
      <c r="H21" s="123">
        <f t="shared" ref="H21:Q21" si="3">SUM(H12:H20)</f>
        <v>59315826.541695811</v>
      </c>
      <c r="I21" s="123">
        <f t="shared" si="3"/>
        <v>59473440.806314535</v>
      </c>
      <c r="J21" s="123">
        <f t="shared" si="3"/>
        <v>59253557.786799371</v>
      </c>
      <c r="K21" s="123">
        <f t="shared" si="3"/>
        <v>59289136.65305689</v>
      </c>
      <c r="L21" s="123">
        <f t="shared" si="3"/>
        <v>59453229.757784449</v>
      </c>
      <c r="M21" s="123">
        <f t="shared" si="3"/>
        <v>59614182.313804053</v>
      </c>
      <c r="N21" s="123">
        <f t="shared" si="3"/>
        <v>59657875.493612811</v>
      </c>
      <c r="O21" s="123">
        <f t="shared" si="3"/>
        <v>59754058.495336629</v>
      </c>
      <c r="P21" s="123">
        <f t="shared" si="3"/>
        <v>59819541.141430102</v>
      </c>
      <c r="Q21" s="123">
        <f t="shared" si="3"/>
        <v>59919052.695383303</v>
      </c>
      <c r="R21" s="111"/>
      <c r="S21" s="111"/>
    </row>
    <row r="22" spans="2:19" x14ac:dyDescent="0.2">
      <c r="B22" s="3"/>
      <c r="C22" s="123"/>
      <c r="D22" s="123"/>
      <c r="E22" s="123"/>
      <c r="F22" s="123"/>
      <c r="G22" s="12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9"/>
      <c r="S22" s="149"/>
    </row>
    <row r="23" spans="2:19" x14ac:dyDescent="0.2">
      <c r="B23" s="3"/>
      <c r="C23" s="123"/>
      <c r="D23" s="123"/>
      <c r="E23" s="123"/>
      <c r="F23" s="123"/>
      <c r="G23" s="12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</row>
    <row r="24" spans="2:19" x14ac:dyDescent="0.2">
      <c r="B24" s="3"/>
      <c r="C24" s="123"/>
      <c r="D24" s="123"/>
      <c r="E24" s="123"/>
      <c r="F24" s="123"/>
      <c r="G24" s="12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</row>
    <row r="25" spans="2:19" x14ac:dyDescent="0.2">
      <c r="B25" s="3"/>
      <c r="C25" s="123"/>
      <c r="D25" s="123"/>
      <c r="E25" s="123"/>
      <c r="F25" s="123"/>
      <c r="G25" s="12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x14ac:dyDescent="0.2">
      <c r="B26" s="3"/>
      <c r="C26" s="14"/>
      <c r="D26" s="14"/>
      <c r="E26" s="14"/>
      <c r="F26" s="14"/>
      <c r="G26" s="14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 x14ac:dyDescent="0.2">
      <c r="B27" s="151" t="s">
        <v>3</v>
      </c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0"/>
      <c r="S27" s="10"/>
    </row>
    <row r="28" spans="2:19" x14ac:dyDescent="0.2">
      <c r="B28" s="152" t="s">
        <v>184</v>
      </c>
      <c r="C28" s="134"/>
      <c r="D28" s="134"/>
      <c r="E28" s="134"/>
      <c r="F28" s="134"/>
      <c r="G28" s="152"/>
      <c r="H28" s="153">
        <f>CHOOSE(Drivers!$C$3,'Expenses by Nature'!H32,'Expenses by Nature'!H35,'Expenses by Nature'!H38)</f>
        <v>0.96789836536186002</v>
      </c>
      <c r="I28" s="153">
        <f>CHOOSE(Drivers!$C$3,'Expenses by Nature'!I32,'Expenses by Nature'!I35,'Expenses by Nature'!I38)</f>
        <v>0.96767225674443791</v>
      </c>
      <c r="J28" s="153">
        <f>CHOOSE(Drivers!$C$3,'Expenses by Nature'!J32,'Expenses by Nature'!J35,'Expenses by Nature'!J38)</f>
        <v>0.96542653442614657</v>
      </c>
      <c r="K28" s="153">
        <f>CHOOSE(Drivers!$C$3,'Expenses by Nature'!K32,'Expenses by Nature'!K35,'Expenses by Nature'!K38)</f>
        <v>0.96334418621958162</v>
      </c>
      <c r="L28" s="153">
        <f>CHOOSE(Drivers!$C$3,'Expenses by Nature'!L32,'Expenses by Nature'!L35,'Expenses by Nature'!L38)</f>
        <v>0.96405438635770824</v>
      </c>
      <c r="M28" s="153">
        <f>CHOOSE(Drivers!$C$3,'Expenses by Nature'!M32,'Expenses by Nature'!M35,'Expenses by Nature'!M38)</f>
        <v>0.9656791458219468</v>
      </c>
      <c r="N28" s="153">
        <f>CHOOSE(Drivers!$C$3,'Expenses by Nature'!N32,'Expenses by Nature'!N35,'Expenses by Nature'!N38)</f>
        <v>0.96523530191396423</v>
      </c>
      <c r="O28" s="153">
        <f>CHOOSE(Drivers!$C$3,'Expenses by Nature'!O32,'Expenses by Nature'!O35,'Expenses by Nature'!O38)</f>
        <v>0.96474791094786949</v>
      </c>
      <c r="P28" s="153">
        <f>CHOOSE(Drivers!$C$3,'Expenses by Nature'!P32,'Expenses by Nature'!P35,'Expenses by Nature'!P38)</f>
        <v>0.96461218625221401</v>
      </c>
      <c r="Q28" s="153">
        <f>CHOOSE(Drivers!$C$3,'Expenses by Nature'!Q32,'Expenses by Nature'!Q35,'Expenses by Nature'!Q38)</f>
        <v>0.96486578625874064</v>
      </c>
      <c r="R28" s="10"/>
      <c r="S28" s="10"/>
    </row>
    <row r="29" spans="2:19" x14ac:dyDescent="0.2">
      <c r="B29" s="152"/>
      <c r="C29" s="154"/>
      <c r="D29" s="154"/>
      <c r="E29" s="154"/>
      <c r="F29" s="154"/>
      <c r="G29" s="152"/>
      <c r="H29" s="152"/>
      <c r="I29" s="154"/>
      <c r="J29" s="154"/>
      <c r="K29" s="155"/>
      <c r="L29" s="155"/>
      <c r="M29" s="155"/>
      <c r="N29" s="155"/>
      <c r="O29" s="155"/>
      <c r="P29" s="155"/>
      <c r="Q29" s="155"/>
      <c r="R29" s="10"/>
      <c r="S29" s="10"/>
    </row>
    <row r="30" spans="2:19" x14ac:dyDescent="0.2">
      <c r="B30" s="156" t="s">
        <v>185</v>
      </c>
      <c r="C30" s="154"/>
      <c r="D30" s="154"/>
      <c r="E30" s="154"/>
      <c r="F30" s="154"/>
      <c r="G30" s="152"/>
      <c r="H30" s="152"/>
      <c r="I30" s="154"/>
      <c r="J30" s="154"/>
      <c r="K30" s="155"/>
      <c r="L30" s="155"/>
      <c r="M30" s="155"/>
      <c r="N30" s="155"/>
      <c r="O30" s="155"/>
      <c r="P30" s="155"/>
      <c r="Q30" s="155"/>
      <c r="R30" s="10"/>
      <c r="S30" s="10"/>
    </row>
    <row r="31" spans="2:19" x14ac:dyDescent="0.2">
      <c r="B31" s="151" t="s">
        <v>186</v>
      </c>
      <c r="C31" s="152"/>
      <c r="D31" s="152"/>
      <c r="E31" s="152"/>
      <c r="F31" s="152"/>
      <c r="G31" s="152"/>
      <c r="H31" s="152"/>
      <c r="I31" s="155"/>
      <c r="J31" s="155"/>
      <c r="K31" s="155"/>
      <c r="L31" s="155"/>
      <c r="M31" s="155"/>
      <c r="N31" s="155"/>
      <c r="O31" s="155"/>
      <c r="P31" s="155"/>
      <c r="Q31" s="155"/>
      <c r="R31" s="10"/>
      <c r="S31" s="10"/>
    </row>
    <row r="32" spans="2:19" x14ac:dyDescent="0.2">
      <c r="B32" s="152" t="s">
        <v>184</v>
      </c>
      <c r="C32" s="154"/>
      <c r="D32" s="134"/>
      <c r="E32" s="134"/>
      <c r="F32" s="134"/>
      <c r="G32" s="152"/>
      <c r="H32" s="157">
        <f>H35-2%</f>
        <v>0.94789836536186001</v>
      </c>
      <c r="I32" s="157">
        <f t="shared" ref="I32:Q32" si="4">I35-2%</f>
        <v>0.94767225674443789</v>
      </c>
      <c r="J32" s="157">
        <f t="shared" si="4"/>
        <v>0.94542653442614655</v>
      </c>
      <c r="K32" s="157">
        <f t="shared" si="4"/>
        <v>0.9433441862195816</v>
      </c>
      <c r="L32" s="157">
        <f t="shared" si="4"/>
        <v>0.94405438635770822</v>
      </c>
      <c r="M32" s="157">
        <f t="shared" si="4"/>
        <v>0.94567914582194679</v>
      </c>
      <c r="N32" s="157">
        <f t="shared" si="4"/>
        <v>0.94523530191396421</v>
      </c>
      <c r="O32" s="157">
        <f t="shared" si="4"/>
        <v>0.94474791094786947</v>
      </c>
      <c r="P32" s="157">
        <f t="shared" si="4"/>
        <v>0.94461218625221399</v>
      </c>
      <c r="Q32" s="157">
        <f t="shared" si="4"/>
        <v>0.94486578625874063</v>
      </c>
      <c r="R32" s="10"/>
      <c r="S32" s="10"/>
    </row>
    <row r="33" spans="2:19" x14ac:dyDescent="0.2">
      <c r="B33" s="152"/>
      <c r="C33" s="154"/>
      <c r="D33" s="154"/>
      <c r="E33" s="154"/>
      <c r="F33" s="154"/>
      <c r="G33" s="152"/>
      <c r="H33" s="152"/>
      <c r="I33" s="154"/>
      <c r="J33" s="154"/>
      <c r="K33" s="155"/>
      <c r="L33" s="155"/>
      <c r="M33" s="155"/>
      <c r="N33" s="155"/>
      <c r="O33" s="155"/>
      <c r="P33" s="155"/>
      <c r="Q33" s="155"/>
      <c r="R33" s="10"/>
      <c r="S33" s="10"/>
    </row>
    <row r="34" spans="2:19" x14ac:dyDescent="0.2">
      <c r="B34" s="151" t="s">
        <v>187</v>
      </c>
      <c r="C34" s="152"/>
      <c r="D34" s="152"/>
      <c r="E34" s="152"/>
      <c r="F34" s="152"/>
      <c r="G34" s="152"/>
      <c r="H34" s="152"/>
      <c r="I34" s="155"/>
      <c r="J34" s="155"/>
      <c r="K34" s="155"/>
      <c r="L34" s="155"/>
      <c r="M34" s="155"/>
      <c r="N34" s="155"/>
      <c r="O34" s="155"/>
      <c r="P34" s="155"/>
      <c r="Q34" s="155"/>
      <c r="R34" s="10"/>
      <c r="S34" s="10"/>
    </row>
    <row r="35" spans="2:19" x14ac:dyDescent="0.2">
      <c r="B35" s="152" t="s">
        <v>184</v>
      </c>
      <c r="C35" s="154"/>
      <c r="D35" s="134"/>
      <c r="E35" s="134"/>
      <c r="F35" s="134"/>
      <c r="G35" s="152"/>
      <c r="H35" s="153">
        <f>AVERAGE(C6:G6)</f>
        <v>0.96789836536186002</v>
      </c>
      <c r="I35" s="153">
        <f t="shared" ref="I35:Q35" si="5">AVERAGE(D6:H6)</f>
        <v>0.96767225674443791</v>
      </c>
      <c r="J35" s="153">
        <f t="shared" si="5"/>
        <v>0.96542653442614657</v>
      </c>
      <c r="K35" s="153">
        <f t="shared" si="5"/>
        <v>0.96334418621958162</v>
      </c>
      <c r="L35" s="153">
        <f t="shared" si="5"/>
        <v>0.96405438635770824</v>
      </c>
      <c r="M35" s="153">
        <f t="shared" si="5"/>
        <v>0.9656791458219468</v>
      </c>
      <c r="N35" s="153">
        <f t="shared" si="5"/>
        <v>0.96523530191396423</v>
      </c>
      <c r="O35" s="153">
        <f t="shared" si="5"/>
        <v>0.96474791094786949</v>
      </c>
      <c r="P35" s="153">
        <f t="shared" si="5"/>
        <v>0.96461218625221401</v>
      </c>
      <c r="Q35" s="153">
        <f t="shared" si="5"/>
        <v>0.96486578625874064</v>
      </c>
      <c r="R35" s="10"/>
      <c r="S35" s="10"/>
    </row>
    <row r="36" spans="2:19" x14ac:dyDescent="0.2">
      <c r="B36" s="152"/>
      <c r="C36" s="154"/>
      <c r="D36" s="154"/>
      <c r="E36" s="154"/>
      <c r="F36" s="154"/>
      <c r="G36" s="152"/>
      <c r="H36" s="152"/>
      <c r="I36" s="154"/>
      <c r="J36" s="154"/>
      <c r="K36" s="155"/>
      <c r="L36" s="155"/>
      <c r="M36" s="155"/>
      <c r="N36" s="155"/>
      <c r="O36" s="155"/>
      <c r="P36" s="155"/>
      <c r="Q36" s="155"/>
      <c r="R36" s="10"/>
      <c r="S36" s="10"/>
    </row>
    <row r="37" spans="2:19" x14ac:dyDescent="0.2">
      <c r="B37" s="151" t="s">
        <v>188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0"/>
      <c r="S37" s="10"/>
    </row>
    <row r="38" spans="2:19" x14ac:dyDescent="0.2">
      <c r="B38" s="152" t="s">
        <v>184</v>
      </c>
      <c r="C38" s="154"/>
      <c r="D38" s="134"/>
      <c r="E38" s="134"/>
      <c r="F38" s="134"/>
      <c r="G38" s="152"/>
      <c r="H38" s="157">
        <f>H35+2%</f>
        <v>0.98789836536186004</v>
      </c>
      <c r="I38" s="157">
        <f t="shared" ref="I38:Q38" si="6">I35+2%</f>
        <v>0.98767225674443793</v>
      </c>
      <c r="J38" s="157">
        <f t="shared" si="6"/>
        <v>0.98542653442614658</v>
      </c>
      <c r="K38" s="157">
        <f t="shared" si="6"/>
        <v>0.98334418621958164</v>
      </c>
      <c r="L38" s="157">
        <f t="shared" si="6"/>
        <v>0.98405438635770826</v>
      </c>
      <c r="M38" s="157">
        <f t="shared" si="6"/>
        <v>0.98567914582194682</v>
      </c>
      <c r="N38" s="157">
        <f t="shared" si="6"/>
        <v>0.98523530191396425</v>
      </c>
      <c r="O38" s="157">
        <f t="shared" si="6"/>
        <v>0.98474791094786951</v>
      </c>
      <c r="P38" s="157">
        <f t="shared" si="6"/>
        <v>0.98461218625221403</v>
      </c>
      <c r="Q38" s="157">
        <f t="shared" si="6"/>
        <v>0.98486578625874066</v>
      </c>
      <c r="R38" s="10"/>
      <c r="S38" s="10"/>
    </row>
    <row r="39" spans="2:19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2:19" x14ac:dyDescent="0.2">
      <c r="B40" s="10"/>
      <c r="C40" s="158"/>
      <c r="D40" s="158"/>
      <c r="E40" s="46" t="s">
        <v>129</v>
      </c>
      <c r="F40" s="158"/>
      <c r="G40" s="158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2:19" x14ac:dyDescent="0.2">
      <c r="B41" s="47" t="s">
        <v>189</v>
      </c>
      <c r="C41" s="135" t="s">
        <v>16</v>
      </c>
      <c r="D41" s="48" t="s">
        <v>17</v>
      </c>
      <c r="E41" s="48" t="s">
        <v>18</v>
      </c>
      <c r="F41" s="48" t="s">
        <v>19</v>
      </c>
      <c r="G41" s="48" t="s">
        <v>20</v>
      </c>
      <c r="H41" s="136" t="s">
        <v>190</v>
      </c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2:19" x14ac:dyDescent="0.2">
      <c r="B42" s="127" t="s">
        <v>176</v>
      </c>
      <c r="C42" s="137">
        <f t="shared" ref="C42:G50" si="7">C12/$C$21</f>
        <v>-9.7129266637313964E-3</v>
      </c>
      <c r="D42" s="138">
        <f t="shared" si="7"/>
        <v>8.474799347901435E-3</v>
      </c>
      <c r="E42" s="138">
        <f t="shared" si="7"/>
        <v>-2.8380130744818282E-3</v>
      </c>
      <c r="F42" s="138">
        <f t="shared" si="7"/>
        <v>-1.0077167094226914E-2</v>
      </c>
      <c r="G42" s="138">
        <f t="shared" si="7"/>
        <v>4.1254305680553157E-3</v>
      </c>
      <c r="H42" s="139">
        <f>AVERAGE(C42:G42)</f>
        <v>-2.0055753832966777E-3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2:19" x14ac:dyDescent="0.2">
      <c r="B43" s="127" t="s">
        <v>177</v>
      </c>
      <c r="C43" s="137">
        <f t="shared" si="7"/>
        <v>0.66168740903384082</v>
      </c>
      <c r="D43" s="138">
        <f t="shared" si="7"/>
        <v>0.61672272404789119</v>
      </c>
      <c r="E43" s="138">
        <f t="shared" si="7"/>
        <v>0.59316172194711581</v>
      </c>
      <c r="F43" s="138">
        <f t="shared" si="7"/>
        <v>0.67396136244343641</v>
      </c>
      <c r="G43" s="138">
        <f t="shared" si="7"/>
        <v>0.65014405141839482</v>
      </c>
      <c r="H43" s="139">
        <f t="shared" ref="H43:H50" si="8">AVERAGE(C43:G43)</f>
        <v>0.63913545377813574</v>
      </c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2:19" x14ac:dyDescent="0.2">
      <c r="B44" s="127" t="s">
        <v>178</v>
      </c>
      <c r="C44" s="137">
        <f t="shared" si="7"/>
        <v>0.10653351793262313</v>
      </c>
      <c r="D44" s="138">
        <f t="shared" si="7"/>
        <v>0.10854703917223264</v>
      </c>
      <c r="E44" s="138">
        <f t="shared" si="7"/>
        <v>0.11136416509692598</v>
      </c>
      <c r="F44" s="138">
        <f t="shared" si="7"/>
        <v>0.11863780476230511</v>
      </c>
      <c r="G44" s="138">
        <f t="shared" si="7"/>
        <v>0.11930708497364462</v>
      </c>
      <c r="H44" s="139">
        <f t="shared" si="8"/>
        <v>0.11287792238754631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2:19" x14ac:dyDescent="0.2">
      <c r="B45" s="127" t="s">
        <v>179</v>
      </c>
      <c r="C45" s="137">
        <f t="shared" si="7"/>
        <v>3.2800271130935164E-2</v>
      </c>
      <c r="D45" s="138">
        <f t="shared" si="7"/>
        <v>3.3238114731103725E-2</v>
      </c>
      <c r="E45" s="138">
        <f t="shared" si="7"/>
        <v>3.0092946942619415E-2</v>
      </c>
      <c r="F45" s="138">
        <f t="shared" si="7"/>
        <v>3.0677455039754626E-2</v>
      </c>
      <c r="G45" s="138">
        <f t="shared" si="7"/>
        <v>3.4638392748680746E-2</v>
      </c>
      <c r="H45" s="139">
        <f t="shared" si="8"/>
        <v>3.2289436118618738E-2</v>
      </c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2:19" x14ac:dyDescent="0.2">
      <c r="B46" s="127" t="s">
        <v>180</v>
      </c>
      <c r="C46" s="137">
        <f t="shared" si="7"/>
        <v>2.0156221897388686E-2</v>
      </c>
      <c r="D46" s="138">
        <f t="shared" si="7"/>
        <v>1.9032335929690534E-2</v>
      </c>
      <c r="E46" s="138">
        <f t="shared" si="7"/>
        <v>2.3110713604665857E-2</v>
      </c>
      <c r="F46" s="138">
        <f t="shared" si="7"/>
        <v>2.1866136616641798E-2</v>
      </c>
      <c r="G46" s="138">
        <f t="shared" si="7"/>
        <v>2.4022232317192433E-2</v>
      </c>
      <c r="H46" s="139">
        <f t="shared" si="8"/>
        <v>2.163752807311586E-2</v>
      </c>
      <c r="I46" s="148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2:19" x14ac:dyDescent="0.2">
      <c r="B47" s="127" t="s">
        <v>181</v>
      </c>
      <c r="C47" s="137">
        <f t="shared" si="7"/>
        <v>1.4564793074764985E-2</v>
      </c>
      <c r="D47" s="138">
        <f t="shared" si="7"/>
        <v>1.2202063160993083E-2</v>
      </c>
      <c r="E47" s="138">
        <f t="shared" si="7"/>
        <v>1.3311424257164686E-2</v>
      </c>
      <c r="F47" s="138">
        <f t="shared" si="7"/>
        <v>1.4213766606813475E-2</v>
      </c>
      <c r="G47" s="138">
        <f t="shared" si="7"/>
        <v>1.3726667786474252E-2</v>
      </c>
      <c r="H47" s="139">
        <f t="shared" si="8"/>
        <v>1.3603742977242095E-2</v>
      </c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2:19" x14ac:dyDescent="0.2">
      <c r="B48" s="127" t="s">
        <v>182</v>
      </c>
      <c r="C48" s="137">
        <f t="shared" si="7"/>
        <v>2.7744409803431819E-2</v>
      </c>
      <c r="D48" s="138">
        <f t="shared" si="7"/>
        <v>2.5236134035025042E-2</v>
      </c>
      <c r="E48" s="138">
        <f t="shared" si="7"/>
        <v>2.4079213160966863E-2</v>
      </c>
      <c r="F48" s="138">
        <f t="shared" si="7"/>
        <v>2.6320622818101241E-2</v>
      </c>
      <c r="G48" s="138">
        <f t="shared" si="7"/>
        <v>2.7453440445667106E-2</v>
      </c>
      <c r="H48" s="139">
        <f t="shared" si="8"/>
        <v>2.6166764052638413E-2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2:19" x14ac:dyDescent="0.2">
      <c r="B49" s="127" t="s">
        <v>183</v>
      </c>
      <c r="C49" s="137">
        <f t="shared" si="7"/>
        <v>4.8087217746002123E-2</v>
      </c>
      <c r="D49" s="138">
        <f t="shared" si="7"/>
        <v>4.8450059873582932E-2</v>
      </c>
      <c r="E49" s="138">
        <f t="shared" si="7"/>
        <v>4.913715096829855E-2</v>
      </c>
      <c r="F49" s="138">
        <f t="shared" si="7"/>
        <v>5.2123856078973352E-2</v>
      </c>
      <c r="G49" s="138">
        <f t="shared" si="7"/>
        <v>5.455949001096095E-2</v>
      </c>
      <c r="H49" s="139">
        <f t="shared" si="8"/>
        <v>5.047155493556358E-2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x14ac:dyDescent="0.2">
      <c r="B50" s="131" t="s">
        <v>122</v>
      </c>
      <c r="C50" s="140">
        <f t="shared" si="7"/>
        <v>9.8139086044744639E-2</v>
      </c>
      <c r="D50" s="141">
        <f t="shared" si="7"/>
        <v>9.5140600232013414E-2</v>
      </c>
      <c r="E50" s="141">
        <f t="shared" si="7"/>
        <v>0.10294674860488696</v>
      </c>
      <c r="F50" s="141">
        <f t="shared" si="7"/>
        <v>0.10226145782517403</v>
      </c>
      <c r="G50" s="141">
        <f t="shared" si="7"/>
        <v>9.6950808227824092E-2</v>
      </c>
      <c r="H50" s="142">
        <f t="shared" si="8"/>
        <v>9.9087740186928633E-2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2:19" x14ac:dyDescent="0.2">
      <c r="B51" s="3" t="s">
        <v>191</v>
      </c>
      <c r="C51" s="143">
        <f t="shared" ref="C51:H51" si="9">SUM(C42:C50)</f>
        <v>1</v>
      </c>
      <c r="D51" s="144">
        <f t="shared" si="9"/>
        <v>0.96704387053043395</v>
      </c>
      <c r="E51" s="144">
        <f t="shared" si="9"/>
        <v>0.94436607150816232</v>
      </c>
      <c r="F51" s="144">
        <f t="shared" si="9"/>
        <v>1.029985295096973</v>
      </c>
      <c r="G51" s="144">
        <f t="shared" si="9"/>
        <v>1.0249275984968944</v>
      </c>
      <c r="H51" s="69">
        <f t="shared" si="9"/>
        <v>0.99326456712649269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2:19" x14ac:dyDescent="0.2">
      <c r="B52" s="10"/>
      <c r="C52" s="10" t="s">
        <v>192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</sheetData>
  <mergeCells count="1">
    <mergeCell ref="C3:S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8"/>
  <sheetViews>
    <sheetView showGridLines="0" topLeftCell="A33" zoomScale="105" workbookViewId="0">
      <selection activeCell="I49" sqref="I49"/>
    </sheetView>
  </sheetViews>
  <sheetFormatPr baseColWidth="10" defaultRowHeight="16" x14ac:dyDescent="0.2"/>
  <cols>
    <col min="1" max="1" width="2.1640625" customWidth="1"/>
    <col min="2" max="2" width="34.83203125" customWidth="1"/>
  </cols>
  <sheetData>
    <row r="1" spans="2:17" ht="29" customHeight="1" x14ac:dyDescent="0.2">
      <c r="B1" s="70" t="s">
        <v>210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2:17" x14ac:dyDescent="0.2">
      <c r="B2" s="10"/>
      <c r="C2" s="45"/>
      <c r="D2" s="45"/>
      <c r="E2" s="45"/>
      <c r="F2" s="45"/>
      <c r="G2" s="45"/>
      <c r="H2" s="45"/>
      <c r="I2" s="46" t="s">
        <v>193</v>
      </c>
      <c r="J2" s="45"/>
      <c r="K2" s="45"/>
      <c r="L2" s="45"/>
      <c r="M2" s="45"/>
      <c r="N2" s="45"/>
      <c r="O2" s="45"/>
      <c r="P2" s="45"/>
      <c r="Q2" s="45"/>
    </row>
    <row r="3" spans="2:17" x14ac:dyDescent="0.2">
      <c r="B3" s="159" t="s">
        <v>194</v>
      </c>
      <c r="C3" s="48" t="s">
        <v>16</v>
      </c>
      <c r="D3" s="48" t="s">
        <v>17</v>
      </c>
      <c r="E3" s="48" t="s">
        <v>18</v>
      </c>
      <c r="F3" s="48" t="s">
        <v>19</v>
      </c>
      <c r="G3" s="48" t="s">
        <v>20</v>
      </c>
      <c r="H3" s="49" t="s">
        <v>106</v>
      </c>
      <c r="I3" s="49" t="s">
        <v>107</v>
      </c>
      <c r="J3" s="49" t="s">
        <v>108</v>
      </c>
      <c r="K3" s="49" t="s">
        <v>109</v>
      </c>
      <c r="L3" s="49" t="s">
        <v>110</v>
      </c>
      <c r="M3" s="49" t="s">
        <v>111</v>
      </c>
      <c r="N3" s="49" t="s">
        <v>112</v>
      </c>
      <c r="O3" s="49" t="s">
        <v>113</v>
      </c>
      <c r="P3" s="49" t="s">
        <v>114</v>
      </c>
      <c r="Q3" s="49" t="s">
        <v>115</v>
      </c>
    </row>
    <row r="4" spans="2:17" x14ac:dyDescent="0.2">
      <c r="B4" s="19" t="s">
        <v>24</v>
      </c>
      <c r="C4" s="14">
        <v>6973017</v>
      </c>
      <c r="D4" s="14">
        <v>6607913</v>
      </c>
      <c r="E4" s="14">
        <v>6689714</v>
      </c>
      <c r="F4" s="14">
        <v>7125664</v>
      </c>
      <c r="G4" s="14">
        <v>7431183</v>
      </c>
      <c r="H4" s="50">
        <f>H$8*$H63</f>
        <v>7279634.178294464</v>
      </c>
      <c r="I4" s="50">
        <f t="shared" ref="I4:Q4" si="0">I$8*$H63</f>
        <v>7300683.149557435</v>
      </c>
      <c r="J4" s="50">
        <f t="shared" si="0"/>
        <v>7290610.9944635285</v>
      </c>
      <c r="K4" s="50">
        <f t="shared" si="0"/>
        <v>7310757.3720032582</v>
      </c>
      <c r="L4" s="50">
        <f t="shared" si="0"/>
        <v>7325590.5789850308</v>
      </c>
      <c r="M4" s="50">
        <f t="shared" si="0"/>
        <v>7333063.8068783404</v>
      </c>
      <c r="N4" s="50">
        <f t="shared" si="0"/>
        <v>7341812.880987417</v>
      </c>
      <c r="O4" s="50">
        <f t="shared" si="0"/>
        <v>7357364.7348521752</v>
      </c>
      <c r="P4" s="50">
        <f t="shared" si="0"/>
        <v>7366463.7903187349</v>
      </c>
      <c r="Q4" s="50">
        <f t="shared" si="0"/>
        <v>7376778.7363894815</v>
      </c>
    </row>
    <row r="5" spans="2:17" x14ac:dyDescent="0.2">
      <c r="B5" s="19" t="s">
        <v>25</v>
      </c>
      <c r="C5" s="14">
        <v>1314126</v>
      </c>
      <c r="D5" s="14">
        <v>1409512</v>
      </c>
      <c r="E5" s="14">
        <v>1347677</v>
      </c>
      <c r="F5" s="14">
        <v>1345606</v>
      </c>
      <c r="G5" s="14">
        <v>1341955</v>
      </c>
      <c r="H5" s="50">
        <f t="shared" ref="H5:Q7" si="1">H$8*$H64</f>
        <v>1413841.6499411294</v>
      </c>
      <c r="I5" s="50">
        <f t="shared" si="1"/>
        <v>1417929.7554051012</v>
      </c>
      <c r="J5" s="50">
        <f t="shared" si="1"/>
        <v>1415973.5537570992</v>
      </c>
      <c r="K5" s="50">
        <f t="shared" si="1"/>
        <v>1419886.3585716651</v>
      </c>
      <c r="L5" s="50">
        <f t="shared" si="1"/>
        <v>1422767.2458964097</v>
      </c>
      <c r="M5" s="50">
        <f t="shared" si="1"/>
        <v>1424218.6870809912</v>
      </c>
      <c r="N5" s="50">
        <f t="shared" si="1"/>
        <v>1425917.921557734</v>
      </c>
      <c r="O5" s="50">
        <f t="shared" si="1"/>
        <v>1428938.3836014662</v>
      </c>
      <c r="P5" s="50">
        <f t="shared" si="1"/>
        <v>1430705.5910295681</v>
      </c>
      <c r="Q5" s="50">
        <f t="shared" si="1"/>
        <v>1432708.947244253</v>
      </c>
    </row>
    <row r="6" spans="2:17" x14ac:dyDescent="0.2">
      <c r="B6" s="19" t="s">
        <v>26</v>
      </c>
      <c r="C6" s="14">
        <v>2264286</v>
      </c>
      <c r="D6" s="14">
        <v>2377830</v>
      </c>
      <c r="E6" s="14">
        <v>2468628</v>
      </c>
      <c r="F6" s="14">
        <v>2386876</v>
      </c>
      <c r="G6" s="14">
        <v>2324022</v>
      </c>
      <c r="H6" s="50">
        <f t="shared" si="1"/>
        <v>2471612.8832902354</v>
      </c>
      <c r="I6" s="50">
        <f t="shared" si="1"/>
        <v>2478759.5210579252</v>
      </c>
      <c r="J6" s="50">
        <f t="shared" si="1"/>
        <v>2475339.7793946937</v>
      </c>
      <c r="K6" s="50">
        <f t="shared" si="1"/>
        <v>2482179.9646374215</v>
      </c>
      <c r="L6" s="50">
        <f t="shared" si="1"/>
        <v>2487216.1992309089</v>
      </c>
      <c r="M6" s="50">
        <f t="shared" si="1"/>
        <v>2489753.5418896847</v>
      </c>
      <c r="N6" s="50">
        <f t="shared" si="1"/>
        <v>2492724.0653741378</v>
      </c>
      <c r="O6" s="50">
        <f t="shared" si="1"/>
        <v>2498004.2980657471</v>
      </c>
      <c r="P6" s="50">
        <f t="shared" si="1"/>
        <v>2501093.6487344904</v>
      </c>
      <c r="Q6" s="50">
        <f t="shared" si="1"/>
        <v>2504595.8238403383</v>
      </c>
    </row>
    <row r="7" spans="2:17" x14ac:dyDescent="0.2">
      <c r="B7" s="20" t="s">
        <v>27</v>
      </c>
      <c r="C7" s="16">
        <v>1361659</v>
      </c>
      <c r="D7" s="16">
        <v>1286399</v>
      </c>
      <c r="E7" s="16">
        <v>1892958</v>
      </c>
      <c r="F7" s="16">
        <v>1332026</v>
      </c>
      <c r="G7" s="16">
        <v>1280593</v>
      </c>
      <c r="H7" s="160">
        <f t="shared" si="1"/>
        <v>1493228.0936217173</v>
      </c>
      <c r="I7" s="160">
        <f t="shared" si="1"/>
        <v>1497545.7439956085</v>
      </c>
      <c r="J7" s="160">
        <f t="shared" si="1"/>
        <v>1495479.7026834805</v>
      </c>
      <c r="K7" s="160">
        <f t="shared" si="1"/>
        <v>1499612.2093713484</v>
      </c>
      <c r="L7" s="160">
        <f t="shared" si="1"/>
        <v>1502654.8569606643</v>
      </c>
      <c r="M7" s="160">
        <f t="shared" si="1"/>
        <v>1504187.7957824529</v>
      </c>
      <c r="N7" s="160">
        <f t="shared" si="1"/>
        <v>1505982.4413556885</v>
      </c>
      <c r="O7" s="160">
        <f t="shared" si="1"/>
        <v>1509172.5007089456</v>
      </c>
      <c r="P7" s="160">
        <f t="shared" si="1"/>
        <v>1511038.9358779821</v>
      </c>
      <c r="Q7" s="160">
        <f t="shared" si="1"/>
        <v>1513154.7794601992</v>
      </c>
    </row>
    <row r="8" spans="2:17" x14ac:dyDescent="0.2">
      <c r="B8" s="19" t="s">
        <v>195</v>
      </c>
      <c r="C8" s="161">
        <f>SUM(C4:C7)</f>
        <v>11913088</v>
      </c>
      <c r="D8" s="161">
        <f t="shared" ref="D8:G8" si="2">SUM(D4:D7)</f>
        <v>11681654</v>
      </c>
      <c r="E8" s="161">
        <f t="shared" si="2"/>
        <v>12398977</v>
      </c>
      <c r="F8" s="161">
        <f t="shared" si="2"/>
        <v>12190172</v>
      </c>
      <c r="G8" s="161">
        <f t="shared" si="2"/>
        <v>12377753</v>
      </c>
      <c r="H8" s="162">
        <f>H28</f>
        <v>12658316.805147547</v>
      </c>
      <c r="I8" s="162">
        <f t="shared" ref="I8:Q8" si="3">I28</f>
        <v>12694918.170016071</v>
      </c>
      <c r="J8" s="162">
        <f t="shared" si="3"/>
        <v>12677404.030298803</v>
      </c>
      <c r="K8" s="162">
        <f t="shared" si="3"/>
        <v>12712435.904583694</v>
      </c>
      <c r="L8" s="162">
        <f t="shared" si="3"/>
        <v>12738228.881073015</v>
      </c>
      <c r="M8" s="162">
        <f t="shared" si="3"/>
        <v>12751223.83163147</v>
      </c>
      <c r="N8" s="162">
        <f t="shared" si="3"/>
        <v>12766437.309274979</v>
      </c>
      <c r="O8" s="162">
        <f t="shared" si="3"/>
        <v>12793479.917228336</v>
      </c>
      <c r="P8" s="162">
        <f t="shared" si="3"/>
        <v>12809301.965960776</v>
      </c>
      <c r="Q8" s="162">
        <f t="shared" si="3"/>
        <v>12827238.286934273</v>
      </c>
    </row>
    <row r="9" spans="2:17" x14ac:dyDescent="0.2">
      <c r="B9" s="10"/>
      <c r="C9" s="10"/>
      <c r="D9" s="10"/>
      <c r="E9" s="10"/>
      <c r="F9" s="10"/>
      <c r="G9" s="10"/>
      <c r="H9" s="14"/>
      <c r="I9" s="10"/>
      <c r="J9" s="10"/>
      <c r="K9" s="10"/>
      <c r="L9" s="10"/>
      <c r="M9" s="10"/>
      <c r="N9" s="10"/>
      <c r="O9" s="10"/>
      <c r="P9" s="10"/>
      <c r="Q9" s="10"/>
    </row>
    <row r="10" spans="2:17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</row>
    <row r="11" spans="2:17" x14ac:dyDescent="0.2">
      <c r="B11" s="10"/>
      <c r="C11" s="45"/>
      <c r="D11" s="45"/>
      <c r="E11" s="45"/>
      <c r="F11" s="45"/>
      <c r="G11" s="45"/>
      <c r="H11" s="45"/>
      <c r="I11" s="46" t="s">
        <v>196</v>
      </c>
      <c r="J11" s="45"/>
      <c r="K11" s="45"/>
      <c r="L11" s="45"/>
      <c r="M11" s="45"/>
      <c r="N11" s="45"/>
      <c r="O11" s="45"/>
      <c r="P11" s="45"/>
      <c r="Q11" s="45"/>
    </row>
    <row r="12" spans="2:17" x14ac:dyDescent="0.2">
      <c r="B12" s="47"/>
      <c r="C12" s="48" t="s">
        <v>16</v>
      </c>
      <c r="D12" s="48" t="s">
        <v>17</v>
      </c>
      <c r="E12" s="48" t="s">
        <v>18</v>
      </c>
      <c r="F12" s="48" t="s">
        <v>19</v>
      </c>
      <c r="G12" s="48" t="s">
        <v>20</v>
      </c>
      <c r="H12" s="49" t="s">
        <v>106</v>
      </c>
      <c r="I12" s="49" t="s">
        <v>107</v>
      </c>
      <c r="J12" s="49" t="s">
        <v>108</v>
      </c>
      <c r="K12" s="49" t="s">
        <v>109</v>
      </c>
      <c r="L12" s="49" t="s">
        <v>110</v>
      </c>
      <c r="M12" s="49" t="s">
        <v>111</v>
      </c>
      <c r="N12" s="49" t="s">
        <v>112</v>
      </c>
      <c r="O12" s="49" t="s">
        <v>113</v>
      </c>
      <c r="P12" s="49" t="s">
        <v>114</v>
      </c>
      <c r="Q12" s="49" t="s">
        <v>115</v>
      </c>
    </row>
    <row r="13" spans="2:17" x14ac:dyDescent="0.2">
      <c r="B13" s="10" t="s">
        <v>197</v>
      </c>
      <c r="C13" s="123">
        <v>2566251</v>
      </c>
      <c r="D13" s="123">
        <v>2662886</v>
      </c>
      <c r="E13" s="123">
        <v>2749514</v>
      </c>
      <c r="F13" s="123">
        <v>2912076</v>
      </c>
      <c r="G13" s="123">
        <v>2908668</v>
      </c>
      <c r="H13" s="99">
        <f>H$28*$H45</f>
        <v>2883567.2286446993</v>
      </c>
      <c r="I13" s="99">
        <f t="shared" ref="I13:Q13" si="4">I$28*$H45</f>
        <v>2891905.0272543551</v>
      </c>
      <c r="J13" s="99">
        <f t="shared" si="4"/>
        <v>2887915.3025457682</v>
      </c>
      <c r="K13" s="99">
        <f t="shared" si="4"/>
        <v>2895895.5708706086</v>
      </c>
      <c r="L13" s="99">
        <f t="shared" si="4"/>
        <v>2901771.216335854</v>
      </c>
      <c r="M13" s="99">
        <f t="shared" si="4"/>
        <v>2904731.4688042537</v>
      </c>
      <c r="N13" s="99">
        <f t="shared" si="4"/>
        <v>2908197.1022089021</v>
      </c>
      <c r="O13" s="99">
        <f t="shared" si="4"/>
        <v>2914357.4139842936</v>
      </c>
      <c r="P13" s="99">
        <f t="shared" si="4"/>
        <v>2917961.6800109055</v>
      </c>
      <c r="Q13" s="99">
        <f t="shared" si="4"/>
        <v>2922047.5776983923</v>
      </c>
    </row>
    <row r="14" spans="2:17" x14ac:dyDescent="0.2">
      <c r="B14" s="10" t="s">
        <v>198</v>
      </c>
      <c r="C14" s="123">
        <v>206763</v>
      </c>
      <c r="D14" s="123">
        <v>212408</v>
      </c>
      <c r="E14" s="123">
        <v>243576</v>
      </c>
      <c r="F14" s="123">
        <v>203678</v>
      </c>
      <c r="G14" s="123">
        <v>176587</v>
      </c>
      <c r="H14" s="99">
        <f t="shared" ref="H14:Q27" si="5">H$28*$H46</f>
        <v>218124.82928474093</v>
      </c>
      <c r="I14" s="99">
        <f t="shared" si="5"/>
        <v>218755.53450301202</v>
      </c>
      <c r="J14" s="99">
        <f t="shared" si="5"/>
        <v>218453.73539380147</v>
      </c>
      <c r="K14" s="99">
        <f t="shared" si="5"/>
        <v>219057.39555775069</v>
      </c>
      <c r="L14" s="99">
        <f t="shared" si="5"/>
        <v>219501.85343316037</v>
      </c>
      <c r="M14" s="99">
        <f t="shared" si="5"/>
        <v>219725.77904789723</v>
      </c>
      <c r="N14" s="99">
        <f t="shared" si="5"/>
        <v>219987.93374546873</v>
      </c>
      <c r="O14" s="99">
        <f t="shared" si="5"/>
        <v>220453.92494588182</v>
      </c>
      <c r="P14" s="99">
        <f t="shared" si="5"/>
        <v>220726.56638248224</v>
      </c>
      <c r="Q14" s="99">
        <f t="shared" si="5"/>
        <v>221035.64040950843</v>
      </c>
    </row>
    <row r="15" spans="2:17" x14ac:dyDescent="0.2">
      <c r="B15" s="10" t="s">
        <v>199</v>
      </c>
      <c r="C15" s="123">
        <v>574157</v>
      </c>
      <c r="D15" s="123">
        <v>596735</v>
      </c>
      <c r="E15" s="123">
        <v>597014</v>
      </c>
      <c r="F15" s="123">
        <v>601999</v>
      </c>
      <c r="G15" s="123">
        <v>622042</v>
      </c>
      <c r="H15" s="99">
        <f t="shared" si="5"/>
        <v>625492.08606713824</v>
      </c>
      <c r="I15" s="99">
        <f t="shared" si="5"/>
        <v>627300.68861808779</v>
      </c>
      <c r="J15" s="99">
        <f t="shared" si="5"/>
        <v>626435.25319282094</v>
      </c>
      <c r="K15" s="99">
        <f t="shared" si="5"/>
        <v>628166.30167759163</v>
      </c>
      <c r="L15" s="99">
        <f t="shared" si="5"/>
        <v>629440.82363169733</v>
      </c>
      <c r="M15" s="99">
        <f t="shared" si="5"/>
        <v>630082.94997900468</v>
      </c>
      <c r="N15" s="99">
        <f t="shared" si="5"/>
        <v>630834.70157552848</v>
      </c>
      <c r="O15" s="99">
        <f t="shared" si="5"/>
        <v>632170.97222839773</v>
      </c>
      <c r="P15" s="99">
        <f t="shared" si="5"/>
        <v>632952.79546918487</v>
      </c>
      <c r="Q15" s="99">
        <f t="shared" si="5"/>
        <v>633839.09235958348</v>
      </c>
    </row>
    <row r="16" spans="2:17" x14ac:dyDescent="0.2">
      <c r="B16" s="10" t="s">
        <v>182</v>
      </c>
      <c r="C16" s="123">
        <v>1564122</v>
      </c>
      <c r="D16" s="123">
        <v>1420263</v>
      </c>
      <c r="E16" s="123">
        <v>1362895</v>
      </c>
      <c r="F16" s="123">
        <v>1490787</v>
      </c>
      <c r="G16" s="123">
        <v>1553670</v>
      </c>
      <c r="H16" s="99">
        <f t="shared" si="5"/>
        <v>1545859.8748383177</v>
      </c>
      <c r="I16" s="99">
        <f t="shared" si="5"/>
        <v>1550329.7093499296</v>
      </c>
      <c r="J16" s="99">
        <f t="shared" si="5"/>
        <v>1548190.8463203502</v>
      </c>
      <c r="K16" s="99">
        <f t="shared" si="5"/>
        <v>1552469.0113900828</v>
      </c>
      <c r="L16" s="99">
        <f t="shared" si="5"/>
        <v>1555618.9031190744</v>
      </c>
      <c r="M16" s="99">
        <f t="shared" si="5"/>
        <v>1557205.8734053336</v>
      </c>
      <c r="N16" s="99">
        <f t="shared" si="5"/>
        <v>1559063.7748157554</v>
      </c>
      <c r="O16" s="99">
        <f t="shared" si="5"/>
        <v>1562366.2741282294</v>
      </c>
      <c r="P16" s="99">
        <f t="shared" si="5"/>
        <v>1564298.4955009217</v>
      </c>
      <c r="Q16" s="99">
        <f t="shared" si="5"/>
        <v>1566488.9161802237</v>
      </c>
    </row>
    <row r="17" spans="2:17" x14ac:dyDescent="0.2">
      <c r="B17" s="10" t="s">
        <v>200</v>
      </c>
      <c r="C17" s="123">
        <v>420010</v>
      </c>
      <c r="D17" s="123">
        <v>434497</v>
      </c>
      <c r="E17" s="123">
        <v>448965</v>
      </c>
      <c r="F17" s="123">
        <v>444527</v>
      </c>
      <c r="G17" s="123">
        <v>361414</v>
      </c>
      <c r="H17" s="99">
        <f t="shared" si="5"/>
        <v>441333.56779127452</v>
      </c>
      <c r="I17" s="99">
        <f t="shared" si="5"/>
        <v>442609.67828780488</v>
      </c>
      <c r="J17" s="99">
        <f t="shared" si="5"/>
        <v>441999.04593539977</v>
      </c>
      <c r="K17" s="99">
        <f t="shared" si="5"/>
        <v>443220.43597505178</v>
      </c>
      <c r="L17" s="99">
        <f t="shared" si="5"/>
        <v>444119.7108560027</v>
      </c>
      <c r="M17" s="99">
        <f t="shared" si="5"/>
        <v>444572.7811955681</v>
      </c>
      <c r="N17" s="99">
        <f t="shared" si="5"/>
        <v>445103.20071897516</v>
      </c>
      <c r="O17" s="99">
        <f t="shared" si="5"/>
        <v>446046.04413442692</v>
      </c>
      <c r="P17" s="99">
        <f t="shared" si="5"/>
        <v>446597.6815538677</v>
      </c>
      <c r="Q17" s="99">
        <f t="shared" si="5"/>
        <v>447223.03330087598</v>
      </c>
    </row>
    <row r="18" spans="2:17" x14ac:dyDescent="0.2">
      <c r="B18" s="10" t="s">
        <v>183</v>
      </c>
      <c r="C18" s="123">
        <v>1989453</v>
      </c>
      <c r="D18" s="123">
        <v>2030715</v>
      </c>
      <c r="E18" s="123">
        <v>2032347</v>
      </c>
      <c r="F18" s="123">
        <v>2171495</v>
      </c>
      <c r="G18" s="123">
        <v>2252020</v>
      </c>
      <c r="H18" s="99">
        <f t="shared" si="5"/>
        <v>2189442.0479396367</v>
      </c>
      <c r="I18" s="99">
        <f t="shared" si="5"/>
        <v>2195772.7922628112</v>
      </c>
      <c r="J18" s="99">
        <f t="shared" si="5"/>
        <v>2192743.4642312294</v>
      </c>
      <c r="K18" s="99">
        <f t="shared" si="5"/>
        <v>2198802.7420766284</v>
      </c>
      <c r="L18" s="99">
        <f t="shared" si="5"/>
        <v>2203264.0166786574</v>
      </c>
      <c r="M18" s="99">
        <f t="shared" si="5"/>
        <v>2205511.6844848548</v>
      </c>
      <c r="N18" s="99">
        <f t="shared" si="5"/>
        <v>2208143.0791766467</v>
      </c>
      <c r="O18" s="99">
        <f t="shared" si="5"/>
        <v>2212820.4959177845</v>
      </c>
      <c r="P18" s="99">
        <f t="shared" si="5"/>
        <v>2215557.1519292118</v>
      </c>
      <c r="Q18" s="99">
        <f t="shared" si="5"/>
        <v>2218659.5024177656</v>
      </c>
    </row>
    <row r="19" spans="2:17" x14ac:dyDescent="0.2">
      <c r="B19" s="10" t="s">
        <v>201</v>
      </c>
      <c r="C19" s="123">
        <v>259472</v>
      </c>
      <c r="D19" s="123">
        <v>275136</v>
      </c>
      <c r="E19" s="123">
        <v>249271</v>
      </c>
      <c r="F19" s="123">
        <v>227080</v>
      </c>
      <c r="G19" s="123">
        <v>217682</v>
      </c>
      <c r="H19" s="99">
        <f t="shared" si="5"/>
        <v>257348.83628657743</v>
      </c>
      <c r="I19" s="99">
        <f t="shared" si="5"/>
        <v>258092.9572309659</v>
      </c>
      <c r="J19" s="99">
        <f t="shared" si="5"/>
        <v>257736.88749877477</v>
      </c>
      <c r="K19" s="99">
        <f t="shared" si="5"/>
        <v>258449.10004795733</v>
      </c>
      <c r="L19" s="99">
        <f t="shared" si="5"/>
        <v>258973.48196903503</v>
      </c>
      <c r="M19" s="99">
        <f t="shared" si="5"/>
        <v>259237.67470929417</v>
      </c>
      <c r="N19" s="99">
        <f t="shared" si="5"/>
        <v>259546.97102630819</v>
      </c>
      <c r="O19" s="99">
        <f t="shared" si="5"/>
        <v>260096.75847388734</v>
      </c>
      <c r="P19" s="99">
        <f t="shared" si="5"/>
        <v>260418.4272938135</v>
      </c>
      <c r="Q19" s="99">
        <f t="shared" si="5"/>
        <v>260783.08014623026</v>
      </c>
    </row>
    <row r="20" spans="2:17" x14ac:dyDescent="0.2">
      <c r="B20" s="10" t="s">
        <v>202</v>
      </c>
      <c r="C20" s="123">
        <v>187143</v>
      </c>
      <c r="D20" s="123">
        <v>201668</v>
      </c>
      <c r="E20" s="123">
        <v>197896</v>
      </c>
      <c r="F20" s="123">
        <v>199774</v>
      </c>
      <c r="G20" s="123">
        <v>189296</v>
      </c>
      <c r="H20" s="99">
        <f t="shared" si="5"/>
        <v>204089.31311053428</v>
      </c>
      <c r="I20" s="99">
        <f t="shared" si="5"/>
        <v>204679.43480917017</v>
      </c>
      <c r="J20" s="99">
        <f t="shared" si="5"/>
        <v>204397.05534279707</v>
      </c>
      <c r="K20" s="99">
        <f t="shared" si="5"/>
        <v>204961.8722351086</v>
      </c>
      <c r="L20" s="99">
        <f t="shared" si="5"/>
        <v>205377.73091014515</v>
      </c>
      <c r="M20" s="99">
        <f t="shared" si="5"/>
        <v>205587.24774988028</v>
      </c>
      <c r="N20" s="99">
        <f t="shared" si="5"/>
        <v>205832.53377408718</v>
      </c>
      <c r="O20" s="99">
        <f t="shared" si="5"/>
        <v>206268.54018527715</v>
      </c>
      <c r="P20" s="99">
        <f t="shared" si="5"/>
        <v>206523.6381661155</v>
      </c>
      <c r="Q20" s="99">
        <f t="shared" si="5"/>
        <v>206812.82443657782</v>
      </c>
    </row>
    <row r="21" spans="2:17" x14ac:dyDescent="0.2">
      <c r="B21" s="10" t="s">
        <v>203</v>
      </c>
      <c r="C21" s="123">
        <v>146946</v>
      </c>
      <c r="D21" s="123">
        <v>149017</v>
      </c>
      <c r="E21" s="123">
        <v>138542</v>
      </c>
      <c r="F21" s="123">
        <v>142818</v>
      </c>
      <c r="G21" s="123">
        <v>131469</v>
      </c>
      <c r="H21" s="99">
        <f t="shared" si="5"/>
        <v>148361.10673877003</v>
      </c>
      <c r="I21" s="99">
        <f t="shared" si="5"/>
        <v>148790.09102504066</v>
      </c>
      <c r="J21" s="99">
        <f t="shared" si="5"/>
        <v>148584.81751261168</v>
      </c>
      <c r="K21" s="99">
        <f t="shared" si="5"/>
        <v>148995.40667071575</v>
      </c>
      <c r="L21" s="99">
        <f t="shared" si="5"/>
        <v>149297.71183473934</v>
      </c>
      <c r="M21" s="99">
        <f t="shared" si="5"/>
        <v>149450.01843889101</v>
      </c>
      <c r="N21" s="99">
        <f t="shared" si="5"/>
        <v>149628.32716786978</v>
      </c>
      <c r="O21" s="99">
        <f t="shared" si="5"/>
        <v>149945.27856881995</v>
      </c>
      <c r="P21" s="99">
        <f t="shared" si="5"/>
        <v>150130.7200218151</v>
      </c>
      <c r="Q21" s="99">
        <f t="shared" si="5"/>
        <v>150340.94168646546</v>
      </c>
    </row>
    <row r="22" spans="2:17" x14ac:dyDescent="0.2">
      <c r="B22" s="10" t="s">
        <v>180</v>
      </c>
      <c r="C22" s="123">
        <v>1153182</v>
      </c>
      <c r="D22" s="123">
        <v>1088882</v>
      </c>
      <c r="E22" s="123">
        <v>1322215</v>
      </c>
      <c r="F22" s="123">
        <v>1251010</v>
      </c>
      <c r="G22" s="123">
        <v>1374365</v>
      </c>
      <c r="H22" s="99">
        <f t="shared" si="5"/>
        <v>1291936.1602572007</v>
      </c>
      <c r="I22" s="99">
        <f t="shared" si="5"/>
        <v>1295671.7775210366</v>
      </c>
      <c r="J22" s="99">
        <f t="shared" si="5"/>
        <v>1293884.2452002042</v>
      </c>
      <c r="K22" s="99">
        <f t="shared" si="5"/>
        <v>1297459.6767403465</v>
      </c>
      <c r="L22" s="99">
        <f t="shared" si="5"/>
        <v>1300092.1656818197</v>
      </c>
      <c r="M22" s="99">
        <f t="shared" si="5"/>
        <v>1301418.4594367996</v>
      </c>
      <c r="N22" s="99">
        <f t="shared" si="5"/>
        <v>1302971.1810342651</v>
      </c>
      <c r="O22" s="99">
        <f t="shared" si="5"/>
        <v>1305731.2101613914</v>
      </c>
      <c r="P22" s="99">
        <f t="shared" si="5"/>
        <v>1307346.0438870317</v>
      </c>
      <c r="Q22" s="99">
        <f t="shared" si="5"/>
        <v>1309176.6649723104</v>
      </c>
    </row>
    <row r="23" spans="2:17" x14ac:dyDescent="0.2">
      <c r="B23" s="10" t="s">
        <v>181</v>
      </c>
      <c r="C23" s="123">
        <v>833284</v>
      </c>
      <c r="D23" s="123">
        <v>698107</v>
      </c>
      <c r="E23" s="123">
        <v>761576</v>
      </c>
      <c r="F23" s="123">
        <v>813201</v>
      </c>
      <c r="G23" s="123">
        <v>785333</v>
      </c>
      <c r="H23" s="99">
        <f t="shared" si="5"/>
        <v>813390.75794999604</v>
      </c>
      <c r="I23" s="99">
        <f t="shared" si="5"/>
        <v>815742.66716278379</v>
      </c>
      <c r="J23" s="99">
        <f t="shared" si="5"/>
        <v>814617.25376076833</v>
      </c>
      <c r="K23" s="99">
        <f t="shared" si="5"/>
        <v>816868.31156060239</v>
      </c>
      <c r="L23" s="99">
        <f t="shared" si="5"/>
        <v>818525.70164013514</v>
      </c>
      <c r="M23" s="99">
        <f t="shared" si="5"/>
        <v>819360.72361398605</v>
      </c>
      <c r="N23" s="99">
        <f t="shared" si="5"/>
        <v>820338.302410756</v>
      </c>
      <c r="O23" s="99">
        <f t="shared" si="5"/>
        <v>822075.99058199697</v>
      </c>
      <c r="P23" s="99">
        <f t="shared" si="5"/>
        <v>823092.67458579503</v>
      </c>
      <c r="Q23" s="99">
        <f t="shared" si="5"/>
        <v>824245.21626539133</v>
      </c>
    </row>
    <row r="24" spans="2:17" x14ac:dyDescent="0.2">
      <c r="B24" s="10" t="s">
        <v>204</v>
      </c>
      <c r="C24" s="123">
        <v>351848</v>
      </c>
      <c r="D24" s="123">
        <v>402183</v>
      </c>
      <c r="E24" s="123">
        <v>354408</v>
      </c>
      <c r="F24" s="123">
        <v>272768</v>
      </c>
      <c r="G24" s="123">
        <v>369189</v>
      </c>
      <c r="H24" s="99">
        <f t="shared" si="5"/>
        <v>366457.51788410533</v>
      </c>
      <c r="I24" s="99">
        <f t="shared" si="5"/>
        <v>367517.12521795207</v>
      </c>
      <c r="J24" s="99">
        <f t="shared" si="5"/>
        <v>367010.09191585809</v>
      </c>
      <c r="K24" s="99">
        <f t="shared" si="5"/>
        <v>368024.26259074977</v>
      </c>
      <c r="L24" s="99">
        <f t="shared" si="5"/>
        <v>368770.96772450628</v>
      </c>
      <c r="M24" s="99">
        <f t="shared" si="5"/>
        <v>369147.17076950683</v>
      </c>
      <c r="N24" s="99">
        <f t="shared" si="5"/>
        <v>369587.60004153755</v>
      </c>
      <c r="O24" s="99">
        <f t="shared" si="5"/>
        <v>370370.48193177988</v>
      </c>
      <c r="P24" s="99">
        <f t="shared" si="5"/>
        <v>370828.52930060332</v>
      </c>
      <c r="Q24" s="99">
        <f t="shared" si="5"/>
        <v>371347.78472493013</v>
      </c>
    </row>
    <row r="25" spans="2:17" x14ac:dyDescent="0.2">
      <c r="B25" s="10" t="s">
        <v>205</v>
      </c>
      <c r="C25" s="123">
        <v>823952</v>
      </c>
      <c r="D25" s="123">
        <v>707473</v>
      </c>
      <c r="E25" s="123">
        <v>1311115</v>
      </c>
      <c r="F25" s="123">
        <v>774005</v>
      </c>
      <c r="G25" s="123">
        <v>721173</v>
      </c>
      <c r="H25" s="99">
        <f t="shared" si="5"/>
        <v>904380.96005934058</v>
      </c>
      <c r="I25" s="99">
        <f t="shared" si="5"/>
        <v>906995.9663045482</v>
      </c>
      <c r="J25" s="99">
        <f t="shared" si="5"/>
        <v>905744.65819337231</v>
      </c>
      <c r="K25" s="99">
        <f t="shared" si="5"/>
        <v>908247.53125194239</v>
      </c>
      <c r="L25" s="99">
        <f t="shared" si="5"/>
        <v>910090.32577188301</v>
      </c>
      <c r="M25" s="99">
        <f t="shared" si="5"/>
        <v>911018.75773032487</v>
      </c>
      <c r="N25" s="99">
        <f t="shared" si="5"/>
        <v>912105.69367361569</v>
      </c>
      <c r="O25" s="99">
        <f t="shared" si="5"/>
        <v>914037.7688554771</v>
      </c>
      <c r="P25" s="99">
        <f t="shared" si="5"/>
        <v>915168.18452155776</v>
      </c>
      <c r="Q25" s="99">
        <f t="shared" si="5"/>
        <v>916449.65562325646</v>
      </c>
    </row>
    <row r="26" spans="2:17" x14ac:dyDescent="0.2">
      <c r="B26" s="10" t="s">
        <v>206</v>
      </c>
      <c r="C26" s="123">
        <v>28387</v>
      </c>
      <c r="D26" s="123">
        <v>15111</v>
      </c>
      <c r="E26" s="123">
        <v>-59186</v>
      </c>
      <c r="F26" s="123">
        <v>1314</v>
      </c>
      <c r="G26" s="123">
        <v>23984</v>
      </c>
      <c r="H26" s="99">
        <f t="shared" si="5"/>
        <v>2401.0590283180459</v>
      </c>
      <c r="I26" s="99">
        <f t="shared" si="5"/>
        <v>2408.0016604956977</v>
      </c>
      <c r="J26" s="99">
        <f t="shared" si="5"/>
        <v>2404.6795376622522</v>
      </c>
      <c r="K26" s="99">
        <f t="shared" si="5"/>
        <v>2411.3244652087355</v>
      </c>
      <c r="L26" s="99">
        <f t="shared" si="5"/>
        <v>2416.2169370926513</v>
      </c>
      <c r="M26" s="99">
        <f t="shared" si="5"/>
        <v>2418.6818495957286</v>
      </c>
      <c r="N26" s="99">
        <f t="shared" si="5"/>
        <v>2421.5675774859651</v>
      </c>
      <c r="O26" s="99">
        <f t="shared" si="5"/>
        <v>2426.6970823779002</v>
      </c>
      <c r="P26" s="99">
        <f t="shared" si="5"/>
        <v>2429.6982454503927</v>
      </c>
      <c r="Q26" s="99">
        <f t="shared" si="5"/>
        <v>2433.1004486082966</v>
      </c>
    </row>
    <row r="27" spans="2:17" x14ac:dyDescent="0.2">
      <c r="B27" s="15" t="s">
        <v>122</v>
      </c>
      <c r="C27" s="132">
        <v>808118</v>
      </c>
      <c r="D27" s="132">
        <v>786573</v>
      </c>
      <c r="E27" s="132">
        <v>688829</v>
      </c>
      <c r="F27" s="132">
        <v>683640</v>
      </c>
      <c r="G27" s="132">
        <v>690861</v>
      </c>
      <c r="H27" s="256">
        <f t="shared" si="5"/>
        <v>766131.45926689729</v>
      </c>
      <c r="I27" s="256">
        <f t="shared" si="5"/>
        <v>768346.71880807728</v>
      </c>
      <c r="J27" s="256">
        <f t="shared" si="5"/>
        <v>767286.69371738448</v>
      </c>
      <c r="K27" s="256">
        <f t="shared" si="5"/>
        <v>769406.96147334902</v>
      </c>
      <c r="L27" s="256">
        <f t="shared" si="5"/>
        <v>770968.05454921233</v>
      </c>
      <c r="M27" s="256">
        <f t="shared" si="5"/>
        <v>771754.56041628006</v>
      </c>
      <c r="N27" s="256">
        <f t="shared" si="5"/>
        <v>772675.34032777708</v>
      </c>
      <c r="O27" s="256">
        <f t="shared" si="5"/>
        <v>774312.06604831386</v>
      </c>
      <c r="P27" s="256">
        <f t="shared" si="5"/>
        <v>775269.67909202026</v>
      </c>
      <c r="Q27" s="256">
        <f t="shared" si="5"/>
        <v>776355.25626415398</v>
      </c>
    </row>
    <row r="28" spans="2:17" x14ac:dyDescent="0.2">
      <c r="B28" s="159" t="s">
        <v>124</v>
      </c>
      <c r="C28" s="164">
        <f>SUM(C13:C27)</f>
        <v>11913088</v>
      </c>
      <c r="D28" s="164">
        <f>SUM(D13:D27)</f>
        <v>11681654</v>
      </c>
      <c r="E28" s="164">
        <f>SUM(E13:E27)</f>
        <v>12398977</v>
      </c>
      <c r="F28" s="164">
        <f>SUM(F13:F27)</f>
        <v>12190172</v>
      </c>
      <c r="G28" s="164">
        <f>SUM(G13:G27)</f>
        <v>12377753</v>
      </c>
      <c r="H28" s="165">
        <f>H$32*'Divisional Sales Revenue'!H13</f>
        <v>12658316.805147547</v>
      </c>
      <c r="I28" s="165">
        <f>I$32*'Divisional Sales Revenue'!I13</f>
        <v>12694918.170016071</v>
      </c>
      <c r="J28" s="165">
        <f>J$32*'Divisional Sales Revenue'!J13</f>
        <v>12677404.030298803</v>
      </c>
      <c r="K28" s="165">
        <f>K$32*'Divisional Sales Revenue'!K13</f>
        <v>12712435.904583694</v>
      </c>
      <c r="L28" s="165">
        <f>L$32*'Divisional Sales Revenue'!L13</f>
        <v>12738228.881073015</v>
      </c>
      <c r="M28" s="165">
        <f>M$32*'Divisional Sales Revenue'!M13</f>
        <v>12751223.83163147</v>
      </c>
      <c r="N28" s="165">
        <f>N$32*'Divisional Sales Revenue'!N13</f>
        <v>12766437.309274979</v>
      </c>
      <c r="O28" s="165">
        <f>O$32*'Divisional Sales Revenue'!O13</f>
        <v>12793479.917228336</v>
      </c>
      <c r="P28" s="165">
        <f>P$32*'Divisional Sales Revenue'!P13</f>
        <v>12809301.965960776</v>
      </c>
      <c r="Q28" s="165">
        <f>Q$32*'Divisional Sales Revenue'!Q13</f>
        <v>12827238.286934273</v>
      </c>
    </row>
    <row r="29" spans="2:17" x14ac:dyDescent="0.2">
      <c r="B29" s="166" t="s">
        <v>207</v>
      </c>
      <c r="C29" s="10"/>
      <c r="D29" s="10"/>
      <c r="E29" s="10"/>
      <c r="F29" s="10"/>
      <c r="G29" s="10"/>
      <c r="H29" s="98"/>
      <c r="I29" s="98"/>
      <c r="J29" s="98"/>
      <c r="K29" s="98"/>
      <c r="L29" s="98"/>
      <c r="M29" s="98"/>
      <c r="N29" s="98"/>
      <c r="O29" s="98"/>
      <c r="P29" s="98"/>
      <c r="Q29" s="98"/>
    </row>
    <row r="30" spans="2:17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7" x14ac:dyDescent="0.2">
      <c r="B31" s="151" t="s">
        <v>3</v>
      </c>
      <c r="C31" s="152"/>
      <c r="D31" s="152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2"/>
    </row>
    <row r="32" spans="2:17" x14ac:dyDescent="0.2">
      <c r="B32" s="152" t="s">
        <v>184</v>
      </c>
      <c r="C32" s="167">
        <f>C28/'P&amp;L Input'!D4</f>
        <v>0.20177732447141142</v>
      </c>
      <c r="D32" s="167">
        <f>D28/'P&amp;L Input'!E4</f>
        <v>0.20672197961783367</v>
      </c>
      <c r="E32" s="167">
        <f>E28/'P&amp;L Input'!F4</f>
        <v>0.22394151046526189</v>
      </c>
      <c r="F32" s="167">
        <f>F28/'P&amp;L Input'!G4</f>
        <v>0.19854901967682603</v>
      </c>
      <c r="G32" s="167">
        <f>G28/'P&amp;L Input'!H4</f>
        <v>0.20178378271577374</v>
      </c>
      <c r="H32" s="168">
        <f>CHOOSE(Drivers!$C$3,H36,H39,H42)</f>
        <v>0.20655472338942132</v>
      </c>
      <c r="I32" s="168">
        <f>CHOOSE(Drivers!$C$3,I36,I39,I42)</f>
        <v>0.20655472338942132</v>
      </c>
      <c r="J32" s="168">
        <f>CHOOSE(Drivers!$C$3,J36,J39,J42)</f>
        <v>0.20655472338942132</v>
      </c>
      <c r="K32" s="168">
        <f>CHOOSE(Drivers!$C$3,K36,K39,K42)</f>
        <v>0.20655472338942132</v>
      </c>
      <c r="L32" s="168">
        <f>CHOOSE(Drivers!$C$3,L36,L39,L42)</f>
        <v>0.20655472338942132</v>
      </c>
      <c r="M32" s="168">
        <f>CHOOSE(Drivers!$C$3,M36,M39,M42)</f>
        <v>0.20655472338942132</v>
      </c>
      <c r="N32" s="168">
        <f>CHOOSE(Drivers!$C$3,N36,N39,N42)</f>
        <v>0.20655472338942132</v>
      </c>
      <c r="O32" s="168">
        <f>CHOOSE(Drivers!$C$3,O36,O39,O42)</f>
        <v>0.20655472338942132</v>
      </c>
      <c r="P32" s="168">
        <f>CHOOSE(Drivers!$C$3,P36,P39,P42)</f>
        <v>0.20655472338942132</v>
      </c>
      <c r="Q32" s="168">
        <f>CHOOSE(Drivers!$C$3,Q36,Q39,Q42)</f>
        <v>0.20655472338942132</v>
      </c>
    </row>
    <row r="33" spans="2:17" x14ac:dyDescent="0.2">
      <c r="B33" s="152"/>
      <c r="C33" s="154"/>
      <c r="D33" s="154"/>
      <c r="E33" s="154"/>
      <c r="F33" s="154"/>
      <c r="G33" s="152"/>
      <c r="H33" s="152"/>
      <c r="I33" s="154"/>
      <c r="J33" s="154"/>
      <c r="K33" s="155"/>
      <c r="L33" s="155"/>
      <c r="M33" s="155"/>
      <c r="N33" s="155"/>
      <c r="O33" s="155"/>
      <c r="P33" s="155"/>
      <c r="Q33" s="155"/>
    </row>
    <row r="34" spans="2:17" x14ac:dyDescent="0.2">
      <c r="B34" s="156" t="s">
        <v>185</v>
      </c>
      <c r="C34" s="154"/>
      <c r="D34" s="154"/>
      <c r="E34" s="154"/>
      <c r="F34" s="154"/>
      <c r="G34" s="152"/>
      <c r="H34" s="152"/>
      <c r="I34" s="154"/>
      <c r="J34" s="154"/>
      <c r="K34" s="155"/>
      <c r="L34" s="155"/>
      <c r="M34" s="155"/>
      <c r="N34" s="155"/>
      <c r="O34" s="155"/>
      <c r="P34" s="155"/>
      <c r="Q34" s="155"/>
    </row>
    <row r="35" spans="2:17" x14ac:dyDescent="0.2">
      <c r="B35" s="151" t="s">
        <v>186</v>
      </c>
      <c r="C35" s="152"/>
      <c r="D35" s="152"/>
      <c r="E35" s="152"/>
      <c r="F35" s="152"/>
      <c r="G35" s="152"/>
      <c r="H35" s="152"/>
      <c r="I35" s="155"/>
      <c r="J35" s="155"/>
      <c r="K35" s="155"/>
      <c r="L35" s="155"/>
      <c r="M35" s="155"/>
      <c r="N35" s="155"/>
      <c r="O35" s="155"/>
      <c r="P35" s="155"/>
      <c r="Q35" s="155"/>
    </row>
    <row r="36" spans="2:17" x14ac:dyDescent="0.2">
      <c r="B36" s="152" t="s">
        <v>184</v>
      </c>
      <c r="C36" s="154"/>
      <c r="D36" s="134"/>
      <c r="E36" s="134"/>
      <c r="F36" s="134"/>
      <c r="G36" s="152"/>
      <c r="H36" s="168">
        <f>H39-2%</f>
        <v>0.18655472338942133</v>
      </c>
      <c r="I36" s="168">
        <f t="shared" ref="I36:Q36" si="6">I39-2%</f>
        <v>0.18655472338942133</v>
      </c>
      <c r="J36" s="168">
        <f t="shared" si="6"/>
        <v>0.18655472338942133</v>
      </c>
      <c r="K36" s="168">
        <f t="shared" si="6"/>
        <v>0.18655472338942133</v>
      </c>
      <c r="L36" s="168">
        <f t="shared" si="6"/>
        <v>0.18655472338942133</v>
      </c>
      <c r="M36" s="168">
        <f t="shared" si="6"/>
        <v>0.18655472338942133</v>
      </c>
      <c r="N36" s="168">
        <f t="shared" si="6"/>
        <v>0.18655472338942133</v>
      </c>
      <c r="O36" s="168">
        <f t="shared" si="6"/>
        <v>0.18655472338942133</v>
      </c>
      <c r="P36" s="168">
        <f t="shared" si="6"/>
        <v>0.18655472338942133</v>
      </c>
      <c r="Q36" s="168">
        <f t="shared" si="6"/>
        <v>0.18655472338942133</v>
      </c>
    </row>
    <row r="37" spans="2:17" x14ac:dyDescent="0.2">
      <c r="B37" s="152"/>
      <c r="C37" s="154"/>
      <c r="D37" s="154"/>
      <c r="E37" s="154"/>
      <c r="F37" s="154"/>
      <c r="G37" s="152"/>
      <c r="H37" s="152"/>
      <c r="I37" s="154"/>
      <c r="J37" s="154"/>
      <c r="K37" s="155"/>
      <c r="L37" s="155"/>
      <c r="M37" s="155"/>
      <c r="N37" s="155"/>
      <c r="O37" s="155"/>
      <c r="P37" s="155"/>
      <c r="Q37" s="155"/>
    </row>
    <row r="38" spans="2:17" x14ac:dyDescent="0.2">
      <c r="B38" s="151" t="s">
        <v>187</v>
      </c>
      <c r="C38" s="152"/>
      <c r="D38" s="152"/>
      <c r="E38" s="152"/>
      <c r="F38" s="152"/>
      <c r="G38" s="152"/>
      <c r="H38" s="152"/>
      <c r="I38" s="155"/>
      <c r="J38" s="155"/>
      <c r="K38" s="155"/>
      <c r="L38" s="155"/>
      <c r="M38" s="155"/>
      <c r="N38" s="155"/>
      <c r="O38" s="155"/>
      <c r="P38" s="155"/>
      <c r="Q38" s="155"/>
    </row>
    <row r="39" spans="2:17" x14ac:dyDescent="0.2">
      <c r="B39" s="152" t="s">
        <v>184</v>
      </c>
      <c r="C39" s="154"/>
      <c r="D39" s="134"/>
      <c r="E39" s="134"/>
      <c r="F39" s="134"/>
      <c r="G39" s="152"/>
      <c r="H39" s="168">
        <f>AVERAGE($C$32:$G$32)</f>
        <v>0.20655472338942132</v>
      </c>
      <c r="I39" s="168">
        <f t="shared" ref="I39:Q39" si="7">AVERAGE($C$32:$G$32)</f>
        <v>0.20655472338942132</v>
      </c>
      <c r="J39" s="168">
        <f t="shared" si="7"/>
        <v>0.20655472338942132</v>
      </c>
      <c r="K39" s="168">
        <f t="shared" si="7"/>
        <v>0.20655472338942132</v>
      </c>
      <c r="L39" s="168">
        <f t="shared" si="7"/>
        <v>0.20655472338942132</v>
      </c>
      <c r="M39" s="168">
        <f t="shared" si="7"/>
        <v>0.20655472338942132</v>
      </c>
      <c r="N39" s="168">
        <f t="shared" si="7"/>
        <v>0.20655472338942132</v>
      </c>
      <c r="O39" s="168">
        <f t="shared" si="7"/>
        <v>0.20655472338942132</v>
      </c>
      <c r="P39" s="168">
        <f t="shared" si="7"/>
        <v>0.20655472338942132</v>
      </c>
      <c r="Q39" s="168">
        <f t="shared" si="7"/>
        <v>0.20655472338942132</v>
      </c>
    </row>
    <row r="40" spans="2:17" x14ac:dyDescent="0.2">
      <c r="B40" s="152"/>
      <c r="C40" s="154"/>
      <c r="D40" s="154"/>
      <c r="E40" s="154"/>
      <c r="F40" s="154"/>
      <c r="G40" s="152"/>
      <c r="H40" s="152"/>
      <c r="I40" s="154"/>
      <c r="J40" s="154"/>
      <c r="K40" s="155"/>
      <c r="L40" s="155"/>
      <c r="M40" s="155"/>
      <c r="N40" s="155"/>
      <c r="O40" s="155"/>
      <c r="P40" s="155"/>
      <c r="Q40" s="155"/>
    </row>
    <row r="41" spans="2:17" x14ac:dyDescent="0.2">
      <c r="B41" s="151" t="s">
        <v>188</v>
      </c>
      <c r="C41" s="152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</row>
    <row r="42" spans="2:17" x14ac:dyDescent="0.2">
      <c r="B42" s="152" t="s">
        <v>184</v>
      </c>
      <c r="C42" s="154"/>
      <c r="D42" s="134"/>
      <c r="E42" s="134"/>
      <c r="F42" s="134"/>
      <c r="G42" s="152"/>
      <c r="H42" s="168">
        <f>H39+2%</f>
        <v>0.22655472338942131</v>
      </c>
      <c r="I42" s="168">
        <f t="shared" ref="I42:Q42" si="8">I39+2%</f>
        <v>0.22655472338942131</v>
      </c>
      <c r="J42" s="168">
        <f t="shared" si="8"/>
        <v>0.22655472338942131</v>
      </c>
      <c r="K42" s="168">
        <f t="shared" si="8"/>
        <v>0.22655472338942131</v>
      </c>
      <c r="L42" s="168">
        <f t="shared" si="8"/>
        <v>0.22655472338942131</v>
      </c>
      <c r="M42" s="168">
        <f t="shared" si="8"/>
        <v>0.22655472338942131</v>
      </c>
      <c r="N42" s="168">
        <f t="shared" si="8"/>
        <v>0.22655472338942131</v>
      </c>
      <c r="O42" s="168">
        <f t="shared" si="8"/>
        <v>0.22655472338942131</v>
      </c>
      <c r="P42" s="168">
        <f t="shared" si="8"/>
        <v>0.22655472338942131</v>
      </c>
      <c r="Q42" s="168">
        <f t="shared" si="8"/>
        <v>0.22655472338942131</v>
      </c>
    </row>
    <row r="43" spans="2:17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</row>
    <row r="44" spans="2:17" x14ac:dyDescent="0.2">
      <c r="B44" s="47" t="s">
        <v>208</v>
      </c>
      <c r="C44" s="48" t="s">
        <v>16</v>
      </c>
      <c r="D44" s="48" t="s">
        <v>17</v>
      </c>
      <c r="E44" s="48" t="s">
        <v>18</v>
      </c>
      <c r="F44" s="48" t="s">
        <v>19</v>
      </c>
      <c r="G44" s="48" t="s">
        <v>20</v>
      </c>
      <c r="H44" s="135" t="s">
        <v>209</v>
      </c>
      <c r="I44" s="10"/>
      <c r="J44" s="10"/>
      <c r="K44" s="10"/>
      <c r="L44" s="10"/>
      <c r="M44" s="10"/>
      <c r="N44" s="10"/>
      <c r="O44" s="10"/>
      <c r="P44" s="10"/>
      <c r="Q44" s="10"/>
    </row>
    <row r="45" spans="2:17" x14ac:dyDescent="0.2">
      <c r="B45" s="10" t="s">
        <v>197</v>
      </c>
      <c r="C45" s="144">
        <f>C13/C$28</f>
        <v>0.21541442487455814</v>
      </c>
      <c r="D45" s="144">
        <f t="shared" ref="D45:G45" si="9">D13/D$28</f>
        <v>0.22795453452053965</v>
      </c>
      <c r="E45" s="144">
        <f t="shared" si="9"/>
        <v>0.22175329464680837</v>
      </c>
      <c r="F45" s="144">
        <f t="shared" si="9"/>
        <v>0.23888719535704664</v>
      </c>
      <c r="G45" s="144">
        <f t="shared" si="9"/>
        <v>0.23499160146433687</v>
      </c>
      <c r="H45" s="169">
        <f>AVERAGE(C45:G45)</f>
        <v>0.22780021017265795</v>
      </c>
      <c r="I45" s="10"/>
      <c r="J45" s="10"/>
      <c r="K45" s="10"/>
      <c r="L45" s="10"/>
      <c r="M45" s="10"/>
      <c r="N45" s="10"/>
      <c r="O45" s="10"/>
      <c r="P45" s="10"/>
      <c r="Q45" s="10"/>
    </row>
    <row r="46" spans="2:17" x14ac:dyDescent="0.2">
      <c r="B46" s="10" t="s">
        <v>198</v>
      </c>
      <c r="C46" s="144">
        <f t="shared" ref="C46:G58" si="10">C14/C$28</f>
        <v>1.7355953385050124E-2</v>
      </c>
      <c r="D46" s="144">
        <f t="shared" si="10"/>
        <v>1.8183041545315415E-2</v>
      </c>
      <c r="E46" s="144">
        <f t="shared" si="10"/>
        <v>1.9644846506288383E-2</v>
      </c>
      <c r="F46" s="144">
        <f t="shared" si="10"/>
        <v>1.670837786374138E-2</v>
      </c>
      <c r="G46" s="144">
        <f t="shared" si="10"/>
        <v>1.4266482777609151E-2</v>
      </c>
      <c r="H46" s="169">
        <f>AVERAGE(C46:G46)</f>
        <v>1.7231740415600889E-2</v>
      </c>
      <c r="I46" s="10"/>
      <c r="J46" s="10"/>
      <c r="K46" s="10"/>
      <c r="L46" s="10"/>
      <c r="M46" s="10"/>
      <c r="N46" s="10"/>
      <c r="O46" s="10"/>
      <c r="P46" s="10"/>
      <c r="Q46" s="10"/>
    </row>
    <row r="47" spans="2:17" x14ac:dyDescent="0.2">
      <c r="B47" s="10" t="s">
        <v>199</v>
      </c>
      <c r="C47" s="144">
        <f t="shared" si="10"/>
        <v>4.8195480466525553E-2</v>
      </c>
      <c r="D47" s="144">
        <f t="shared" si="10"/>
        <v>5.1083091486873351E-2</v>
      </c>
      <c r="E47" s="144">
        <f t="shared" si="10"/>
        <v>4.8150262719254981E-2</v>
      </c>
      <c r="F47" s="144">
        <f t="shared" si="10"/>
        <v>4.938396275294557E-2</v>
      </c>
      <c r="G47" s="144">
        <f t="shared" si="10"/>
        <v>5.02548402767449E-2</v>
      </c>
      <c r="H47" s="169">
        <f t="shared" ref="H47:H59" si="11">AVERAGE(C47:G47)</f>
        <v>4.941352754046887E-2</v>
      </c>
      <c r="I47" s="10"/>
      <c r="J47" s="10"/>
      <c r="K47" s="10"/>
      <c r="L47" s="10"/>
      <c r="M47" s="10"/>
      <c r="N47" s="10"/>
      <c r="O47" s="10"/>
      <c r="P47" s="10"/>
      <c r="Q47" s="10"/>
    </row>
    <row r="48" spans="2:17" x14ac:dyDescent="0.2">
      <c r="B48" s="10" t="s">
        <v>182</v>
      </c>
      <c r="C48" s="144">
        <f t="shared" si="10"/>
        <v>0.13129442173179615</v>
      </c>
      <c r="D48" s="144">
        <f t="shared" si="10"/>
        <v>0.12158064260420656</v>
      </c>
      <c r="E48" s="144">
        <f t="shared" si="10"/>
        <v>0.10991995549310238</v>
      </c>
      <c r="F48" s="144">
        <f t="shared" si="10"/>
        <v>0.12229417271552855</v>
      </c>
      <c r="G48" s="144">
        <f t="shared" si="10"/>
        <v>0.12552116688707554</v>
      </c>
      <c r="H48" s="169">
        <f t="shared" si="11"/>
        <v>0.12212207188634183</v>
      </c>
      <c r="I48" s="10"/>
      <c r="J48" s="10"/>
      <c r="K48" s="10"/>
      <c r="L48" s="10"/>
      <c r="M48" s="10"/>
      <c r="N48" s="10"/>
      <c r="O48" s="10"/>
      <c r="P48" s="10"/>
      <c r="Q48" s="10"/>
    </row>
    <row r="49" spans="2:17" x14ac:dyDescent="0.2">
      <c r="B49" s="10" t="s">
        <v>200</v>
      </c>
      <c r="C49" s="144">
        <f t="shared" si="10"/>
        <v>3.5256182108282921E-2</v>
      </c>
      <c r="D49" s="144">
        <f t="shared" si="10"/>
        <v>3.7194818473479871E-2</v>
      </c>
      <c r="E49" s="144">
        <f t="shared" si="10"/>
        <v>3.6209842150687108E-2</v>
      </c>
      <c r="F49" s="144">
        <f t="shared" si="10"/>
        <v>3.6466015409790775E-2</v>
      </c>
      <c r="G49" s="144">
        <f t="shared" si="10"/>
        <v>2.9198676044028347E-2</v>
      </c>
      <c r="H49" s="169">
        <f t="shared" si="11"/>
        <v>3.4865106837253808E-2</v>
      </c>
      <c r="I49" s="10"/>
      <c r="J49" s="10"/>
      <c r="K49" s="10"/>
      <c r="L49" s="10"/>
      <c r="M49" s="10"/>
      <c r="N49" s="10"/>
      <c r="O49" s="10"/>
      <c r="P49" s="10"/>
      <c r="Q49" s="10"/>
    </row>
    <row r="50" spans="2:17" x14ac:dyDescent="0.2">
      <c r="B50" s="10" t="s">
        <v>183</v>
      </c>
      <c r="C50" s="144">
        <f t="shared" si="10"/>
        <v>0.16699725545551244</v>
      </c>
      <c r="D50" s="144">
        <f t="shared" si="10"/>
        <v>0.1738379684931603</v>
      </c>
      <c r="E50" s="144">
        <f t="shared" si="10"/>
        <v>0.16391247439204057</v>
      </c>
      <c r="F50" s="144">
        <f t="shared" si="10"/>
        <v>0.17813489424103285</v>
      </c>
      <c r="G50" s="144">
        <f t="shared" si="10"/>
        <v>0.18194093871480552</v>
      </c>
      <c r="H50" s="169">
        <f t="shared" si="11"/>
        <v>0.17296470625931032</v>
      </c>
      <c r="I50" s="10"/>
      <c r="J50" s="10"/>
      <c r="K50" s="10"/>
      <c r="L50" s="10"/>
      <c r="M50" s="10"/>
      <c r="N50" s="10"/>
      <c r="O50" s="10"/>
      <c r="P50" s="10"/>
      <c r="Q50" s="10"/>
    </row>
    <row r="51" spans="2:17" x14ac:dyDescent="0.2">
      <c r="B51" s="10" t="s">
        <v>201</v>
      </c>
      <c r="C51" s="144">
        <f t="shared" si="10"/>
        <v>2.1780414952025873E-2</v>
      </c>
      <c r="D51" s="144">
        <f t="shared" si="10"/>
        <v>2.3552829077115277E-2</v>
      </c>
      <c r="E51" s="144">
        <f t="shared" si="10"/>
        <v>2.010415859308393E-2</v>
      </c>
      <c r="F51" s="144">
        <f t="shared" si="10"/>
        <v>1.8628121079833821E-2</v>
      </c>
      <c r="G51" s="144">
        <f t="shared" si="10"/>
        <v>1.758655226033352E-2</v>
      </c>
      <c r="H51" s="169">
        <f t="shared" si="11"/>
        <v>2.0330415192478486E-2</v>
      </c>
      <c r="I51" s="10"/>
      <c r="J51" s="10"/>
      <c r="K51" s="10"/>
      <c r="L51" s="10"/>
      <c r="M51" s="10"/>
      <c r="N51" s="10"/>
      <c r="O51" s="10"/>
      <c r="P51" s="10"/>
      <c r="Q51" s="10"/>
    </row>
    <row r="52" spans="2:17" x14ac:dyDescent="0.2">
      <c r="B52" s="10" t="s">
        <v>202</v>
      </c>
      <c r="C52" s="144">
        <f t="shared" si="10"/>
        <v>1.5709025233423945E-2</v>
      </c>
      <c r="D52" s="144">
        <f t="shared" si="10"/>
        <v>1.7263651191860331E-2</v>
      </c>
      <c r="E52" s="144">
        <f t="shared" si="10"/>
        <v>1.5960671594116193E-2</v>
      </c>
      <c r="F52" s="144">
        <f t="shared" si="10"/>
        <v>1.6388119872303687E-2</v>
      </c>
      <c r="G52" s="144">
        <f t="shared" si="10"/>
        <v>1.5293244258469207E-2</v>
      </c>
      <c r="H52" s="169">
        <f t="shared" si="11"/>
        <v>1.6122942430034669E-2</v>
      </c>
      <c r="I52" s="10"/>
      <c r="J52" s="10"/>
      <c r="K52" s="10"/>
      <c r="L52" s="10"/>
      <c r="M52" s="10"/>
      <c r="N52" s="10"/>
      <c r="O52" s="10"/>
      <c r="P52" s="10"/>
      <c r="Q52" s="10"/>
    </row>
    <row r="53" spans="2:17" x14ac:dyDescent="0.2">
      <c r="B53" s="10" t="s">
        <v>203</v>
      </c>
      <c r="C53" s="144">
        <f t="shared" si="10"/>
        <v>1.2334837113601444E-2</v>
      </c>
      <c r="D53" s="144">
        <f t="shared" si="10"/>
        <v>1.2756498352031314E-2</v>
      </c>
      <c r="E53" s="144">
        <f t="shared" si="10"/>
        <v>1.1173663762744297E-2</v>
      </c>
      <c r="F53" s="144">
        <f t="shared" si="10"/>
        <v>1.1715831409105631E-2</v>
      </c>
      <c r="G53" s="144">
        <f t="shared" si="10"/>
        <v>1.0621394690942693E-2</v>
      </c>
      <c r="H53" s="169">
        <f t="shared" si="11"/>
        <v>1.1720445065685075E-2</v>
      </c>
      <c r="I53" s="10"/>
      <c r="J53" s="10"/>
      <c r="K53" s="10"/>
      <c r="L53" s="10"/>
      <c r="M53" s="10"/>
      <c r="N53" s="10"/>
      <c r="O53" s="10"/>
      <c r="P53" s="10"/>
      <c r="Q53" s="10"/>
    </row>
    <row r="54" spans="2:17" x14ac:dyDescent="0.2">
      <c r="B54" s="10" t="s">
        <v>180</v>
      </c>
      <c r="C54" s="144">
        <f t="shared" si="10"/>
        <v>9.6799587143148777E-2</v>
      </c>
      <c r="D54" s="144">
        <f t="shared" si="10"/>
        <v>9.3212998775687075E-2</v>
      </c>
      <c r="E54" s="144">
        <f t="shared" si="10"/>
        <v>0.10663903965625551</v>
      </c>
      <c r="F54" s="144">
        <f t="shared" si="10"/>
        <v>0.10262447486384933</v>
      </c>
      <c r="G54" s="144">
        <f t="shared" si="10"/>
        <v>0.11103509659628852</v>
      </c>
      <c r="H54" s="169">
        <f t="shared" si="11"/>
        <v>0.10206223940704584</v>
      </c>
      <c r="I54" s="10"/>
      <c r="J54" s="10"/>
      <c r="K54" s="10"/>
      <c r="L54" s="10"/>
      <c r="M54" s="10"/>
      <c r="N54" s="10"/>
      <c r="O54" s="10"/>
      <c r="P54" s="10"/>
      <c r="Q54" s="10"/>
    </row>
    <row r="55" spans="2:17" x14ac:dyDescent="0.2">
      <c r="B55" s="10" t="s">
        <v>181</v>
      </c>
      <c r="C55" s="144">
        <f t="shared" si="10"/>
        <v>6.9946935672765956E-2</v>
      </c>
      <c r="D55" s="144">
        <f t="shared" si="10"/>
        <v>5.9760972204792234E-2</v>
      </c>
      <c r="E55" s="144">
        <f t="shared" si="10"/>
        <v>6.1422486709992286E-2</v>
      </c>
      <c r="F55" s="144">
        <f t="shared" si="10"/>
        <v>6.6709559143217995E-2</v>
      </c>
      <c r="G55" s="144">
        <f t="shared" si="10"/>
        <v>6.3447137780177063E-2</v>
      </c>
      <c r="H55" s="169">
        <f t="shared" si="11"/>
        <v>6.4257418302189118E-2</v>
      </c>
      <c r="I55" s="10"/>
      <c r="J55" s="10"/>
      <c r="K55" s="10"/>
      <c r="L55" s="10"/>
      <c r="M55" s="10"/>
      <c r="N55" s="10"/>
      <c r="O55" s="10"/>
      <c r="P55" s="10"/>
      <c r="Q55" s="10"/>
    </row>
    <row r="56" spans="2:17" x14ac:dyDescent="0.2">
      <c r="B56" s="10" t="s">
        <v>204</v>
      </c>
      <c r="C56" s="144">
        <f t="shared" si="10"/>
        <v>2.9534575753994263E-2</v>
      </c>
      <c r="D56" s="144">
        <f t="shared" si="10"/>
        <v>3.4428600607413984E-2</v>
      </c>
      <c r="E56" s="144">
        <f t="shared" si="10"/>
        <v>2.8583648473579717E-2</v>
      </c>
      <c r="F56" s="144">
        <f t="shared" si="10"/>
        <v>2.237605835258108E-2</v>
      </c>
      <c r="G56" s="144">
        <f t="shared" si="10"/>
        <v>2.982681913268103E-2</v>
      </c>
      <c r="H56" s="169">
        <f t="shared" si="11"/>
        <v>2.8949940464050018E-2</v>
      </c>
      <c r="I56" s="10"/>
      <c r="J56" s="10"/>
      <c r="K56" s="10"/>
      <c r="L56" s="10"/>
      <c r="M56" s="10"/>
      <c r="N56" s="10"/>
      <c r="O56" s="10"/>
      <c r="P56" s="10"/>
      <c r="Q56" s="10"/>
    </row>
    <row r="57" spans="2:17" x14ac:dyDescent="0.2">
      <c r="B57" s="10" t="s">
        <v>205</v>
      </c>
      <c r="C57" s="144">
        <f t="shared" si="10"/>
        <v>6.9163595534591865E-2</v>
      </c>
      <c r="D57" s="144">
        <f t="shared" si="10"/>
        <v>6.0562742228112559E-2</v>
      </c>
      <c r="E57" s="144">
        <f t="shared" si="10"/>
        <v>0.10574380450903328</v>
      </c>
      <c r="F57" s="144">
        <f t="shared" si="10"/>
        <v>6.3494182034511085E-2</v>
      </c>
      <c r="G57" s="144">
        <f t="shared" si="10"/>
        <v>5.8263644459539625E-2</v>
      </c>
      <c r="H57" s="169">
        <f t="shared" si="11"/>
        <v>7.1445593753157691E-2</v>
      </c>
      <c r="I57" s="10"/>
      <c r="J57" s="10"/>
      <c r="K57" s="10"/>
      <c r="L57" s="10"/>
      <c r="M57" s="10"/>
      <c r="N57" s="10"/>
      <c r="O57" s="10"/>
      <c r="P57" s="10"/>
      <c r="Q57" s="10"/>
    </row>
    <row r="58" spans="2:17" x14ac:dyDescent="0.2">
      <c r="B58" s="10" t="s">
        <v>206</v>
      </c>
      <c r="C58" s="144">
        <f t="shared" si="10"/>
        <v>2.3828414597457854E-3</v>
      </c>
      <c r="D58" s="144">
        <f t="shared" si="10"/>
        <v>1.2935668185344302E-3</v>
      </c>
      <c r="E58" s="144">
        <f t="shared" si="10"/>
        <v>-4.7734583264409641E-3</v>
      </c>
      <c r="F58" s="144">
        <f t="shared" si="10"/>
        <v>1.0779175224106764E-4</v>
      </c>
      <c r="G58" s="144">
        <f t="shared" si="10"/>
        <v>1.9376699470412765E-3</v>
      </c>
      <c r="H58" s="169">
        <f t="shared" si="11"/>
        <v>1.8968233022431915E-4</v>
      </c>
      <c r="I58" s="10"/>
      <c r="J58" s="10"/>
      <c r="K58" s="10"/>
      <c r="L58" s="10"/>
      <c r="M58" s="10"/>
      <c r="N58" s="10"/>
      <c r="O58" s="10"/>
      <c r="P58" s="10"/>
      <c r="Q58" s="10"/>
    </row>
    <row r="59" spans="2:17" x14ac:dyDescent="0.2">
      <c r="B59" s="15" t="s">
        <v>122</v>
      </c>
      <c r="C59" s="170">
        <f>C27/C$28</f>
        <v>6.7834469114976745E-2</v>
      </c>
      <c r="D59" s="170">
        <f>D27/D$28</f>
        <v>6.7334043620877665E-2</v>
      </c>
      <c r="E59" s="170">
        <f>E27/E$28</f>
        <v>5.5555309119453965E-2</v>
      </c>
      <c r="F59" s="170">
        <f>F27/F$28</f>
        <v>5.6081243152270532E-2</v>
      </c>
      <c r="G59" s="170">
        <f>G27/G$28</f>
        <v>5.5814734709926754E-2</v>
      </c>
      <c r="H59" s="171">
        <f t="shared" si="11"/>
        <v>6.0523959943501127E-2</v>
      </c>
      <c r="I59" s="10"/>
      <c r="J59" s="10"/>
      <c r="K59" s="10"/>
      <c r="L59" s="10"/>
      <c r="M59" s="10"/>
      <c r="N59" s="10"/>
      <c r="O59" s="10"/>
      <c r="P59" s="10"/>
      <c r="Q59" s="10"/>
    </row>
    <row r="60" spans="2:17" x14ac:dyDescent="0.2">
      <c r="B60" s="159" t="s">
        <v>124</v>
      </c>
      <c r="C60" s="172">
        <f t="shared" ref="C60:H60" si="12">SUM(C45:C59)</f>
        <v>0.99999999999999978</v>
      </c>
      <c r="D60" s="172">
        <f t="shared" si="12"/>
        <v>1.0000000000000002</v>
      </c>
      <c r="E60" s="172">
        <f t="shared" si="12"/>
        <v>1.0000000000000002</v>
      </c>
      <c r="F60" s="172">
        <f t="shared" si="12"/>
        <v>1</v>
      </c>
      <c r="G60" s="172">
        <f t="shared" si="12"/>
        <v>1</v>
      </c>
      <c r="H60" s="173">
        <f t="shared" si="12"/>
        <v>0.99999999999999989</v>
      </c>
      <c r="I60" s="10"/>
      <c r="J60" s="10"/>
      <c r="K60" s="10"/>
      <c r="L60" s="10"/>
      <c r="M60" s="10"/>
      <c r="N60" s="10"/>
      <c r="O60" s="10"/>
      <c r="P60" s="10"/>
      <c r="Q60" s="10"/>
    </row>
    <row r="61" spans="2:17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</row>
    <row r="62" spans="2:17" x14ac:dyDescent="0.2">
      <c r="B62" s="159" t="s">
        <v>194</v>
      </c>
      <c r="C62" s="48" t="s">
        <v>16</v>
      </c>
      <c r="D62" s="48" t="s">
        <v>17</v>
      </c>
      <c r="E62" s="48" t="s">
        <v>18</v>
      </c>
      <c r="F62" s="48" t="s">
        <v>19</v>
      </c>
      <c r="G62" s="48" t="s">
        <v>20</v>
      </c>
      <c r="H62" s="135" t="s">
        <v>209</v>
      </c>
      <c r="I62" s="10"/>
      <c r="J62" s="10"/>
      <c r="K62" s="10"/>
      <c r="L62" s="10"/>
      <c r="M62" s="10"/>
      <c r="N62" s="10"/>
      <c r="O62" s="10"/>
      <c r="P62" s="10"/>
      <c r="Q62" s="10"/>
    </row>
    <row r="63" spans="2:17" x14ac:dyDescent="0.2">
      <c r="B63" s="19" t="s">
        <v>24</v>
      </c>
      <c r="C63" s="67">
        <f>C4/C$8</f>
        <v>0.58532405703710066</v>
      </c>
      <c r="D63" s="67">
        <f t="shared" ref="D63:G63" si="13">D4/D$8</f>
        <v>0.5656658723156841</v>
      </c>
      <c r="E63" s="67">
        <f t="shared" si="13"/>
        <v>0.53953757636617927</v>
      </c>
      <c r="F63" s="67">
        <f t="shared" si="13"/>
        <v>0.58454171114238584</v>
      </c>
      <c r="G63" s="67">
        <f t="shared" si="13"/>
        <v>0.60036607613675919</v>
      </c>
      <c r="H63" s="169">
        <f>AVERAGE(C63:G63)</f>
        <v>0.57508705859962173</v>
      </c>
      <c r="I63" s="10"/>
      <c r="J63" s="10"/>
      <c r="K63" s="10"/>
      <c r="L63" s="10"/>
      <c r="M63" s="10"/>
      <c r="N63" s="10"/>
      <c r="O63" s="10"/>
      <c r="P63" s="10"/>
      <c r="Q63" s="10"/>
    </row>
    <row r="64" spans="2:17" x14ac:dyDescent="0.2">
      <c r="B64" s="19" t="s">
        <v>25</v>
      </c>
      <c r="C64" s="67">
        <f t="shared" ref="C64:G66" si="14">C5/C$8</f>
        <v>0.11030943446401134</v>
      </c>
      <c r="D64" s="67">
        <f t="shared" si="14"/>
        <v>0.12066031060327587</v>
      </c>
      <c r="E64" s="67">
        <f t="shared" si="14"/>
        <v>0.10869259617144221</v>
      </c>
      <c r="F64" s="67">
        <f t="shared" si="14"/>
        <v>0.11038449662564236</v>
      </c>
      <c r="G64" s="67">
        <f t="shared" si="14"/>
        <v>0.10841668920037426</v>
      </c>
      <c r="H64" s="169">
        <f t="shared" ref="H64:H66" si="15">AVERAGE(C64:G64)</f>
        <v>0.11169270541294921</v>
      </c>
      <c r="I64" s="10"/>
      <c r="J64" s="10"/>
      <c r="K64" s="10"/>
      <c r="L64" s="10"/>
      <c r="M64" s="10"/>
      <c r="N64" s="10"/>
      <c r="O64" s="10"/>
      <c r="P64" s="10"/>
      <c r="Q64" s="10"/>
    </row>
    <row r="65" spans="2:17" x14ac:dyDescent="0.2">
      <c r="B65" s="19" t="s">
        <v>26</v>
      </c>
      <c r="C65" s="67">
        <f t="shared" si="14"/>
        <v>0.19006709259597512</v>
      </c>
      <c r="D65" s="67">
        <f t="shared" si="14"/>
        <v>0.20355251062905988</v>
      </c>
      <c r="E65" s="67">
        <f t="shared" si="14"/>
        <v>0.19909932892044238</v>
      </c>
      <c r="F65" s="67">
        <f t="shared" si="14"/>
        <v>0.19580330777941443</v>
      </c>
      <c r="G65" s="67">
        <f t="shared" si="14"/>
        <v>0.1877579880613226</v>
      </c>
      <c r="H65" s="169">
        <f t="shared" si="15"/>
        <v>0.19525604559724288</v>
      </c>
      <c r="I65" s="10"/>
      <c r="J65" s="10"/>
      <c r="K65" s="10"/>
      <c r="L65" s="10"/>
      <c r="M65" s="10"/>
      <c r="N65" s="10"/>
      <c r="O65" s="10"/>
      <c r="P65" s="10"/>
      <c r="Q65" s="10"/>
    </row>
    <row r="66" spans="2:17" x14ac:dyDescent="0.2">
      <c r="B66" s="20" t="s">
        <v>27</v>
      </c>
      <c r="C66" s="68">
        <f t="shared" si="14"/>
        <v>0.11429941590291283</v>
      </c>
      <c r="D66" s="68">
        <f t="shared" si="14"/>
        <v>0.11012130645198018</v>
      </c>
      <c r="E66" s="68">
        <f t="shared" si="14"/>
        <v>0.15267049854193615</v>
      </c>
      <c r="F66" s="68">
        <f t="shared" si="14"/>
        <v>0.10927048445255735</v>
      </c>
      <c r="G66" s="68">
        <f t="shared" si="14"/>
        <v>0.10345924660154392</v>
      </c>
      <c r="H66" s="169">
        <f t="shared" si="15"/>
        <v>0.11796419039018609</v>
      </c>
      <c r="I66" s="10"/>
      <c r="J66" s="10"/>
      <c r="K66" s="10"/>
      <c r="L66" s="10"/>
      <c r="M66" s="10"/>
      <c r="N66" s="10"/>
      <c r="O66" s="10"/>
      <c r="P66" s="10"/>
      <c r="Q66" s="10"/>
    </row>
    <row r="67" spans="2:17" x14ac:dyDescent="0.2">
      <c r="B67" s="19" t="s">
        <v>124</v>
      </c>
      <c r="C67" s="174">
        <f>SUM(C63:C66)</f>
        <v>0.99999999999999989</v>
      </c>
      <c r="D67" s="174">
        <f t="shared" ref="D67:H67" si="16">SUM(D63:D66)</f>
        <v>1</v>
      </c>
      <c r="E67" s="174">
        <f t="shared" si="16"/>
        <v>1</v>
      </c>
      <c r="F67" s="174">
        <f t="shared" si="16"/>
        <v>1</v>
      </c>
      <c r="G67" s="174">
        <f t="shared" si="16"/>
        <v>1</v>
      </c>
      <c r="H67" s="174">
        <f t="shared" si="16"/>
        <v>0.99999999999999989</v>
      </c>
      <c r="I67" s="10"/>
      <c r="J67" s="10"/>
      <c r="K67" s="10"/>
      <c r="L67" s="10"/>
      <c r="M67" s="10"/>
      <c r="N67" s="10"/>
      <c r="O67" s="10"/>
      <c r="P67" s="10"/>
      <c r="Q67" s="10"/>
    </row>
    <row r="68" spans="2:17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3"/>
  <sheetViews>
    <sheetView showGridLines="0" workbookViewId="0">
      <selection activeCell="H13" sqref="H13"/>
    </sheetView>
  </sheetViews>
  <sheetFormatPr baseColWidth="10" defaultRowHeight="16" x14ac:dyDescent="0.2"/>
  <sheetData>
    <row r="13" spans="1:1" ht="66" customHeight="1" x14ac:dyDescent="0.45">
      <c r="A13" s="175" t="s">
        <v>212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3"/>
  <sheetViews>
    <sheetView showGridLines="0" workbookViewId="0">
      <selection activeCell="A14" sqref="A14"/>
    </sheetView>
  </sheetViews>
  <sheetFormatPr baseColWidth="10" defaultRowHeight="16" x14ac:dyDescent="0.2"/>
  <sheetData>
    <row r="13" spans="1:1" ht="55" customHeight="1" x14ac:dyDescent="0.45">
      <c r="A13" s="175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showGridLines="0" zoomScale="133" workbookViewId="0">
      <selection activeCell="B1" sqref="B1"/>
    </sheetView>
  </sheetViews>
  <sheetFormatPr baseColWidth="10" defaultRowHeight="16" x14ac:dyDescent="0.2"/>
  <cols>
    <col min="1" max="1" width="3.6640625" customWidth="1"/>
    <col min="2" max="2" width="25.1640625" customWidth="1"/>
  </cols>
  <sheetData>
    <row r="1" spans="2:3" x14ac:dyDescent="0.2">
      <c r="B1" s="3" t="s">
        <v>2</v>
      </c>
      <c r="C1" s="4"/>
    </row>
    <row r="2" spans="2:3" x14ac:dyDescent="0.2">
      <c r="B2" s="4"/>
      <c r="C2" s="4"/>
    </row>
    <row r="3" spans="2:3" x14ac:dyDescent="0.2">
      <c r="B3" s="4" t="s">
        <v>3</v>
      </c>
      <c r="C3" s="5">
        <v>2</v>
      </c>
    </row>
    <row r="4" spans="2:3" x14ac:dyDescent="0.2">
      <c r="B4" s="4" t="s">
        <v>4</v>
      </c>
      <c r="C4" s="4" t="s">
        <v>0</v>
      </c>
    </row>
    <row r="5" spans="2:3" x14ac:dyDescent="0.2">
      <c r="B5" s="4" t="s">
        <v>5</v>
      </c>
      <c r="C5" s="4" t="s">
        <v>6</v>
      </c>
    </row>
    <row r="6" spans="2:3" x14ac:dyDescent="0.2">
      <c r="B6" s="4" t="s">
        <v>7</v>
      </c>
      <c r="C6" s="4" t="s">
        <v>8</v>
      </c>
    </row>
    <row r="7" spans="2:3" x14ac:dyDescent="0.2">
      <c r="B7" s="4" t="s">
        <v>9</v>
      </c>
      <c r="C7" s="6">
        <v>2.3E-2</v>
      </c>
    </row>
    <row r="8" spans="2:3" x14ac:dyDescent="0.2">
      <c r="B8" s="4" t="s">
        <v>336</v>
      </c>
      <c r="C8" s="6">
        <v>8.3500000000000005E-2</v>
      </c>
    </row>
    <row r="9" spans="2:3" x14ac:dyDescent="0.2">
      <c r="B9" s="4" t="s">
        <v>10</v>
      </c>
      <c r="C9" s="4">
        <v>1.17</v>
      </c>
    </row>
    <row r="10" spans="2:3" x14ac:dyDescent="0.2">
      <c r="B10" s="4" t="s">
        <v>11</v>
      </c>
      <c r="C10" s="7">
        <v>75300</v>
      </c>
    </row>
    <row r="11" spans="2:3" x14ac:dyDescent="0.2">
      <c r="B11" s="4" t="s">
        <v>12</v>
      </c>
      <c r="C11" s="258">
        <v>1.5299999999999999E-2</v>
      </c>
    </row>
    <row r="12" spans="2:3" x14ac:dyDescent="0.2">
      <c r="B12" s="4" t="s">
        <v>13</v>
      </c>
      <c r="C12" s="8">
        <v>0.25</v>
      </c>
    </row>
    <row r="13" spans="2:3" x14ac:dyDescent="0.2">
      <c r="B13" s="4" t="s">
        <v>14</v>
      </c>
      <c r="C13" s="6">
        <v>7.0000000000000001E-3</v>
      </c>
    </row>
  </sheetData>
  <dataValidations count="1">
    <dataValidation type="list" allowBlank="1" showInputMessage="1" showErrorMessage="1" sqref="C3">
      <formula1>"1,2,3"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showGridLines="0" topLeftCell="A10" zoomScale="125" workbookViewId="0">
      <selection activeCell="M32" sqref="M32"/>
    </sheetView>
  </sheetViews>
  <sheetFormatPr baseColWidth="10" defaultRowHeight="16" x14ac:dyDescent="0.2"/>
  <cols>
    <col min="1" max="1" width="2.6640625" customWidth="1"/>
    <col min="2" max="2" width="30.83203125" customWidth="1"/>
  </cols>
  <sheetData>
    <row r="1" spans="2:17" x14ac:dyDescent="0.2">
      <c r="B1" s="3" t="s">
        <v>60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2:17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2:17" x14ac:dyDescent="0.2">
      <c r="B3" s="10" t="str">
        <f>"Selected case:"&amp;CHOOSE(C3," as a % of PPE"," as a % of revenue")</f>
        <v>Selected case: as a % of PPE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2:17" x14ac:dyDescent="0.2">
      <c r="B4" s="10"/>
      <c r="C4" s="10"/>
      <c r="D4" s="10"/>
      <c r="E4" s="10"/>
      <c r="F4" s="10"/>
      <c r="G4" s="176"/>
      <c r="H4" s="10"/>
      <c r="I4" s="10"/>
      <c r="J4" s="10"/>
      <c r="K4" s="10"/>
      <c r="L4" s="10"/>
      <c r="M4" s="10"/>
      <c r="N4" s="10"/>
      <c r="O4" s="10"/>
      <c r="P4" s="10"/>
    </row>
    <row r="5" spans="2:17" x14ac:dyDescent="0.2">
      <c r="B5" s="10"/>
      <c r="C5" s="177"/>
      <c r="D5" s="177"/>
      <c r="E5" s="177"/>
      <c r="F5" s="177"/>
      <c r="G5" s="177"/>
      <c r="H5" s="177"/>
      <c r="I5" s="46" t="s">
        <v>213</v>
      </c>
      <c r="J5" s="177"/>
      <c r="K5" s="177"/>
      <c r="L5" s="177"/>
      <c r="M5" s="177"/>
      <c r="N5" s="177"/>
      <c r="O5" s="177"/>
      <c r="P5" s="177"/>
      <c r="Q5" s="178"/>
    </row>
    <row r="6" spans="2:17" ht="24" x14ac:dyDescent="0.2">
      <c r="B6" s="112" t="s">
        <v>214</v>
      </c>
      <c r="C6" s="113" t="s">
        <v>215</v>
      </c>
      <c r="D6" s="113" t="s">
        <v>216</v>
      </c>
      <c r="E6" s="113" t="s">
        <v>217</v>
      </c>
      <c r="F6" s="113" t="s">
        <v>218</v>
      </c>
      <c r="G6" s="113" t="s">
        <v>219</v>
      </c>
      <c r="H6" s="49" t="s">
        <v>106</v>
      </c>
      <c r="I6" s="49" t="s">
        <v>107</v>
      </c>
      <c r="J6" s="49" t="s">
        <v>108</v>
      </c>
      <c r="K6" s="49" t="s">
        <v>109</v>
      </c>
      <c r="L6" s="49" t="s">
        <v>110</v>
      </c>
      <c r="M6" s="49" t="s">
        <v>111</v>
      </c>
      <c r="N6" s="49" t="s">
        <v>112</v>
      </c>
      <c r="O6" s="49" t="s">
        <v>113</v>
      </c>
      <c r="P6" s="49" t="s">
        <v>114</v>
      </c>
      <c r="Q6" s="49" t="s">
        <v>115</v>
      </c>
    </row>
    <row r="7" spans="2:17" x14ac:dyDescent="0.2">
      <c r="B7" s="179" t="s">
        <v>220</v>
      </c>
      <c r="C7" s="180">
        <v>10341993</v>
      </c>
      <c r="D7" s="181">
        <f t="shared" ref="D7:Q7" si="0">C10</f>
        <v>10596853</v>
      </c>
      <c r="E7" s="181">
        <f t="shared" si="0"/>
        <v>10460298</v>
      </c>
      <c r="F7" s="181">
        <f t="shared" si="0"/>
        <v>11222428</v>
      </c>
      <c r="G7" s="182">
        <f t="shared" si="0"/>
        <v>11800782</v>
      </c>
      <c r="H7" s="183">
        <f t="shared" si="0"/>
        <v>13333951</v>
      </c>
      <c r="I7" s="184">
        <f t="shared" si="0"/>
        <v>15714639.842360342</v>
      </c>
      <c r="J7" s="184">
        <f t="shared" si="0"/>
        <v>17925212.735709708</v>
      </c>
      <c r="K7" s="184">
        <f t="shared" si="0"/>
        <v>19829032.536057342</v>
      </c>
      <c r="L7" s="184">
        <f t="shared" si="0"/>
        <v>21272659.709879074</v>
      </c>
      <c r="M7" s="184">
        <f t="shared" si="0"/>
        <v>22088951.293289356</v>
      </c>
      <c r="N7" s="184">
        <f t="shared" si="0"/>
        <v>22101463.138801858</v>
      </c>
      <c r="O7" s="184">
        <f t="shared" si="0"/>
        <v>21130249.818395063</v>
      </c>
      <c r="P7" s="184">
        <f t="shared" si="0"/>
        <v>18999115.227163121</v>
      </c>
      <c r="Q7" s="184">
        <f t="shared" si="0"/>
        <v>15544314.016963627</v>
      </c>
    </row>
    <row r="8" spans="2:17" x14ac:dyDescent="0.2">
      <c r="B8" s="179" t="s">
        <v>221</v>
      </c>
      <c r="C8" s="185">
        <f>C10-C7-C9</f>
        <v>2131436</v>
      </c>
      <c r="D8" s="185">
        <f t="shared" ref="D8:G8" si="1">D10-D7-D9</f>
        <v>1765071</v>
      </c>
      <c r="E8" s="185">
        <f t="shared" si="1"/>
        <v>2483814</v>
      </c>
      <c r="F8" s="185">
        <f t="shared" si="1"/>
        <v>2333479</v>
      </c>
      <c r="G8" s="185">
        <f t="shared" si="1"/>
        <v>3514908</v>
      </c>
      <c r="H8" s="186">
        <f>CHOOSE($C$3,H29*G10,H30*'Divisional Sales Revenue'!H13)</f>
        <v>2975861.0529504279</v>
      </c>
      <c r="I8" s="186">
        <f>CHOOSE($C$3,I29*H10,I30*'Divisional Sales Revenue'!I13)</f>
        <v>3507181.3799243141</v>
      </c>
      <c r="J8" s="186">
        <f>CHOOSE($C$3,J29*I10,J30*'Divisional Sales Revenue'!J13)</f>
        <v>4000535.3586532236</v>
      </c>
      <c r="K8" s="186">
        <f>CHOOSE($C$3,K29*J10,K30*'Divisional Sales Revenue'!K13)</f>
        <v>4425428.4151591593</v>
      </c>
      <c r="L8" s="186">
        <f>CHOOSE($C$3,L29*K10,L30*'Divisional Sales Revenue'!L13)</f>
        <v>4747616.0309346328</v>
      </c>
      <c r="M8" s="186">
        <f>CHOOSE($C$3,M29*L10,M30*'Divisional Sales Revenue'!M13)</f>
        <v>4929795.3662960641</v>
      </c>
      <c r="N8" s="186">
        <f>CHOOSE($C$3,N29*M10,N30*'Divisional Sales Revenue'!N13)</f>
        <v>4932587.7504709568</v>
      </c>
      <c r="O8" s="186">
        <f>CHOOSE($C$3,O29*N10,O30*'Divisional Sales Revenue'!O13)</f>
        <v>4715833.0995572666</v>
      </c>
      <c r="P8" s="186">
        <f>CHOOSE($C$3,P29*O10,P30*'Divisional Sales Revenue'!P13)</f>
        <v>4240208.1007371442</v>
      </c>
      <c r="Q8" s="186">
        <f>CHOOSE($C$3,Q29*P10,Q30*'Divisional Sales Revenue'!Q13)</f>
        <v>3469168.1916270331</v>
      </c>
    </row>
    <row r="9" spans="2:17" x14ac:dyDescent="0.2">
      <c r="B9" s="187" t="s">
        <v>179</v>
      </c>
      <c r="C9" s="188">
        <v>-1876576</v>
      </c>
      <c r="D9" s="188">
        <v>-1901626</v>
      </c>
      <c r="E9" s="188">
        <v>-1721684</v>
      </c>
      <c r="F9" s="188">
        <v>-1755125</v>
      </c>
      <c r="G9" s="189">
        <v>-1981739</v>
      </c>
      <c r="H9" s="190">
        <f>H13</f>
        <v>-595172.2105900856</v>
      </c>
      <c r="I9" s="191">
        <f>I23</f>
        <v>-1296608.4865749483</v>
      </c>
      <c r="J9" s="191">
        <f t="shared" ref="J9:Q9" si="2">J23</f>
        <v>-2096715.558305593</v>
      </c>
      <c r="K9" s="191">
        <f t="shared" si="2"/>
        <v>-2981801.2413374251</v>
      </c>
      <c r="L9" s="191">
        <f t="shared" si="2"/>
        <v>-3931324.4475243515</v>
      </c>
      <c r="M9" s="191">
        <f t="shared" si="2"/>
        <v>-4917283.5207835641</v>
      </c>
      <c r="N9" s="191">
        <f t="shared" si="2"/>
        <v>-5903801.0708777551</v>
      </c>
      <c r="O9" s="191">
        <f t="shared" si="2"/>
        <v>-6846967.6907892087</v>
      </c>
      <c r="P9" s="191">
        <f t="shared" si="2"/>
        <v>-7695009.3109366372</v>
      </c>
      <c r="Q9" s="191">
        <f t="shared" si="2"/>
        <v>-8388842.9492620435</v>
      </c>
    </row>
    <row r="10" spans="2:17" ht="17" thickBot="1" x14ac:dyDescent="0.25">
      <c r="B10" s="192" t="s">
        <v>222</v>
      </c>
      <c r="C10" s="193">
        <f>'Balance Sheet Input'!C18</f>
        <v>10596853</v>
      </c>
      <c r="D10" s="193">
        <f>'Balance Sheet Input'!D18</f>
        <v>10460298</v>
      </c>
      <c r="E10" s="193">
        <f>'Balance Sheet Input'!E18</f>
        <v>11222428</v>
      </c>
      <c r="F10" s="193">
        <f>'Balance Sheet Input'!F18</f>
        <v>11800782</v>
      </c>
      <c r="G10" s="193">
        <f>'Balance Sheet Input'!G18</f>
        <v>13333951</v>
      </c>
      <c r="H10" s="216">
        <f>SUM(H7:H9)</f>
        <v>15714639.842360342</v>
      </c>
      <c r="I10" s="216">
        <f t="shared" ref="I10:Q10" si="3">SUM(I7:I9)</f>
        <v>17925212.735709708</v>
      </c>
      <c r="J10" s="216">
        <f t="shared" si="3"/>
        <v>19829032.536057342</v>
      </c>
      <c r="K10" s="216">
        <f t="shared" si="3"/>
        <v>21272659.709879074</v>
      </c>
      <c r="L10" s="216">
        <f t="shared" si="3"/>
        <v>22088951.293289356</v>
      </c>
      <c r="M10" s="216">
        <f t="shared" si="3"/>
        <v>22101463.138801858</v>
      </c>
      <c r="N10" s="216">
        <f t="shared" si="3"/>
        <v>21130249.818395063</v>
      </c>
      <c r="O10" s="216">
        <f t="shared" si="3"/>
        <v>18999115.227163121</v>
      </c>
      <c r="P10" s="216">
        <f t="shared" si="3"/>
        <v>15544314.016963627</v>
      </c>
      <c r="Q10" s="216">
        <f t="shared" si="3"/>
        <v>10624639.259328617</v>
      </c>
    </row>
    <row r="11" spans="2:17" x14ac:dyDescent="0.2">
      <c r="B11" s="179"/>
      <c r="C11" s="177"/>
      <c r="D11" s="177"/>
      <c r="E11" s="177"/>
      <c r="F11" s="177"/>
      <c r="G11" s="177"/>
      <c r="H11" s="177"/>
      <c r="I11" s="177" t="s">
        <v>223</v>
      </c>
      <c r="J11" s="177"/>
      <c r="K11" s="177"/>
      <c r="L11" s="177"/>
      <c r="M11" s="177"/>
      <c r="N11" s="177"/>
      <c r="O11" s="177"/>
      <c r="P11" s="177"/>
      <c r="Q11" s="177"/>
    </row>
    <row r="12" spans="2:17" ht="24" x14ac:dyDescent="0.2">
      <c r="B12" s="112" t="s">
        <v>165</v>
      </c>
      <c r="C12" s="113" t="s">
        <v>166</v>
      </c>
      <c r="D12" s="113" t="s">
        <v>167</v>
      </c>
      <c r="E12" s="113" t="s">
        <v>168</v>
      </c>
      <c r="F12" s="113" t="s">
        <v>169</v>
      </c>
      <c r="G12" s="113" t="s">
        <v>170</v>
      </c>
      <c r="H12" s="194" t="s">
        <v>224</v>
      </c>
      <c r="I12" s="194" t="s">
        <v>225</v>
      </c>
      <c r="J12" s="194" t="s">
        <v>226</v>
      </c>
      <c r="K12" s="194" t="s">
        <v>227</v>
      </c>
      <c r="L12" s="194" t="s">
        <v>228</v>
      </c>
      <c r="M12" s="194" t="s">
        <v>229</v>
      </c>
      <c r="N12" s="194" t="s">
        <v>230</v>
      </c>
      <c r="O12" s="194" t="s">
        <v>231</v>
      </c>
      <c r="P12" s="194" t="s">
        <v>232</v>
      </c>
      <c r="Q12" s="194" t="s">
        <v>233</v>
      </c>
    </row>
    <row r="13" spans="2:17" x14ac:dyDescent="0.2">
      <c r="B13" s="195" t="s">
        <v>224</v>
      </c>
      <c r="C13" s="195"/>
      <c r="D13" s="195"/>
      <c r="E13" s="195"/>
      <c r="F13" s="195"/>
      <c r="G13" s="196"/>
      <c r="H13" s="197">
        <f>-($H$8/$C$32)</f>
        <v>-595172.2105900856</v>
      </c>
      <c r="I13" s="197">
        <f t="shared" ref="I13:Q13" si="4">-($H$8/$C$32)</f>
        <v>-595172.2105900856</v>
      </c>
      <c r="J13" s="197">
        <f t="shared" si="4"/>
        <v>-595172.2105900856</v>
      </c>
      <c r="K13" s="197">
        <f t="shared" si="4"/>
        <v>-595172.2105900856</v>
      </c>
      <c r="L13" s="197">
        <f t="shared" si="4"/>
        <v>-595172.2105900856</v>
      </c>
      <c r="M13" s="197">
        <f t="shared" si="4"/>
        <v>-595172.2105900856</v>
      </c>
      <c r="N13" s="197">
        <f t="shared" si="4"/>
        <v>-595172.2105900856</v>
      </c>
      <c r="O13" s="197">
        <f t="shared" si="4"/>
        <v>-595172.2105900856</v>
      </c>
      <c r="P13" s="197">
        <f t="shared" si="4"/>
        <v>-595172.2105900856</v>
      </c>
      <c r="Q13" s="197">
        <f t="shared" si="4"/>
        <v>-595172.2105900856</v>
      </c>
    </row>
    <row r="14" spans="2:17" x14ac:dyDescent="0.2">
      <c r="B14" s="195" t="s">
        <v>225</v>
      </c>
      <c r="C14" s="195"/>
      <c r="D14" s="195"/>
      <c r="E14" s="195"/>
      <c r="F14" s="195"/>
      <c r="G14" s="196"/>
      <c r="H14" s="197"/>
      <c r="I14" s="197">
        <f>-($I$8/$C$32)</f>
        <v>-701436.27598486282</v>
      </c>
      <c r="J14" s="197">
        <f t="shared" ref="J14:Q14" si="5">-($I$8/$C$32)</f>
        <v>-701436.27598486282</v>
      </c>
      <c r="K14" s="197">
        <f t="shared" si="5"/>
        <v>-701436.27598486282</v>
      </c>
      <c r="L14" s="197">
        <f t="shared" si="5"/>
        <v>-701436.27598486282</v>
      </c>
      <c r="M14" s="197">
        <f t="shared" si="5"/>
        <v>-701436.27598486282</v>
      </c>
      <c r="N14" s="197">
        <f t="shared" si="5"/>
        <v>-701436.27598486282</v>
      </c>
      <c r="O14" s="197">
        <f t="shared" si="5"/>
        <v>-701436.27598486282</v>
      </c>
      <c r="P14" s="197">
        <f t="shared" si="5"/>
        <v>-701436.27598486282</v>
      </c>
      <c r="Q14" s="197">
        <f t="shared" si="5"/>
        <v>-701436.27598486282</v>
      </c>
    </row>
    <row r="15" spans="2:17" x14ac:dyDescent="0.2">
      <c r="B15" s="195" t="s">
        <v>226</v>
      </c>
      <c r="C15" s="195"/>
      <c r="D15" s="195"/>
      <c r="E15" s="195"/>
      <c r="F15" s="195"/>
      <c r="G15" s="196"/>
      <c r="H15" s="197"/>
      <c r="I15" s="197"/>
      <c r="J15" s="197">
        <f>-($J$8/$C$32)</f>
        <v>-800107.07173064467</v>
      </c>
      <c r="K15" s="197">
        <f t="shared" ref="K15:Q15" si="6">-($J$8/$C$32)</f>
        <v>-800107.07173064467</v>
      </c>
      <c r="L15" s="197">
        <f t="shared" si="6"/>
        <v>-800107.07173064467</v>
      </c>
      <c r="M15" s="197">
        <f t="shared" si="6"/>
        <v>-800107.07173064467</v>
      </c>
      <c r="N15" s="197">
        <f t="shared" si="6"/>
        <v>-800107.07173064467</v>
      </c>
      <c r="O15" s="197">
        <f t="shared" si="6"/>
        <v>-800107.07173064467</v>
      </c>
      <c r="P15" s="197">
        <f t="shared" si="6"/>
        <v>-800107.07173064467</v>
      </c>
      <c r="Q15" s="197">
        <f t="shared" si="6"/>
        <v>-800107.07173064467</v>
      </c>
    </row>
    <row r="16" spans="2:17" x14ac:dyDescent="0.2">
      <c r="B16" s="195" t="s">
        <v>227</v>
      </c>
      <c r="C16" s="195"/>
      <c r="D16" s="195"/>
      <c r="E16" s="195"/>
      <c r="F16" s="195"/>
      <c r="G16" s="196"/>
      <c r="H16" s="197"/>
      <c r="I16" s="197"/>
      <c r="J16" s="197"/>
      <c r="K16" s="197">
        <f>-($K$8/$C$32)</f>
        <v>-885085.68303183187</v>
      </c>
      <c r="L16" s="197">
        <f t="shared" ref="L16:Q16" si="7">-($K$8/$C$32)</f>
        <v>-885085.68303183187</v>
      </c>
      <c r="M16" s="197">
        <f t="shared" si="7"/>
        <v>-885085.68303183187</v>
      </c>
      <c r="N16" s="197">
        <f t="shared" si="7"/>
        <v>-885085.68303183187</v>
      </c>
      <c r="O16" s="197">
        <f t="shared" si="7"/>
        <v>-885085.68303183187</v>
      </c>
      <c r="P16" s="197">
        <f t="shared" si="7"/>
        <v>-885085.68303183187</v>
      </c>
      <c r="Q16" s="197">
        <f t="shared" si="7"/>
        <v>-885085.68303183187</v>
      </c>
    </row>
    <row r="17" spans="2:17" x14ac:dyDescent="0.2">
      <c r="B17" s="195" t="s">
        <v>228</v>
      </c>
      <c r="C17" s="195"/>
      <c r="D17" s="195"/>
      <c r="E17" s="195"/>
      <c r="F17" s="195"/>
      <c r="G17" s="196"/>
      <c r="H17" s="197"/>
      <c r="I17" s="197"/>
      <c r="J17" s="197"/>
      <c r="K17" s="197"/>
      <c r="L17" s="197">
        <f>-($L$8/$C$32)</f>
        <v>-949523.20618692657</v>
      </c>
      <c r="M17" s="197">
        <f t="shared" ref="M17:Q17" si="8">-($L$8/$C$32)</f>
        <v>-949523.20618692657</v>
      </c>
      <c r="N17" s="197">
        <f t="shared" si="8"/>
        <v>-949523.20618692657</v>
      </c>
      <c r="O17" s="197">
        <f t="shared" si="8"/>
        <v>-949523.20618692657</v>
      </c>
      <c r="P17" s="197">
        <f t="shared" si="8"/>
        <v>-949523.20618692657</v>
      </c>
      <c r="Q17" s="197">
        <f t="shared" si="8"/>
        <v>-949523.20618692657</v>
      </c>
    </row>
    <row r="18" spans="2:17" x14ac:dyDescent="0.2">
      <c r="B18" s="195" t="s">
        <v>234</v>
      </c>
      <c r="C18" s="195"/>
      <c r="D18" s="195"/>
      <c r="E18" s="195"/>
      <c r="F18" s="195"/>
      <c r="G18" s="196"/>
      <c r="H18" s="197"/>
      <c r="I18" s="197"/>
      <c r="J18" s="197"/>
      <c r="K18" s="197"/>
      <c r="L18" s="197"/>
      <c r="M18" s="197">
        <f>-($M$8/$C$32)</f>
        <v>-985959.07325921278</v>
      </c>
      <c r="N18" s="197">
        <f t="shared" ref="N18:Q18" si="9">-($M$8/$C$32)</f>
        <v>-985959.07325921278</v>
      </c>
      <c r="O18" s="197">
        <f t="shared" si="9"/>
        <v>-985959.07325921278</v>
      </c>
      <c r="P18" s="197">
        <f t="shared" si="9"/>
        <v>-985959.07325921278</v>
      </c>
      <c r="Q18" s="197">
        <f t="shared" si="9"/>
        <v>-985959.07325921278</v>
      </c>
    </row>
    <row r="19" spans="2:17" x14ac:dyDescent="0.2">
      <c r="B19" s="195" t="s">
        <v>235</v>
      </c>
      <c r="C19" s="195"/>
      <c r="D19" s="195"/>
      <c r="E19" s="195"/>
      <c r="F19" s="195"/>
      <c r="G19" s="196"/>
      <c r="H19" s="197"/>
      <c r="I19" s="197"/>
      <c r="J19" s="197"/>
      <c r="K19" s="197"/>
      <c r="L19" s="197"/>
      <c r="M19" s="197"/>
      <c r="N19" s="197">
        <f>-($N$8/$C$32)</f>
        <v>-986517.55009419133</v>
      </c>
      <c r="O19" s="197">
        <f t="shared" ref="O19:Q19" si="10">-($N$8/$C$32)</f>
        <v>-986517.55009419133</v>
      </c>
      <c r="P19" s="197">
        <f t="shared" si="10"/>
        <v>-986517.55009419133</v>
      </c>
      <c r="Q19" s="197">
        <f t="shared" si="10"/>
        <v>-986517.55009419133</v>
      </c>
    </row>
    <row r="20" spans="2:17" x14ac:dyDescent="0.2">
      <c r="B20" s="195" t="s">
        <v>236</v>
      </c>
      <c r="C20" s="195"/>
      <c r="D20" s="195"/>
      <c r="E20" s="195"/>
      <c r="F20" s="195"/>
      <c r="G20" s="196"/>
      <c r="H20" s="197"/>
      <c r="I20" s="197"/>
      <c r="J20" s="197"/>
      <c r="K20" s="197"/>
      <c r="L20" s="197"/>
      <c r="M20" s="197"/>
      <c r="N20" s="197"/>
      <c r="O20" s="197">
        <f>-($O$8/$C$32)</f>
        <v>-943166.61991145334</v>
      </c>
      <c r="P20" s="197">
        <f t="shared" ref="P20:Q20" si="11">-($O$8/$C$32)</f>
        <v>-943166.61991145334</v>
      </c>
      <c r="Q20" s="197">
        <f t="shared" si="11"/>
        <v>-943166.61991145334</v>
      </c>
    </row>
    <row r="21" spans="2:17" x14ac:dyDescent="0.2">
      <c r="B21" s="195" t="s">
        <v>237</v>
      </c>
      <c r="C21" s="195"/>
      <c r="D21" s="195"/>
      <c r="E21" s="195"/>
      <c r="F21" s="195"/>
      <c r="G21" s="196"/>
      <c r="H21" s="197"/>
      <c r="I21" s="197"/>
      <c r="J21" s="197"/>
      <c r="K21" s="197"/>
      <c r="L21" s="197"/>
      <c r="M21" s="197"/>
      <c r="N21" s="197"/>
      <c r="O21" s="197"/>
      <c r="P21" s="197">
        <f>-($P$8/$C$32)</f>
        <v>-848041.62014742882</v>
      </c>
      <c r="Q21" s="197">
        <f>-($P$8/$C$32)</f>
        <v>-848041.62014742882</v>
      </c>
    </row>
    <row r="22" spans="2:17" x14ac:dyDescent="0.2">
      <c r="B22" s="195" t="s">
        <v>238</v>
      </c>
      <c r="C22" s="195"/>
      <c r="D22" s="195"/>
      <c r="E22" s="195"/>
      <c r="F22" s="195"/>
      <c r="G22" s="196"/>
      <c r="H22" s="197"/>
      <c r="I22" s="197"/>
      <c r="J22" s="197"/>
      <c r="K22" s="197"/>
      <c r="L22" s="197"/>
      <c r="M22" s="197"/>
      <c r="N22" s="197"/>
      <c r="O22" s="197"/>
      <c r="P22" s="197"/>
      <c r="Q22" s="197">
        <f>-($Q$8/$C$32)</f>
        <v>-693833.63832540659</v>
      </c>
    </row>
    <row r="23" spans="2:17" ht="17" thickBot="1" x14ac:dyDescent="0.25">
      <c r="B23" s="192" t="s">
        <v>239</v>
      </c>
      <c r="C23" s="193">
        <f>C8</f>
        <v>2131436</v>
      </c>
      <c r="D23" s="193">
        <f>D8</f>
        <v>1765071</v>
      </c>
      <c r="E23" s="193">
        <f>E8</f>
        <v>2483814</v>
      </c>
      <c r="F23" s="193">
        <f>F8</f>
        <v>2333479</v>
      </c>
      <c r="G23" s="193">
        <f>G8</f>
        <v>3514908</v>
      </c>
      <c r="H23" s="193">
        <f t="shared" ref="H23:Q23" si="12">SUM(H13:H22)</f>
        <v>-595172.2105900856</v>
      </c>
      <c r="I23" s="193">
        <f t="shared" si="12"/>
        <v>-1296608.4865749483</v>
      </c>
      <c r="J23" s="193">
        <f t="shared" si="12"/>
        <v>-2096715.558305593</v>
      </c>
      <c r="K23" s="193">
        <f t="shared" si="12"/>
        <v>-2981801.2413374251</v>
      </c>
      <c r="L23" s="193">
        <f t="shared" si="12"/>
        <v>-3931324.4475243515</v>
      </c>
      <c r="M23" s="193">
        <f t="shared" si="12"/>
        <v>-4917283.5207835641</v>
      </c>
      <c r="N23" s="193">
        <f t="shared" si="12"/>
        <v>-5903801.0708777551</v>
      </c>
      <c r="O23" s="193">
        <f t="shared" si="12"/>
        <v>-6846967.6907892087</v>
      </c>
      <c r="P23" s="193">
        <f t="shared" si="12"/>
        <v>-7695009.3109366372</v>
      </c>
      <c r="Q23" s="193">
        <f t="shared" si="12"/>
        <v>-8388842.9492620435</v>
      </c>
    </row>
    <row r="27" spans="2:17" x14ac:dyDescent="0.2">
      <c r="B27" s="198" t="s">
        <v>240</v>
      </c>
      <c r="C27" s="199">
        <f>C9/C7</f>
        <v>-0.18145206634736652</v>
      </c>
      <c r="D27" s="199">
        <f>D9/D7</f>
        <v>-0.17945195616094703</v>
      </c>
      <c r="E27" s="199">
        <f>E9/E7</f>
        <v>-0.16459225157830112</v>
      </c>
      <c r="F27" s="199">
        <f>F9/F7</f>
        <v>-0.15639440948072914</v>
      </c>
      <c r="G27" s="199">
        <f>G9/G7</f>
        <v>-0.16793285394137439</v>
      </c>
      <c r="H27" s="200">
        <f>AVERAGE($C$27:$G$27)</f>
        <v>-0.16996470750174364</v>
      </c>
      <c r="I27" s="200">
        <f t="shared" ref="I27:Q27" si="13">AVERAGE($C$27:$G$27)</f>
        <v>-0.16996470750174364</v>
      </c>
      <c r="J27" s="200">
        <f t="shared" si="13"/>
        <v>-0.16996470750174364</v>
      </c>
      <c r="K27" s="200">
        <f t="shared" si="13"/>
        <v>-0.16996470750174364</v>
      </c>
      <c r="L27" s="200">
        <f t="shared" si="13"/>
        <v>-0.16996470750174364</v>
      </c>
      <c r="M27" s="200">
        <f t="shared" si="13"/>
        <v>-0.16996470750174364</v>
      </c>
      <c r="N27" s="200">
        <f t="shared" si="13"/>
        <v>-0.16996470750174364</v>
      </c>
      <c r="O27" s="200">
        <f t="shared" si="13"/>
        <v>-0.16996470750174364</v>
      </c>
      <c r="P27" s="200">
        <f t="shared" si="13"/>
        <v>-0.16996470750174364</v>
      </c>
      <c r="Q27" s="200">
        <f t="shared" si="13"/>
        <v>-0.16996470750174364</v>
      </c>
    </row>
    <row r="28" spans="2:17" x14ac:dyDescent="0.2">
      <c r="B28" s="198" t="s">
        <v>241</v>
      </c>
      <c r="C28" s="199">
        <f>C9/'P&amp;L Input'!D4</f>
        <v>-3.1784410930840383E-2</v>
      </c>
      <c r="D28" s="199">
        <f>D9/'P&amp;L Input'!E4</f>
        <v>-3.3651732127380471E-2</v>
      </c>
      <c r="E28" s="199">
        <f>E9/'P&amp;L Input'!F4</f>
        <v>-3.109583278554948E-2</v>
      </c>
      <c r="F28" s="199">
        <f>F9/'P&amp;L Input'!G4</f>
        <v>-2.8586827828211883E-2</v>
      </c>
      <c r="G28" s="199">
        <f>G9/'P&amp;L Input'!H4</f>
        <v>-3.2306573881008507E-2</v>
      </c>
      <c r="H28" s="200">
        <f>AVERAGE($C$28:$G$28)</f>
        <v>-3.1485075510598134E-2</v>
      </c>
      <c r="I28" s="200">
        <f t="shared" ref="I28:Q28" si="14">AVERAGE($C$28:$G$28)</f>
        <v>-3.1485075510598134E-2</v>
      </c>
      <c r="J28" s="200">
        <f t="shared" si="14"/>
        <v>-3.1485075510598134E-2</v>
      </c>
      <c r="K28" s="200">
        <f t="shared" si="14"/>
        <v>-3.1485075510598134E-2</v>
      </c>
      <c r="L28" s="200">
        <f t="shared" si="14"/>
        <v>-3.1485075510598134E-2</v>
      </c>
      <c r="M28" s="200">
        <f t="shared" si="14"/>
        <v>-3.1485075510598134E-2</v>
      </c>
      <c r="N28" s="200">
        <f t="shared" si="14"/>
        <v>-3.1485075510598134E-2</v>
      </c>
      <c r="O28" s="200">
        <f t="shared" si="14"/>
        <v>-3.1485075510598134E-2</v>
      </c>
      <c r="P28" s="200">
        <f t="shared" si="14"/>
        <v>-3.1485075510598134E-2</v>
      </c>
      <c r="Q28" s="200">
        <f t="shared" si="14"/>
        <v>-3.1485075510598134E-2</v>
      </c>
    </row>
    <row r="29" spans="2:17" x14ac:dyDescent="0.2">
      <c r="B29" s="198" t="s">
        <v>242</v>
      </c>
      <c r="C29" s="199">
        <f>C8/C7</f>
        <v>0.20609528550251388</v>
      </c>
      <c r="D29" s="199">
        <f>D8/D7</f>
        <v>0.16656558319720016</v>
      </c>
      <c r="E29" s="199">
        <f>E8/E7</f>
        <v>0.23745155252747102</v>
      </c>
      <c r="F29" s="199">
        <f>F8/F7</f>
        <v>0.20792995954173196</v>
      </c>
      <c r="G29" s="199">
        <f>G8/G7</f>
        <v>0.29785382019598361</v>
      </c>
      <c r="H29" s="199">
        <f t="shared" ref="H29:Q29" si="15">AVERAGE($C$29:$G$29)</f>
        <v>0.22317924019298013</v>
      </c>
      <c r="I29" s="199">
        <f t="shared" si="15"/>
        <v>0.22317924019298013</v>
      </c>
      <c r="J29" s="199">
        <f t="shared" si="15"/>
        <v>0.22317924019298013</v>
      </c>
      <c r="K29" s="199">
        <f t="shared" si="15"/>
        <v>0.22317924019298013</v>
      </c>
      <c r="L29" s="199">
        <f t="shared" si="15"/>
        <v>0.22317924019298013</v>
      </c>
      <c r="M29" s="199">
        <f t="shared" si="15"/>
        <v>0.22317924019298013</v>
      </c>
      <c r="N29" s="199">
        <f t="shared" si="15"/>
        <v>0.22317924019298013</v>
      </c>
      <c r="O29" s="199">
        <f t="shared" si="15"/>
        <v>0.22317924019298013</v>
      </c>
      <c r="P29" s="199">
        <f t="shared" si="15"/>
        <v>0.22317924019298013</v>
      </c>
      <c r="Q29" s="199">
        <f t="shared" si="15"/>
        <v>0.22317924019298013</v>
      </c>
    </row>
    <row r="30" spans="2:17" x14ac:dyDescent="0.2">
      <c r="B30" s="198" t="s">
        <v>243</v>
      </c>
      <c r="C30" s="199">
        <f>C8/'P&amp;L Input'!D4</f>
        <v>3.6101089269385676E-2</v>
      </c>
      <c r="D30" s="199">
        <f>D8/'P&amp;L Input'!E4</f>
        <v>3.123521474664712E-2</v>
      </c>
      <c r="E30" s="199">
        <f>E8/'P&amp;L Input'!F4</f>
        <v>4.4860883190182867E-2</v>
      </c>
      <c r="F30" s="199">
        <f>F8/'P&amp;L Input'!G4</f>
        <v>3.8006844192720199E-2</v>
      </c>
      <c r="G30" s="199">
        <f>G8/'P&amp;L Input'!H4</f>
        <v>5.7300499706039926E-2</v>
      </c>
      <c r="H30" s="200">
        <f t="shared" ref="H30:Q30" si="16">AVERAGE($C$30:$G$30)</f>
        <v>4.1500906220995157E-2</v>
      </c>
      <c r="I30" s="200">
        <f t="shared" si="16"/>
        <v>4.1500906220995157E-2</v>
      </c>
      <c r="J30" s="200">
        <f t="shared" si="16"/>
        <v>4.1500906220995157E-2</v>
      </c>
      <c r="K30" s="200">
        <f t="shared" si="16"/>
        <v>4.1500906220995157E-2</v>
      </c>
      <c r="L30" s="200">
        <f t="shared" si="16"/>
        <v>4.1500906220995157E-2</v>
      </c>
      <c r="M30" s="200">
        <f t="shared" si="16"/>
        <v>4.1500906220995157E-2</v>
      </c>
      <c r="N30" s="200">
        <f t="shared" si="16"/>
        <v>4.1500906220995157E-2</v>
      </c>
      <c r="O30" s="200">
        <f t="shared" si="16"/>
        <v>4.1500906220995157E-2</v>
      </c>
      <c r="P30" s="200">
        <f t="shared" si="16"/>
        <v>4.1500906220995157E-2</v>
      </c>
      <c r="Q30" s="200">
        <f t="shared" si="16"/>
        <v>4.1500906220995157E-2</v>
      </c>
    </row>
    <row r="31" spans="2:17" x14ac:dyDescent="0.2">
      <c r="B31" s="195"/>
      <c r="C31" s="201"/>
      <c r="D31" s="201"/>
      <c r="E31" s="201"/>
      <c r="F31" s="201"/>
      <c r="G31" s="202"/>
      <c r="H31" s="202"/>
      <c r="I31" s="202"/>
      <c r="K31" s="202"/>
      <c r="L31" s="202"/>
      <c r="M31" s="202"/>
      <c r="N31" s="202"/>
      <c r="O31" s="202"/>
      <c r="P31" s="202"/>
      <c r="Q31" s="202"/>
    </row>
    <row r="32" spans="2:17" x14ac:dyDescent="0.2">
      <c r="B32" s="179" t="s">
        <v>244</v>
      </c>
      <c r="C32" s="203">
        <v>5</v>
      </c>
      <c r="D32" s="202"/>
      <c r="E32" s="202"/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</row>
    <row r="33" spans="2:17" x14ac:dyDescent="0.2">
      <c r="B33" s="179" t="s">
        <v>245</v>
      </c>
      <c r="C33" s="203">
        <v>5</v>
      </c>
      <c r="D33" s="202"/>
      <c r="E33" s="202"/>
      <c r="F33" s="202"/>
      <c r="G33" s="202"/>
      <c r="H33" s="202"/>
      <c r="I33" s="202"/>
      <c r="J33" s="202"/>
      <c r="K33" s="202"/>
      <c r="L33" s="202"/>
      <c r="M33" s="202"/>
      <c r="N33" s="202"/>
      <c r="O33" s="202"/>
      <c r="P33" s="202"/>
      <c r="Q33" s="202"/>
    </row>
  </sheetData>
  <dataValidations count="1">
    <dataValidation type="list" allowBlank="1" showInputMessage="1" showErrorMessage="1" sqref="C3">
      <formula1>"1,2"</formula1>
    </dataValidation>
  </dataValidations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showGridLines="0" workbookViewId="0">
      <selection activeCell="E15" sqref="E15"/>
    </sheetView>
  </sheetViews>
  <sheetFormatPr baseColWidth="10" defaultRowHeight="16" x14ac:dyDescent="0.2"/>
  <cols>
    <col min="1" max="1" width="2.33203125" customWidth="1"/>
  </cols>
  <sheetData>
    <row r="1" spans="2:7" x14ac:dyDescent="0.2">
      <c r="B1" s="70" t="s">
        <v>246</v>
      </c>
    </row>
    <row r="3" spans="2:7" x14ac:dyDescent="0.2">
      <c r="B3" s="204" t="s">
        <v>247</v>
      </c>
      <c r="C3" s="111"/>
      <c r="D3" s="111"/>
      <c r="E3" s="111"/>
      <c r="F3" s="111"/>
      <c r="G3" s="111"/>
    </row>
    <row r="4" spans="2:7" x14ac:dyDescent="0.2">
      <c r="B4" s="111"/>
      <c r="C4" s="111"/>
      <c r="D4" s="111"/>
      <c r="E4" s="111"/>
      <c r="F4" s="111"/>
      <c r="G4" s="111"/>
    </row>
    <row r="5" spans="2:7" x14ac:dyDescent="0.2">
      <c r="B5" s="111"/>
      <c r="C5" s="311" t="s">
        <v>240</v>
      </c>
      <c r="D5" s="311"/>
      <c r="E5" s="111"/>
      <c r="F5" s="311" t="s">
        <v>241</v>
      </c>
      <c r="G5" s="311"/>
    </row>
    <row r="6" spans="2:7" x14ac:dyDescent="0.2">
      <c r="B6" s="205" t="s">
        <v>4</v>
      </c>
      <c r="C6" s="206" t="s">
        <v>146</v>
      </c>
      <c r="D6" s="206" t="s">
        <v>248</v>
      </c>
      <c r="E6" s="111"/>
      <c r="F6" s="206" t="s">
        <v>146</v>
      </c>
      <c r="G6" s="206" t="s">
        <v>248</v>
      </c>
    </row>
    <row r="7" spans="2:7" x14ac:dyDescent="0.2">
      <c r="B7" t="s">
        <v>137</v>
      </c>
      <c r="C7" s="207">
        <f>-720700/739470</f>
        <v>-0.97461695538696635</v>
      </c>
      <c r="D7" s="208"/>
      <c r="E7" s="111"/>
      <c r="F7" s="209">
        <f>-720700/8550000</f>
        <v>-8.429239766081871E-2</v>
      </c>
      <c r="G7" s="210"/>
    </row>
    <row r="8" spans="2:7" x14ac:dyDescent="0.2">
      <c r="B8" t="s">
        <v>138</v>
      </c>
      <c r="C8" s="211">
        <f>-958000000/1509000000</f>
        <v>-0.63485752153744202</v>
      </c>
      <c r="D8" s="211">
        <f>-958000000/1509000000</f>
        <v>-0.63485752153744202</v>
      </c>
      <c r="E8" s="111"/>
      <c r="F8" s="211">
        <f>-958000000/18120000000</f>
        <v>-5.2869757174392934E-2</v>
      </c>
      <c r="G8" s="211">
        <f>-958000000/18120000000</f>
        <v>-5.2869757174392934E-2</v>
      </c>
    </row>
    <row r="9" spans="2:7" x14ac:dyDescent="0.2">
      <c r="B9" s="212" t="s">
        <v>140</v>
      </c>
      <c r="C9" s="211">
        <f>-9670000/21000000</f>
        <v>-0.46047619047619048</v>
      </c>
      <c r="D9" s="211">
        <f>-9670000/21000000</f>
        <v>-0.46047619047619048</v>
      </c>
      <c r="E9" s="111"/>
      <c r="F9" s="211">
        <f>-9670000/316160000</f>
        <v>-3.058577935222672E-2</v>
      </c>
      <c r="G9" s="211">
        <f>-9670000/316160000</f>
        <v>-3.058577935222672E-2</v>
      </c>
    </row>
    <row r="10" spans="2:7" x14ac:dyDescent="0.2">
      <c r="B10" t="s">
        <v>141</v>
      </c>
      <c r="C10" s="211">
        <f>-26480/115416</f>
        <v>-0.22943092812088445</v>
      </c>
      <c r="D10" s="211">
        <f>-26480/115416</f>
        <v>-0.22943092812088445</v>
      </c>
      <c r="E10" s="111"/>
      <c r="F10" s="211">
        <f>-26480/243771</f>
        <v>-0.10862653884178183</v>
      </c>
      <c r="G10" s="211">
        <f>-26480/243771</f>
        <v>-0.10862653884178183</v>
      </c>
    </row>
    <row r="11" spans="2:7" x14ac:dyDescent="0.2">
      <c r="B11" t="s">
        <v>142</v>
      </c>
      <c r="C11" s="211">
        <f>-10260/36100</f>
        <v>-0.28421052631578947</v>
      </c>
      <c r="D11" s="211">
        <f>-10260/36100</f>
        <v>-0.28421052631578947</v>
      </c>
      <c r="E11" s="111"/>
      <c r="F11" s="211">
        <f>-10260/110180</f>
        <v>-9.312034852060265E-2</v>
      </c>
      <c r="G11" s="211">
        <f>-10260/110180</f>
        <v>-9.312034852060265E-2</v>
      </c>
    </row>
    <row r="12" spans="2:7" x14ac:dyDescent="0.2">
      <c r="B12" t="s">
        <v>143</v>
      </c>
      <c r="C12" s="211">
        <f>-4150/21090</f>
        <v>-0.19677572309151256</v>
      </c>
      <c r="D12" s="211">
        <f>-4150/21090</f>
        <v>-0.19677572309151256</v>
      </c>
      <c r="E12" s="111"/>
      <c r="F12" s="211">
        <f>-4150/124130</f>
        <v>-3.3432691533070172E-2</v>
      </c>
      <c r="G12" s="211">
        <f>-4150/124130</f>
        <v>-3.3432691533070172E-2</v>
      </c>
    </row>
    <row r="13" spans="2:7" x14ac:dyDescent="0.2">
      <c r="B13" s="213" t="s">
        <v>146</v>
      </c>
      <c r="C13" s="214">
        <f>AVERAGE(C7:C12)</f>
        <v>-0.46339464082146425</v>
      </c>
      <c r="D13" s="214">
        <f>AVERAGE(D7:D12)</f>
        <v>-0.36115017790836379</v>
      </c>
      <c r="E13" s="215"/>
      <c r="F13" s="214">
        <f>AVERAGE(F7:F12)</f>
        <v>-6.7154585513815507E-2</v>
      </c>
      <c r="G13" s="214">
        <f>AVERAGE(G7:G12)</f>
        <v>-6.3727023084414858E-2</v>
      </c>
    </row>
  </sheetData>
  <mergeCells count="2">
    <mergeCell ref="C5:D5"/>
    <mergeCell ref="F5:G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3"/>
  <sheetViews>
    <sheetView showGridLines="0" workbookViewId="0">
      <selection activeCell="A14" sqref="A14"/>
    </sheetView>
  </sheetViews>
  <sheetFormatPr baseColWidth="10" defaultRowHeight="16" x14ac:dyDescent="0.2"/>
  <sheetData>
    <row r="13" spans="1:1" ht="60" customHeight="1" x14ac:dyDescent="0.45">
      <c r="A13" s="175" t="s">
        <v>249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showGridLines="0" zoomScale="99" workbookViewId="0">
      <selection activeCell="B1" sqref="B1"/>
    </sheetView>
  </sheetViews>
  <sheetFormatPr baseColWidth="10" defaultRowHeight="16" x14ac:dyDescent="0.2"/>
  <cols>
    <col min="1" max="1" width="1.6640625" customWidth="1"/>
    <col min="8" max="8" width="10.83203125" customWidth="1"/>
    <col min="9" max="9" width="12.33203125" customWidth="1"/>
  </cols>
  <sheetData>
    <row r="1" spans="2:13" x14ac:dyDescent="0.2">
      <c r="B1" s="217" t="s">
        <v>361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2:13" x14ac:dyDescent="0.2">
      <c r="B2" s="217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2:13" x14ac:dyDescent="0.2">
      <c r="B3" s="204" t="s">
        <v>247</v>
      </c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</row>
    <row r="4" spans="2:13" x14ac:dyDescent="0.2"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</row>
    <row r="5" spans="2:13" x14ac:dyDescent="0.2">
      <c r="B5" s="111"/>
      <c r="C5" s="311" t="s">
        <v>94</v>
      </c>
      <c r="D5" s="311"/>
      <c r="E5" s="111"/>
      <c r="F5" s="311" t="s">
        <v>95</v>
      </c>
      <c r="G5" s="311"/>
      <c r="H5" s="111"/>
      <c r="I5" s="311" t="s">
        <v>96</v>
      </c>
      <c r="J5" s="311"/>
      <c r="K5" s="111"/>
      <c r="L5" s="311" t="s">
        <v>250</v>
      </c>
      <c r="M5" s="311"/>
    </row>
    <row r="6" spans="2:13" x14ac:dyDescent="0.2">
      <c r="B6" s="205" t="s">
        <v>4</v>
      </c>
      <c r="C6" s="206" t="s">
        <v>146</v>
      </c>
      <c r="D6" s="206" t="s">
        <v>248</v>
      </c>
      <c r="E6" s="111"/>
      <c r="F6" s="206" t="s">
        <v>146</v>
      </c>
      <c r="G6" s="206" t="s">
        <v>248</v>
      </c>
      <c r="H6" s="111"/>
      <c r="I6" s="206" t="s">
        <v>146</v>
      </c>
      <c r="J6" s="206" t="s">
        <v>248</v>
      </c>
      <c r="K6" s="111"/>
      <c r="L6" s="218" t="s">
        <v>146</v>
      </c>
      <c r="M6" s="218" t="s">
        <v>248</v>
      </c>
    </row>
    <row r="7" spans="2:13" x14ac:dyDescent="0.2">
      <c r="B7" t="s">
        <v>137</v>
      </c>
      <c r="C7" s="219">
        <f>(1203485000/8534664000)*360</f>
        <v>50.764107409500838</v>
      </c>
      <c r="D7" s="302"/>
      <c r="E7" s="111"/>
      <c r="F7" s="220">
        <f>(692937000/6230483000)*360</f>
        <v>40.038199285673358</v>
      </c>
      <c r="G7" s="302"/>
      <c r="H7" s="111"/>
      <c r="I7" s="220">
        <f>(1982983000/6230483000)*360</f>
        <v>114.57761460869087</v>
      </c>
      <c r="J7" s="302"/>
      <c r="K7" s="111"/>
      <c r="L7" s="221">
        <f>C7+F7-I7</f>
        <v>-23.77530791351667</v>
      </c>
      <c r="M7" s="303"/>
    </row>
    <row r="8" spans="2:13" x14ac:dyDescent="0.2">
      <c r="B8" t="s">
        <v>138</v>
      </c>
      <c r="C8" s="219">
        <f>(4458000/18121000)*360</f>
        <v>88.564648750068983</v>
      </c>
      <c r="D8" s="219">
        <f>(4458000/18121000)*360</f>
        <v>88.564648750068983</v>
      </c>
      <c r="E8" s="111"/>
      <c r="F8" s="219">
        <f>(2674000/9489000)*360</f>
        <v>101.44799241226684</v>
      </c>
      <c r="G8" s="219">
        <f>(2674000/9489000)*360</f>
        <v>101.44799241226684</v>
      </c>
      <c r="H8" s="111"/>
      <c r="I8" s="219">
        <f>(2303000/9489000)*360</f>
        <v>87.372747391716729</v>
      </c>
      <c r="J8" s="219">
        <f>(2303000/9489000)*360</f>
        <v>87.372747391716729</v>
      </c>
      <c r="K8" s="111"/>
      <c r="L8" s="221">
        <f t="shared" ref="L8:L12" si="0">C8+F8-I8</f>
        <v>102.6398937706191</v>
      </c>
      <c r="M8" s="222">
        <f t="shared" ref="M8:M11" si="1">L8</f>
        <v>102.6398937706191</v>
      </c>
    </row>
    <row r="9" spans="2:13" x14ac:dyDescent="0.2">
      <c r="B9" s="212" t="s">
        <v>140</v>
      </c>
      <c r="C9" s="219">
        <f>(92454/316159)*360</f>
        <v>105.27437143968699</v>
      </c>
      <c r="D9" s="219">
        <f>(92454/316159)*360</f>
        <v>105.27437143968699</v>
      </c>
      <c r="E9" s="111"/>
      <c r="F9" s="219">
        <f>(16267/221714)*360</f>
        <v>26.412946408436095</v>
      </c>
      <c r="G9" s="219">
        <f>(16267/221714)*360</f>
        <v>26.412946408436095</v>
      </c>
      <c r="H9" s="111"/>
      <c r="I9" s="219">
        <f>(48794/221714)*360</f>
        <v>79.227473231279944</v>
      </c>
      <c r="J9" s="219">
        <f>(48794/221714)*360</f>
        <v>79.227473231279944</v>
      </c>
      <c r="K9" s="111"/>
      <c r="L9" s="221">
        <f t="shared" si="0"/>
        <v>52.459844616843142</v>
      </c>
      <c r="M9" s="222">
        <f t="shared" si="1"/>
        <v>52.459844616843142</v>
      </c>
    </row>
    <row r="10" spans="2:13" x14ac:dyDescent="0.2">
      <c r="B10" t="s">
        <v>141</v>
      </c>
      <c r="C10" s="219">
        <f>(36948466/243771415)*360</f>
        <v>54.565248185477358</v>
      </c>
      <c r="D10" s="219">
        <f>(36948466/243771415)*360</f>
        <v>54.565248185477358</v>
      </c>
      <c r="E10" s="111"/>
      <c r="F10" s="219">
        <f>(28984704/132394411)*360</f>
        <v>78.813700375916923</v>
      </c>
      <c r="G10" s="219">
        <f>(28984704/132394411)*360</f>
        <v>78.813700375916923</v>
      </c>
      <c r="H10" s="111"/>
      <c r="I10" s="219">
        <f>(8479916/132394411)*360</f>
        <v>23.05814676723778</v>
      </c>
      <c r="J10" s="219">
        <f>(8479916/132394411)*360</f>
        <v>23.05814676723778</v>
      </c>
      <c r="K10" s="111"/>
      <c r="L10" s="221">
        <f t="shared" si="0"/>
        <v>110.32080179415649</v>
      </c>
      <c r="M10" s="222">
        <f t="shared" si="1"/>
        <v>110.32080179415649</v>
      </c>
    </row>
    <row r="11" spans="2:13" x14ac:dyDescent="0.2">
      <c r="B11" t="s">
        <v>142</v>
      </c>
      <c r="C11" s="219">
        <f>(26481000/110360000)*360</f>
        <v>86.382384922073214</v>
      </c>
      <c r="D11" s="219">
        <f>(26481000/110360000)*360</f>
        <v>86.382384922073214</v>
      </c>
      <c r="E11" s="111"/>
      <c r="F11" s="219">
        <f>(2662000/38353000)*360</f>
        <v>24.986832842280915</v>
      </c>
      <c r="G11" s="219">
        <f>(2662000/38353000)*360</f>
        <v>24.986832842280915</v>
      </c>
      <c r="H11" s="111"/>
      <c r="I11" s="219">
        <f>(8617000/38353000)*360</f>
        <v>80.883372878262449</v>
      </c>
      <c r="J11" s="219">
        <f>(8617000/38353000)*360</f>
        <v>80.883372878262449</v>
      </c>
      <c r="K11" s="111"/>
      <c r="L11" s="221">
        <f t="shared" si="0"/>
        <v>30.485844886091684</v>
      </c>
      <c r="M11" s="222">
        <f t="shared" si="1"/>
        <v>30.485844886091684</v>
      </c>
    </row>
    <row r="12" spans="2:13" x14ac:dyDescent="0.2">
      <c r="B12" t="s">
        <v>143</v>
      </c>
      <c r="C12" s="219">
        <f>(25017000/124129000)*360</f>
        <v>72.554519894625756</v>
      </c>
      <c r="D12" s="219">
        <f>(25017000/124129000)*360</f>
        <v>72.554519894625756</v>
      </c>
      <c r="E12" s="111"/>
      <c r="F12" s="219">
        <f>(16750000/100312000)*360</f>
        <v>60.112449158625097</v>
      </c>
      <c r="G12" s="219">
        <f>(16750000/100312000)*360</f>
        <v>60.112449158625097</v>
      </c>
      <c r="H12" s="111"/>
      <c r="I12" s="219">
        <f>(34443000/100312000)*360</f>
        <v>123.6091394848074</v>
      </c>
      <c r="J12" s="219">
        <f>(34443000/100312000)*360</f>
        <v>123.6091394848074</v>
      </c>
      <c r="K12" s="111"/>
      <c r="L12" s="221">
        <f t="shared" si="0"/>
        <v>9.0578295684434522</v>
      </c>
      <c r="M12" s="221">
        <f>L12</f>
        <v>9.0578295684434522</v>
      </c>
    </row>
    <row r="13" spans="2:13" x14ac:dyDescent="0.2">
      <c r="B13" s="213" t="s">
        <v>146</v>
      </c>
      <c r="C13" s="224">
        <f>AVERAGE(C7:C12)</f>
        <v>76.350880100238854</v>
      </c>
      <c r="D13" s="224">
        <f>AVERAGE(D7:D12)</f>
        <v>81.468234638386463</v>
      </c>
      <c r="E13" s="111"/>
      <c r="F13" s="224">
        <f>AVERAGE(F7:F12)</f>
        <v>55.302020080533204</v>
      </c>
      <c r="G13" s="224">
        <f>AVERAGE(G7:G12)</f>
        <v>58.354784239505172</v>
      </c>
      <c r="H13" s="111"/>
      <c r="I13" s="224">
        <f>AVERAGE(I7:I12)</f>
        <v>84.788082393665846</v>
      </c>
      <c r="J13" s="224">
        <f>AVERAGE(J7:J12)</f>
        <v>78.830175950660873</v>
      </c>
      <c r="K13" s="111"/>
      <c r="L13" s="225">
        <f>AVERAGE(L7:L12)</f>
        <v>46.864817787106197</v>
      </c>
      <c r="M13" s="225">
        <f>AVERAGE(M7:M12)</f>
        <v>60.992842927230775</v>
      </c>
    </row>
  </sheetData>
  <mergeCells count="4">
    <mergeCell ref="C5:D5"/>
    <mergeCell ref="F5:G5"/>
    <mergeCell ref="I5:J5"/>
    <mergeCell ref="L5:M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showGridLines="0" zoomScale="127" workbookViewId="0">
      <selection activeCell="B1" sqref="B1"/>
    </sheetView>
  </sheetViews>
  <sheetFormatPr baseColWidth="10" defaultRowHeight="16" x14ac:dyDescent="0.2"/>
  <cols>
    <col min="1" max="1" width="1.33203125" customWidth="1"/>
    <col min="2" max="2" width="24.1640625" customWidth="1"/>
    <col min="8" max="12" width="11" bestFit="1" customWidth="1"/>
    <col min="13" max="17" width="11.1640625" bestFit="1" customWidth="1"/>
  </cols>
  <sheetData>
    <row r="1" spans="2:17" x14ac:dyDescent="0.2">
      <c r="B1" s="226" t="s">
        <v>251</v>
      </c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</row>
    <row r="2" spans="2:17" x14ac:dyDescent="0.2"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</row>
    <row r="3" spans="2:17" x14ac:dyDescent="0.2">
      <c r="B3" s="187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2:17" ht="24" x14ac:dyDescent="0.2">
      <c r="B4" s="112" t="s">
        <v>252</v>
      </c>
      <c r="C4" s="113" t="s">
        <v>215</v>
      </c>
      <c r="D4" s="113" t="s">
        <v>216</v>
      </c>
      <c r="E4" s="113" t="s">
        <v>217</v>
      </c>
      <c r="F4" s="113" t="s">
        <v>218</v>
      </c>
      <c r="G4" s="113" t="s">
        <v>219</v>
      </c>
      <c r="H4" s="194" t="s">
        <v>253</v>
      </c>
      <c r="I4" s="194" t="s">
        <v>254</v>
      </c>
      <c r="J4" s="194" t="s">
        <v>255</v>
      </c>
      <c r="K4" s="194" t="s">
        <v>256</v>
      </c>
      <c r="L4" s="194" t="s">
        <v>257</v>
      </c>
      <c r="M4" s="194" t="s">
        <v>258</v>
      </c>
      <c r="N4" s="194" t="s">
        <v>259</v>
      </c>
      <c r="O4" s="194" t="s">
        <v>260</v>
      </c>
      <c r="P4" s="194" t="s">
        <v>261</v>
      </c>
      <c r="Q4" s="194" t="s">
        <v>262</v>
      </c>
    </row>
    <row r="5" spans="2:17" x14ac:dyDescent="0.2">
      <c r="B5" s="111" t="s">
        <v>51</v>
      </c>
      <c r="C5" s="227">
        <f>'Balance Sheet Input'!C6</f>
        <v>7683915</v>
      </c>
      <c r="D5" s="227">
        <f>'Balance Sheet Input'!D6</f>
        <v>7093352</v>
      </c>
      <c r="E5" s="227">
        <f>'Balance Sheet Input'!E6</f>
        <v>7059889</v>
      </c>
      <c r="F5" s="227">
        <f>'Balance Sheet Input'!F6</f>
        <v>8178213</v>
      </c>
      <c r="G5" s="227">
        <f>'Balance Sheet Input'!G6</f>
        <v>6371594</v>
      </c>
      <c r="H5" s="228">
        <f>H11*'Divisional Sales Revenue'!H13/360</f>
        <v>7602255.5397734139</v>
      </c>
      <c r="I5" s="228">
        <f>I11*'Divisional Sales Revenue'!I13/360</f>
        <v>7624237.3666717466</v>
      </c>
      <c r="J5" s="228">
        <f>J11*'Divisional Sales Revenue'!J13/360</f>
        <v>7613718.8303023763</v>
      </c>
      <c r="K5" s="228">
        <f>K11*'Divisional Sales Revenue'!K13/360</f>
        <v>7634758.0620146561</v>
      </c>
      <c r="L5" s="228">
        <f>L11*'Divisional Sales Revenue'!L13/360</f>
        <v>7650248.652226733</v>
      </c>
      <c r="M5" s="228">
        <f>M11*'Divisional Sales Revenue'!M13/360</f>
        <v>7658053.0812351713</v>
      </c>
      <c r="N5" s="228">
        <f>N11*'Divisional Sales Revenue'!N13/360</f>
        <v>7667189.8998560775</v>
      </c>
      <c r="O5" s="228">
        <f>O11*'Divisional Sales Revenue'!O13/360</f>
        <v>7683430.9861938525</v>
      </c>
      <c r="P5" s="228">
        <f>P11*'Divisional Sales Revenue'!P13/360</f>
        <v>7692933.2967678662</v>
      </c>
      <c r="Q5" s="228">
        <f>Q11*'Divisional Sales Revenue'!Q13/360</f>
        <v>7703705.384209102</v>
      </c>
    </row>
    <row r="6" spans="2:17" x14ac:dyDescent="0.2">
      <c r="B6" s="111" t="s">
        <v>263</v>
      </c>
      <c r="C6" s="227">
        <f>'Balance Sheet Input'!C9</f>
        <v>5711273</v>
      </c>
      <c r="D6" s="227">
        <f>'Balance Sheet Input'!D9</f>
        <v>4872676</v>
      </c>
      <c r="E6" s="227">
        <f>'Balance Sheet Input'!E9</f>
        <v>5171015</v>
      </c>
      <c r="F6" s="227">
        <f>'Balance Sheet Input'!F9</f>
        <v>5908437</v>
      </c>
      <c r="G6" s="227">
        <f>'Balance Sheet Input'!G9</f>
        <v>6021356</v>
      </c>
      <c r="H6" s="240">
        <f>H12*COGS!H$13/360</f>
        <v>5771903.7392401733</v>
      </c>
      <c r="I6" s="240">
        <f>I12*COGS!I$13/360</f>
        <v>5788593.1267786529</v>
      </c>
      <c r="J6" s="240">
        <f>J12*COGS!J$13/360</f>
        <v>5780607.0785480877</v>
      </c>
      <c r="K6" s="240">
        <f>K12*COGS!K$13/360</f>
        <v>5796580.8141789837</v>
      </c>
      <c r="L6" s="240">
        <f>L12*COGS!L$13/360</f>
        <v>5808341.8231453793</v>
      </c>
      <c r="M6" s="240">
        <f>M12*COGS!M$13/360</f>
        <v>5814267.2241978422</v>
      </c>
      <c r="N6" s="240">
        <f>N12*COGS!N$13/360</f>
        <v>5821204.2229986386</v>
      </c>
      <c r="O6" s="240">
        <f>O12*COGS!O$13/360</f>
        <v>5833535.0354097541</v>
      </c>
      <c r="P6" s="240">
        <f>P12*COGS!P$13/360</f>
        <v>5840749.5287461933</v>
      </c>
      <c r="Q6" s="240">
        <f>Q12*COGS!Q$13/360</f>
        <v>5848928.0820000507</v>
      </c>
    </row>
    <row r="7" spans="2:17" x14ac:dyDescent="0.2">
      <c r="B7" s="111" t="s">
        <v>68</v>
      </c>
      <c r="C7" s="227">
        <f>'Balance Sheet Input'!C27</f>
        <v>6741710</v>
      </c>
      <c r="D7" s="227">
        <f>'Balance Sheet Input'!D27</f>
        <v>6086975</v>
      </c>
      <c r="E7" s="227">
        <f>'Balance Sheet Input'!E27</f>
        <v>6746361</v>
      </c>
      <c r="F7" s="227">
        <f>'Balance Sheet Input'!F27</f>
        <v>8137526</v>
      </c>
      <c r="G7" s="227">
        <f>'Balance Sheet Input'!G27</f>
        <v>7216739</v>
      </c>
      <c r="H7" s="240">
        <f>H13*COGS!H$13/360</f>
        <v>7283151.3912484292</v>
      </c>
      <c r="I7" s="240">
        <f>I13*COGS!I$13/360</f>
        <v>7304210.5324887093</v>
      </c>
      <c r="J7" s="240">
        <f>J13*COGS!J$13/360</f>
        <v>7294133.5109532326</v>
      </c>
      <c r="K7" s="240">
        <f>K13*COGS!K$13/360</f>
        <v>7314289.6223749574</v>
      </c>
      <c r="L7" s="240">
        <f>L13*COGS!L$13/360</f>
        <v>7329129.9961382532</v>
      </c>
      <c r="M7" s="240">
        <f>M13*COGS!M$13/360</f>
        <v>7336606.8347808588</v>
      </c>
      <c r="N7" s="240">
        <f>N13*COGS!N$13/360</f>
        <v>7345360.1360744396</v>
      </c>
      <c r="O7" s="240">
        <f>O13*COGS!O$13/360</f>
        <v>7360919.5039406577</v>
      </c>
      <c r="P7" s="240">
        <f>P13*COGS!P$13/360</f>
        <v>7370022.9556879913</v>
      </c>
      <c r="Q7" s="240">
        <f>Q13*COGS!Q$13/360</f>
        <v>7380342.8855066886</v>
      </c>
    </row>
    <row r="8" spans="2:17" ht="17" thickBot="1" x14ac:dyDescent="0.25">
      <c r="B8" s="192" t="s">
        <v>250</v>
      </c>
      <c r="C8" s="193">
        <f>C5+C6-C7</f>
        <v>6653478</v>
      </c>
      <c r="D8" s="193">
        <f>D5+D6-D7</f>
        <v>5879053</v>
      </c>
      <c r="E8" s="193">
        <f>E5+E6-E7</f>
        <v>5484543</v>
      </c>
      <c r="F8" s="193">
        <f>F5+F6-F7</f>
        <v>5949124</v>
      </c>
      <c r="G8" s="193">
        <f>G5+G6-G7</f>
        <v>5176211</v>
      </c>
      <c r="H8" s="193">
        <f t="shared" ref="H8:Q8" si="0">H5+H6-H7</f>
        <v>6091007.887765158</v>
      </c>
      <c r="I8" s="193">
        <f t="shared" si="0"/>
        <v>6108619.9609616902</v>
      </c>
      <c r="J8" s="193">
        <f t="shared" si="0"/>
        <v>6100192.3978972323</v>
      </c>
      <c r="K8" s="193">
        <f t="shared" si="0"/>
        <v>6117049.2538186815</v>
      </c>
      <c r="L8" s="193">
        <f t="shared" si="0"/>
        <v>6129460.47923386</v>
      </c>
      <c r="M8" s="193">
        <f t="shared" si="0"/>
        <v>6135713.4706521537</v>
      </c>
      <c r="N8" s="193">
        <f t="shared" si="0"/>
        <v>6143033.9867802775</v>
      </c>
      <c r="O8" s="193">
        <f t="shared" si="0"/>
        <v>6156046.5176629489</v>
      </c>
      <c r="P8" s="193">
        <f t="shared" si="0"/>
        <v>6163659.8698260682</v>
      </c>
      <c r="Q8" s="193">
        <f t="shared" si="0"/>
        <v>6172290.5807024641</v>
      </c>
    </row>
    <row r="9" spans="2:17" x14ac:dyDescent="0.2"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</row>
    <row r="10" spans="2:17" x14ac:dyDescent="0.2">
      <c r="B10" s="156" t="s">
        <v>264</v>
      </c>
      <c r="C10" s="152"/>
      <c r="D10" s="152"/>
      <c r="E10" s="152"/>
      <c r="F10" s="152"/>
      <c r="G10" s="152"/>
      <c r="H10" s="152"/>
      <c r="I10" s="152"/>
      <c r="J10" s="152"/>
      <c r="K10" s="152"/>
      <c r="L10" s="152"/>
      <c r="M10" s="152"/>
      <c r="N10" s="152"/>
      <c r="O10" s="152"/>
      <c r="P10" s="152"/>
      <c r="Q10" s="152"/>
    </row>
    <row r="11" spans="2:17" x14ac:dyDescent="0.2">
      <c r="B11" s="152" t="s">
        <v>94</v>
      </c>
      <c r="C11" s="223">
        <f>'Balance Sheet Input'!C59</f>
        <v>46.852531573649777</v>
      </c>
      <c r="D11" s="223">
        <f>'Balance Sheet Input'!D59</f>
        <v>45.189374409120759</v>
      </c>
      <c r="E11" s="223">
        <f>'Balance Sheet Input'!E59</f>
        <v>45.903851123826698</v>
      </c>
      <c r="F11" s="223">
        <f>'Balance Sheet Input'!F59</f>
        <v>47.953336719857511</v>
      </c>
      <c r="G11" s="223">
        <f>'Balance Sheet Input'!G59</f>
        <v>37.39340752151751</v>
      </c>
      <c r="H11" s="223">
        <f>AVERAGE($C11:$G11)</f>
        <v>44.658500269594448</v>
      </c>
      <c r="I11" s="223">
        <f t="shared" ref="I11:Q13" si="1">AVERAGE($C11:$G11)</f>
        <v>44.658500269594448</v>
      </c>
      <c r="J11" s="223">
        <f t="shared" si="1"/>
        <v>44.658500269594448</v>
      </c>
      <c r="K11" s="223">
        <f t="shared" si="1"/>
        <v>44.658500269594448</v>
      </c>
      <c r="L11" s="223">
        <f t="shared" si="1"/>
        <v>44.658500269594448</v>
      </c>
      <c r="M11" s="223">
        <f t="shared" si="1"/>
        <v>44.658500269594448</v>
      </c>
      <c r="N11" s="223">
        <f t="shared" si="1"/>
        <v>44.658500269594448</v>
      </c>
      <c r="O11" s="223">
        <f t="shared" si="1"/>
        <v>44.658500269594448</v>
      </c>
      <c r="P11" s="223">
        <f t="shared" si="1"/>
        <v>44.658500269594448</v>
      </c>
      <c r="Q11" s="223">
        <f t="shared" si="1"/>
        <v>44.658500269594448</v>
      </c>
    </row>
    <row r="12" spans="2:17" x14ac:dyDescent="0.2">
      <c r="B12" s="152" t="s">
        <v>95</v>
      </c>
      <c r="C12" s="223">
        <f>'Balance Sheet Input'!C60</f>
        <v>45.388479714904854</v>
      </c>
      <c r="D12" s="223">
        <f>'Balance Sheet Input'!D60</f>
        <v>40.200775234356826</v>
      </c>
      <c r="E12" s="223">
        <f>'Balance Sheet Input'!E60</f>
        <v>44.716605765902244</v>
      </c>
      <c r="F12" s="223">
        <f>'Balance Sheet Input'!F60</f>
        <v>45.510231673825189</v>
      </c>
      <c r="G12" s="223">
        <f>'Balance Sheet Input'!G60</f>
        <v>46.858173539394848</v>
      </c>
      <c r="H12" s="223">
        <f t="shared" ref="H12:H13" si="2">AVERAGE($C12:$G12)</f>
        <v>44.534853185676795</v>
      </c>
      <c r="I12" s="223">
        <f t="shared" si="1"/>
        <v>44.534853185676795</v>
      </c>
      <c r="J12" s="223">
        <f t="shared" si="1"/>
        <v>44.534853185676795</v>
      </c>
      <c r="K12" s="223">
        <f t="shared" si="1"/>
        <v>44.534853185676795</v>
      </c>
      <c r="L12" s="223">
        <f t="shared" si="1"/>
        <v>44.534853185676795</v>
      </c>
      <c r="M12" s="223">
        <f t="shared" si="1"/>
        <v>44.534853185676795</v>
      </c>
      <c r="N12" s="223">
        <f t="shared" si="1"/>
        <v>44.534853185676795</v>
      </c>
      <c r="O12" s="223">
        <f t="shared" si="1"/>
        <v>44.534853185676795</v>
      </c>
      <c r="P12" s="223">
        <f t="shared" si="1"/>
        <v>44.534853185676795</v>
      </c>
      <c r="Q12" s="223">
        <f t="shared" si="1"/>
        <v>44.534853185676795</v>
      </c>
    </row>
    <row r="13" spans="2:17" x14ac:dyDescent="0.2">
      <c r="B13" s="152" t="s">
        <v>96</v>
      </c>
      <c r="C13" s="223">
        <f>'Balance Sheet Input'!C61</f>
        <v>53.57754174573185</v>
      </c>
      <c r="D13" s="223">
        <f>'Balance Sheet Input'!D61</f>
        <v>50.219040591278628</v>
      </c>
      <c r="E13" s="223">
        <f>'Balance Sheet Input'!E61</f>
        <v>58.339487545763845</v>
      </c>
      <c r="F13" s="223">
        <f>'Balance Sheet Input'!F61</f>
        <v>62.679976703107094</v>
      </c>
      <c r="G13" s="223">
        <f>'Balance Sheet Input'!G61</f>
        <v>56.16064030270239</v>
      </c>
      <c r="H13" s="223">
        <f t="shared" si="2"/>
        <v>56.195337377716761</v>
      </c>
      <c r="I13" s="223">
        <f t="shared" si="1"/>
        <v>56.195337377716761</v>
      </c>
      <c r="J13" s="223">
        <f t="shared" si="1"/>
        <v>56.195337377716761</v>
      </c>
      <c r="K13" s="223">
        <f t="shared" si="1"/>
        <v>56.195337377716761</v>
      </c>
      <c r="L13" s="223">
        <f t="shared" si="1"/>
        <v>56.195337377716761</v>
      </c>
      <c r="M13" s="223">
        <f t="shared" si="1"/>
        <v>56.195337377716761</v>
      </c>
      <c r="N13" s="223">
        <f t="shared" si="1"/>
        <v>56.195337377716761</v>
      </c>
      <c r="O13" s="223">
        <f t="shared" si="1"/>
        <v>56.195337377716761</v>
      </c>
      <c r="P13" s="223">
        <f t="shared" si="1"/>
        <v>56.195337377716761</v>
      </c>
      <c r="Q13" s="223">
        <f t="shared" si="1"/>
        <v>56.195337377716761</v>
      </c>
    </row>
    <row r="14" spans="2:17" x14ac:dyDescent="0.2">
      <c r="B14" s="229" t="s">
        <v>250</v>
      </c>
      <c r="C14" s="223">
        <f>C11+C12-C13</f>
        <v>38.663469542822781</v>
      </c>
      <c r="D14" s="223">
        <f>D11+D12-D13</f>
        <v>35.171109052198958</v>
      </c>
      <c r="E14" s="223">
        <f>E11+E12-E13</f>
        <v>32.280969343965097</v>
      </c>
      <c r="F14" s="223">
        <f>F11+F12-F13</f>
        <v>30.783591690575598</v>
      </c>
      <c r="G14" s="223">
        <f>G11+G12-G13</f>
        <v>28.090940758209967</v>
      </c>
      <c r="H14" s="223">
        <f t="shared" ref="H14:Q14" si="3">H11+H12-H13</f>
        <v>32.998016077554489</v>
      </c>
      <c r="I14" s="223">
        <f t="shared" si="3"/>
        <v>32.998016077554489</v>
      </c>
      <c r="J14" s="223">
        <f t="shared" si="3"/>
        <v>32.998016077554489</v>
      </c>
      <c r="K14" s="223">
        <f t="shared" si="3"/>
        <v>32.998016077554489</v>
      </c>
      <c r="L14" s="223">
        <f t="shared" si="3"/>
        <v>32.998016077554489</v>
      </c>
      <c r="M14" s="223">
        <f t="shared" si="3"/>
        <v>32.998016077554489</v>
      </c>
      <c r="N14" s="223">
        <f t="shared" si="3"/>
        <v>32.998016077554489</v>
      </c>
      <c r="O14" s="223">
        <f t="shared" si="3"/>
        <v>32.998016077554489</v>
      </c>
      <c r="P14" s="223">
        <f t="shared" si="3"/>
        <v>32.998016077554489</v>
      </c>
      <c r="Q14" s="223">
        <f t="shared" si="3"/>
        <v>32.998016077554489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showGridLines="0" topLeftCell="A9" zoomScale="125" workbookViewId="0">
      <selection activeCell="B1" sqref="B1"/>
    </sheetView>
  </sheetViews>
  <sheetFormatPr baseColWidth="10" defaultRowHeight="16" x14ac:dyDescent="0.2"/>
  <cols>
    <col min="1" max="1" width="3" customWidth="1"/>
  </cols>
  <sheetData>
    <row r="1" spans="1:15" x14ac:dyDescent="0.2">
      <c r="A1" s="10"/>
      <c r="B1" s="70" t="s">
        <v>357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">
      <c r="A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15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 spans="1:1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1:15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 spans="1:15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 spans="1:1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 spans="1:1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 spans="1:15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 spans="1:15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 spans="1:15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 spans="1:1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 spans="1:1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1:1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1:1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1:1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 spans="1:1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 spans="1:1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</sheetData>
  <pageMargins left="0.7" right="0.7" top="0.75" bottom="0.75" header="0.3" footer="0.3"/>
  <pageSetup orientation="portrait" horizontalDpi="0" verticalDpi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2:B14"/>
  <sheetViews>
    <sheetView showGridLines="0" topLeftCell="A3" workbookViewId="0">
      <selection activeCell="B15" sqref="B15"/>
    </sheetView>
  </sheetViews>
  <sheetFormatPr baseColWidth="10" defaultRowHeight="16" x14ac:dyDescent="0.2"/>
  <cols>
    <col min="1" max="1" width="1.83203125" customWidth="1"/>
    <col min="2" max="2" width="10" customWidth="1"/>
  </cols>
  <sheetData>
    <row r="12" spans="1:2" ht="20" customHeight="1" x14ac:dyDescent="0.2"/>
    <row r="13" spans="1:2" ht="12" customHeight="1" x14ac:dyDescent="0.2"/>
    <row r="14" spans="1:2" ht="49" customHeight="1" x14ac:dyDescent="0.45">
      <c r="A14" s="259"/>
      <c r="B14" s="175" t="s">
        <v>322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showGridLines="0" topLeftCell="B5" zoomScale="117" zoomScaleNormal="164" zoomScalePageLayoutView="164" workbookViewId="0">
      <selection activeCell="H30" sqref="H30"/>
    </sheetView>
  </sheetViews>
  <sheetFormatPr baseColWidth="10" defaultRowHeight="16" x14ac:dyDescent="0.2"/>
  <cols>
    <col min="1" max="1" width="2.6640625" customWidth="1"/>
    <col min="2" max="2" width="31.1640625" customWidth="1"/>
  </cols>
  <sheetData>
    <row r="1" spans="2:18" x14ac:dyDescent="0.2">
      <c r="B1" s="70" t="s">
        <v>299</v>
      </c>
    </row>
    <row r="3" spans="2:18" x14ac:dyDescent="0.2">
      <c r="B3" s="10" t="s">
        <v>300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2:18" x14ac:dyDescent="0.2">
      <c r="B4" s="10" t="s">
        <v>301</v>
      </c>
      <c r="C4" s="260">
        <v>0.5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2:18" x14ac:dyDescent="0.2">
      <c r="B5" s="10" t="s">
        <v>307</v>
      </c>
      <c r="C5" s="260">
        <v>0.5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  <row r="6" spans="2:18" x14ac:dyDescent="0.2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2:18" x14ac:dyDescent="0.2">
      <c r="B7" s="10" t="s">
        <v>302</v>
      </c>
      <c r="C7" s="258">
        <v>1.5299999999999999E-2</v>
      </c>
      <c r="D7" s="10" t="s">
        <v>316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2:18" x14ac:dyDescent="0.2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2:18" x14ac:dyDescent="0.2">
      <c r="B9" s="10"/>
      <c r="C9" s="177"/>
      <c r="D9" s="177"/>
      <c r="E9" s="177"/>
      <c r="F9" s="177"/>
      <c r="G9" s="177"/>
      <c r="H9" s="177"/>
      <c r="I9" s="46"/>
      <c r="J9" s="46" t="s">
        <v>304</v>
      </c>
      <c r="K9" s="177"/>
      <c r="L9" s="177"/>
      <c r="M9" s="177"/>
      <c r="N9" s="177"/>
      <c r="O9" s="177"/>
      <c r="P9" s="177"/>
      <c r="Q9" s="177"/>
      <c r="R9" s="10"/>
    </row>
    <row r="10" spans="2:18" ht="24" x14ac:dyDescent="0.2">
      <c r="B10" s="47" t="s">
        <v>303</v>
      </c>
      <c r="C10" s="113" t="s">
        <v>215</v>
      </c>
      <c r="D10" s="113" t="s">
        <v>216</v>
      </c>
      <c r="E10" s="113" t="s">
        <v>217</v>
      </c>
      <c r="F10" s="113" t="s">
        <v>218</v>
      </c>
      <c r="G10" s="113" t="s">
        <v>219</v>
      </c>
      <c r="H10" s="194" t="s">
        <v>253</v>
      </c>
      <c r="I10" s="194" t="s">
        <v>254</v>
      </c>
      <c r="J10" s="194" t="s">
        <v>255</v>
      </c>
      <c r="K10" s="194" t="s">
        <v>256</v>
      </c>
      <c r="L10" s="194" t="s">
        <v>257</v>
      </c>
      <c r="M10" s="194" t="s">
        <v>258</v>
      </c>
      <c r="N10" s="194" t="s">
        <v>259</v>
      </c>
      <c r="O10" s="194" t="s">
        <v>260</v>
      </c>
      <c r="P10" s="194" t="s">
        <v>261</v>
      </c>
      <c r="Q10" s="194" t="s">
        <v>262</v>
      </c>
      <c r="R10" s="10"/>
    </row>
    <row r="11" spans="2:18" x14ac:dyDescent="0.2">
      <c r="B11" s="51" t="s">
        <v>309</v>
      </c>
      <c r="C11" s="261">
        <f>'Balance Sheet Input'!C28</f>
        <v>2575550</v>
      </c>
      <c r="D11" s="261">
        <f>'Balance Sheet Input'!D28</f>
        <v>2326128</v>
      </c>
      <c r="E11" s="261">
        <f>'Balance Sheet Input'!E28</f>
        <v>1650511</v>
      </c>
      <c r="F11" s="261">
        <f>'Balance Sheet Input'!F28</f>
        <v>1360756</v>
      </c>
      <c r="G11" s="261">
        <f>'Balance Sheet Input'!G28</f>
        <v>1405116</v>
      </c>
      <c r="H11" s="268">
        <f>H13*$G$19</f>
        <v>1454303.1230953424</v>
      </c>
      <c r="I11" s="268">
        <f t="shared" ref="I11:Q11" si="0">I13*$G$19</f>
        <v>1454303.1230953424</v>
      </c>
      <c r="J11" s="268">
        <f t="shared" si="0"/>
        <v>1454303.1230953424</v>
      </c>
      <c r="K11" s="268">
        <f t="shared" si="0"/>
        <v>1454303.1230953424</v>
      </c>
      <c r="L11" s="268">
        <f t="shared" si="0"/>
        <v>1454303.1230953424</v>
      </c>
      <c r="M11" s="268">
        <f t="shared" si="0"/>
        <v>1454303.1230953424</v>
      </c>
      <c r="N11" s="268">
        <f t="shared" si="0"/>
        <v>1454303.1230953424</v>
      </c>
      <c r="O11" s="268">
        <f t="shared" si="0"/>
        <v>1454303.1230953424</v>
      </c>
      <c r="P11" s="268">
        <f t="shared" si="0"/>
        <v>1454303.1230953424</v>
      </c>
      <c r="Q11" s="268">
        <f t="shared" si="0"/>
        <v>1454303.1230953424</v>
      </c>
      <c r="R11" s="10"/>
    </row>
    <row r="12" spans="2:18" x14ac:dyDescent="0.2">
      <c r="B12" s="10" t="s">
        <v>305</v>
      </c>
      <c r="C12" s="14">
        <f>'Balance Sheet Input'!C36</f>
        <v>6426881</v>
      </c>
      <c r="D12" s="14">
        <f>'Balance Sheet Input'!D36</f>
        <v>6501122</v>
      </c>
      <c r="E12" s="14">
        <f>'Balance Sheet Input'!E36</f>
        <v>7008500</v>
      </c>
      <c r="F12" s="14">
        <f>'Balance Sheet Input'!F36</f>
        <v>8089724</v>
      </c>
      <c r="G12" s="14">
        <f>'Balance Sheet Input'!G36</f>
        <v>9496070</v>
      </c>
      <c r="H12" s="99">
        <f>H13*$G$20</f>
        <v>9828486.9420972969</v>
      </c>
      <c r="I12" s="99">
        <f t="shared" ref="I12:Q12" si="1">I13*$G$20</f>
        <v>9828486.9420972969</v>
      </c>
      <c r="J12" s="99">
        <f t="shared" si="1"/>
        <v>9828486.9420972969</v>
      </c>
      <c r="K12" s="99">
        <f t="shared" si="1"/>
        <v>9828486.9420972969</v>
      </c>
      <c r="L12" s="99">
        <f t="shared" si="1"/>
        <v>9828486.9420972969</v>
      </c>
      <c r="M12" s="99">
        <f t="shared" si="1"/>
        <v>9828486.9420972969</v>
      </c>
      <c r="N12" s="99">
        <f t="shared" si="1"/>
        <v>9828486.9420972969</v>
      </c>
      <c r="O12" s="99">
        <f t="shared" si="1"/>
        <v>9828486.9420972969</v>
      </c>
      <c r="P12" s="99">
        <f t="shared" si="1"/>
        <v>9828486.9420972969</v>
      </c>
      <c r="Q12" s="99">
        <f t="shared" si="1"/>
        <v>9828486.9420972969</v>
      </c>
      <c r="R12" s="10"/>
    </row>
    <row r="13" spans="2:18" x14ac:dyDescent="0.2">
      <c r="B13" s="10" t="s">
        <v>310</v>
      </c>
      <c r="C13" s="14">
        <f>C11+C12</f>
        <v>9002431</v>
      </c>
      <c r="D13" s="14">
        <f t="shared" ref="D13:G13" si="2">D11+D12</f>
        <v>8827250</v>
      </c>
      <c r="E13" s="14">
        <f t="shared" si="2"/>
        <v>8659011</v>
      </c>
      <c r="F13" s="14">
        <f t="shared" si="2"/>
        <v>9450480</v>
      </c>
      <c r="G13" s="14">
        <f t="shared" si="2"/>
        <v>10901186</v>
      </c>
      <c r="H13" s="99">
        <f>G13+H25</f>
        <v>11282790.06519264</v>
      </c>
      <c r="I13" s="99">
        <f t="shared" ref="I13:Q13" si="3">H13+I25</f>
        <v>11282790.06519264</v>
      </c>
      <c r="J13" s="99">
        <f t="shared" si="3"/>
        <v>11282790.06519264</v>
      </c>
      <c r="K13" s="99">
        <f t="shared" si="3"/>
        <v>11282790.06519264</v>
      </c>
      <c r="L13" s="99">
        <f t="shared" si="3"/>
        <v>11282790.06519264</v>
      </c>
      <c r="M13" s="99">
        <f t="shared" si="3"/>
        <v>11282790.06519264</v>
      </c>
      <c r="N13" s="99">
        <f t="shared" si="3"/>
        <v>11282790.06519264</v>
      </c>
      <c r="O13" s="99">
        <f t="shared" si="3"/>
        <v>11282790.06519264</v>
      </c>
      <c r="P13" s="99">
        <f t="shared" si="3"/>
        <v>11282790.06519264</v>
      </c>
      <c r="Q13" s="99">
        <f t="shared" si="3"/>
        <v>11282790.06519264</v>
      </c>
      <c r="R13" s="10"/>
    </row>
    <row r="14" spans="2:18" x14ac:dyDescent="0.2">
      <c r="B14" s="10" t="s">
        <v>308</v>
      </c>
      <c r="C14" s="14">
        <f>'P&amp;L Input'!D13</f>
        <v>752456</v>
      </c>
      <c r="D14" s="14">
        <f>'P&amp;L Input'!E13</f>
        <v>903084</v>
      </c>
      <c r="E14" s="14">
        <f>'P&amp;L Input'!F13</f>
        <v>884051</v>
      </c>
      <c r="F14" s="14">
        <f>'P&amp;L Input'!G13</f>
        <v>831114</v>
      </c>
      <c r="G14" s="14">
        <f>'P&amp;L Input'!H13</f>
        <v>796569</v>
      </c>
      <c r="H14" s="99">
        <f>-H13*H15</f>
        <v>-1013199.0054565871</v>
      </c>
      <c r="I14" s="99">
        <f t="shared" ref="I14:Q14" si="4">-I13*I15</f>
        <v>-1013199.0054565871</v>
      </c>
      <c r="J14" s="99">
        <f t="shared" si="4"/>
        <v>-1013199.0054565871</v>
      </c>
      <c r="K14" s="99">
        <f t="shared" si="4"/>
        <v>-1013199.0054565871</v>
      </c>
      <c r="L14" s="99">
        <f t="shared" si="4"/>
        <v>-1013199.0054565871</v>
      </c>
      <c r="M14" s="99">
        <f t="shared" si="4"/>
        <v>-1013199.0054565871</v>
      </c>
      <c r="N14" s="99">
        <f t="shared" si="4"/>
        <v>-1013199.0054565871</v>
      </c>
      <c r="O14" s="99">
        <f t="shared" si="4"/>
        <v>-1013199.0054565871</v>
      </c>
      <c r="P14" s="99">
        <f t="shared" si="4"/>
        <v>-1013199.0054565871</v>
      </c>
      <c r="Q14" s="99">
        <f t="shared" si="4"/>
        <v>-1013199.0054565871</v>
      </c>
      <c r="R14" s="10"/>
    </row>
    <row r="15" spans="2:18" x14ac:dyDescent="0.2">
      <c r="B15" s="10" t="s">
        <v>306</v>
      </c>
      <c r="C15" s="67">
        <f>C14/C13</f>
        <v>8.3583645350905775E-2</v>
      </c>
      <c r="D15" s="67">
        <f t="shared" ref="D15:G15" si="5">D14/D13</f>
        <v>0.10230638080942536</v>
      </c>
      <c r="E15" s="67">
        <f t="shared" si="5"/>
        <v>0.10209607078683697</v>
      </c>
      <c r="F15" s="67">
        <f t="shared" si="5"/>
        <v>8.7944104426441835E-2</v>
      </c>
      <c r="G15" s="67">
        <f t="shared" si="5"/>
        <v>7.3071774025321654E-2</v>
      </c>
      <c r="H15" s="266">
        <f>AVERAGE($C$15:$G$15)</f>
        <v>8.9800395079786322E-2</v>
      </c>
      <c r="I15" s="266">
        <f t="shared" ref="I15:Q15" si="6">AVERAGE($C$15:$G$15)</f>
        <v>8.9800395079786322E-2</v>
      </c>
      <c r="J15" s="266">
        <f t="shared" si="6"/>
        <v>8.9800395079786322E-2</v>
      </c>
      <c r="K15" s="266">
        <f t="shared" si="6"/>
        <v>8.9800395079786322E-2</v>
      </c>
      <c r="L15" s="266">
        <f t="shared" si="6"/>
        <v>8.9800395079786322E-2</v>
      </c>
      <c r="M15" s="266">
        <f t="shared" si="6"/>
        <v>8.9800395079786322E-2</v>
      </c>
      <c r="N15" s="266">
        <f t="shared" si="6"/>
        <v>8.9800395079786322E-2</v>
      </c>
      <c r="O15" s="266">
        <f t="shared" si="6"/>
        <v>8.9800395079786322E-2</v>
      </c>
      <c r="P15" s="266">
        <f t="shared" si="6"/>
        <v>8.9800395079786322E-2</v>
      </c>
      <c r="Q15" s="266">
        <f t="shared" si="6"/>
        <v>8.9800395079786322E-2</v>
      </c>
      <c r="R15" s="10"/>
    </row>
    <row r="16" spans="2:18" x14ac:dyDescent="0.2">
      <c r="B16" s="10"/>
      <c r="C16" s="10"/>
      <c r="D16" s="10"/>
      <c r="E16" s="10"/>
      <c r="F16" s="10"/>
      <c r="G16" s="10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10"/>
    </row>
    <row r="17" spans="2:18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2:18" x14ac:dyDescent="0.2">
      <c r="B18" s="262" t="s">
        <v>311</v>
      </c>
      <c r="C18" s="263"/>
      <c r="D18" s="263"/>
      <c r="E18" s="263"/>
      <c r="F18" s="263"/>
      <c r="G18" s="267" t="s">
        <v>315</v>
      </c>
      <c r="H18" s="136" t="s">
        <v>312</v>
      </c>
      <c r="I18" s="10" t="s">
        <v>317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2:18" x14ac:dyDescent="0.2">
      <c r="B19" s="38" t="s">
        <v>309</v>
      </c>
      <c r="C19" s="264">
        <f>C11/C13</f>
        <v>0.28609494479879932</v>
      </c>
      <c r="D19" s="264">
        <f t="shared" ref="D19:G19" si="7">D11/D13</f>
        <v>0.26351672378147217</v>
      </c>
      <c r="E19" s="264">
        <f t="shared" si="7"/>
        <v>0.19061195325886524</v>
      </c>
      <c r="F19" s="264">
        <f t="shared" si="7"/>
        <v>0.14398803023761755</v>
      </c>
      <c r="G19" s="271">
        <f t="shared" si="7"/>
        <v>0.12889569997246172</v>
      </c>
      <c r="H19" s="265">
        <f>AVERAGE(C19:G19)</f>
        <v>0.20262147040984319</v>
      </c>
      <c r="I19" s="265">
        <v>0.1288957</v>
      </c>
      <c r="J19" s="10"/>
      <c r="K19" s="10"/>
      <c r="L19" s="10"/>
      <c r="M19" s="10"/>
      <c r="N19" s="10"/>
      <c r="O19" s="10"/>
      <c r="P19" s="10"/>
      <c r="Q19" s="10"/>
      <c r="R19" s="10"/>
    </row>
    <row r="20" spans="2:18" x14ac:dyDescent="0.2">
      <c r="B20" s="38" t="s">
        <v>305</v>
      </c>
      <c r="C20" s="264">
        <f>C12/C13</f>
        <v>0.71390505520120062</v>
      </c>
      <c r="D20" s="264">
        <f t="shared" ref="D20:G20" si="8">D12/D13</f>
        <v>0.73648327621852783</v>
      </c>
      <c r="E20" s="264">
        <f t="shared" si="8"/>
        <v>0.80938804674113474</v>
      </c>
      <c r="F20" s="264">
        <f t="shared" si="8"/>
        <v>0.85601196976238247</v>
      </c>
      <c r="G20" s="264">
        <f t="shared" si="8"/>
        <v>0.87110430002753825</v>
      </c>
      <c r="H20" s="265">
        <f>AVERAGE(C20:G20)</f>
        <v>0.79737852959015676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2:18" x14ac:dyDescent="0.2">
      <c r="B21" s="10"/>
      <c r="C21" s="10"/>
      <c r="D21" s="10"/>
      <c r="E21" s="10"/>
      <c r="F21" s="10"/>
      <c r="G21" s="10"/>
      <c r="H21" s="10"/>
      <c r="I21" s="69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0"/>
      <c r="C22" s="177"/>
      <c r="D22" s="177"/>
      <c r="E22" s="177"/>
      <c r="F22" s="177"/>
      <c r="G22" s="177"/>
      <c r="H22" s="177"/>
      <c r="I22" s="177"/>
      <c r="J22" s="177" t="s">
        <v>314</v>
      </c>
      <c r="K22" s="177"/>
      <c r="L22" s="177"/>
      <c r="M22" s="177"/>
      <c r="N22" s="177"/>
      <c r="O22" s="177"/>
      <c r="P22" s="177"/>
      <c r="Q22" s="177"/>
      <c r="R22" s="10"/>
    </row>
    <row r="23" spans="2:18" ht="24" x14ac:dyDescent="0.2">
      <c r="B23" s="278" t="s">
        <v>331</v>
      </c>
      <c r="C23" s="113" t="s">
        <v>215</v>
      </c>
      <c r="D23" s="113" t="s">
        <v>216</v>
      </c>
      <c r="E23" s="113" t="s">
        <v>217</v>
      </c>
      <c r="F23" s="113" t="s">
        <v>218</v>
      </c>
      <c r="G23" s="113" t="s">
        <v>219</v>
      </c>
      <c r="H23" s="194" t="s">
        <v>253</v>
      </c>
      <c r="I23" s="194" t="s">
        <v>254</v>
      </c>
      <c r="J23" s="194" t="s">
        <v>255</v>
      </c>
      <c r="K23" s="194" t="s">
        <v>256</v>
      </c>
      <c r="L23" s="194" t="s">
        <v>257</v>
      </c>
      <c r="M23" s="194" t="s">
        <v>258</v>
      </c>
      <c r="N23" s="194" t="s">
        <v>259</v>
      </c>
      <c r="O23" s="194" t="s">
        <v>260</v>
      </c>
      <c r="P23" s="194" t="s">
        <v>261</v>
      </c>
      <c r="Q23" s="194" t="s">
        <v>262</v>
      </c>
      <c r="R23" s="10"/>
    </row>
    <row r="24" spans="2:18" x14ac:dyDescent="0.2">
      <c r="B24" s="159" t="s">
        <v>286</v>
      </c>
      <c r="C24" s="10"/>
      <c r="D24" s="10"/>
      <c r="E24" s="10"/>
      <c r="F24" s="10"/>
      <c r="G24" s="10"/>
      <c r="H24" s="99">
        <f>'Cash Flow'!H20</f>
        <v>-763208.13038527779</v>
      </c>
      <c r="I24" s="99">
        <f>'Cash Flow'!I20</f>
        <v>264068.47323779203</v>
      </c>
      <c r="J24" s="99">
        <f>'Cash Flow'!J20</f>
        <v>569526.86942432122</v>
      </c>
      <c r="K24" s="99">
        <f>'Cash Flow'!K20</f>
        <v>1034492.4580250904</v>
      </c>
      <c r="L24" s="99">
        <f>'Cash Flow'!L20</f>
        <v>1667220.9984367546</v>
      </c>
      <c r="M24" s="99">
        <f>'Cash Flow'!M20</f>
        <v>2474037.0183772119</v>
      </c>
      <c r="N24" s="99">
        <f>'Cash Flow'!N20</f>
        <v>3460642.5251747705</v>
      </c>
      <c r="O24" s="99">
        <f>'Cash Flow'!O20</f>
        <v>4625374.607401642</v>
      </c>
      <c r="P24" s="99">
        <f>'Cash Flow'!P20</f>
        <v>5952567.0817143684</v>
      </c>
      <c r="Q24" s="99">
        <f>'Cash Flow'!Q20</f>
        <v>7420856.1329311877</v>
      </c>
      <c r="R24" s="10"/>
    </row>
    <row r="25" spans="2:18" x14ac:dyDescent="0.2">
      <c r="B25" s="10" t="s">
        <v>301</v>
      </c>
      <c r="C25" s="10"/>
      <c r="D25" s="10"/>
      <c r="E25" s="10"/>
      <c r="F25" s="10"/>
      <c r="G25" s="10"/>
      <c r="H25" s="99">
        <f>IF(H$24&lt;0,-H$24*$C4,0)</f>
        <v>381604.0651926389</v>
      </c>
      <c r="I25" s="99">
        <f t="shared" ref="I25:Q25" si="9">IF(I$24&lt;0,-I$24*$C4,0)</f>
        <v>0</v>
      </c>
      <c r="J25" s="99">
        <f t="shared" si="9"/>
        <v>0</v>
      </c>
      <c r="K25" s="99">
        <f t="shared" si="9"/>
        <v>0</v>
      </c>
      <c r="L25" s="99">
        <f t="shared" si="9"/>
        <v>0</v>
      </c>
      <c r="M25" s="99">
        <f t="shared" si="9"/>
        <v>0</v>
      </c>
      <c r="N25" s="99">
        <f t="shared" si="9"/>
        <v>0</v>
      </c>
      <c r="O25" s="99">
        <f t="shared" si="9"/>
        <v>0</v>
      </c>
      <c r="P25" s="99">
        <f t="shared" si="9"/>
        <v>0</v>
      </c>
      <c r="Q25" s="99">
        <f t="shared" si="9"/>
        <v>0</v>
      </c>
      <c r="R25" s="10"/>
    </row>
    <row r="26" spans="2:18" x14ac:dyDescent="0.2">
      <c r="B26" s="10" t="s">
        <v>307</v>
      </c>
      <c r="C26" s="10"/>
      <c r="D26" s="10"/>
      <c r="E26" s="10"/>
      <c r="F26" s="10"/>
      <c r="G26" s="10"/>
      <c r="H26" s="99">
        <f>IF(H$24&lt;0,-H$24*$C5,0)</f>
        <v>381604.0651926389</v>
      </c>
      <c r="I26" s="99">
        <f t="shared" ref="I26:Q26" si="10">IF(I$24&lt;0,-I$24*$C5,0)</f>
        <v>0</v>
      </c>
      <c r="J26" s="99">
        <f t="shared" si="10"/>
        <v>0</v>
      </c>
      <c r="K26" s="99">
        <f t="shared" si="10"/>
        <v>0</v>
      </c>
      <c r="L26" s="99">
        <f t="shared" si="10"/>
        <v>0</v>
      </c>
      <c r="M26" s="99">
        <f t="shared" si="10"/>
        <v>0</v>
      </c>
      <c r="N26" s="99">
        <f t="shared" si="10"/>
        <v>0</v>
      </c>
      <c r="O26" s="99">
        <f t="shared" si="10"/>
        <v>0</v>
      </c>
      <c r="P26" s="99">
        <f t="shared" si="10"/>
        <v>0</v>
      </c>
      <c r="Q26" s="99">
        <f t="shared" si="10"/>
        <v>0</v>
      </c>
      <c r="R26" s="10"/>
    </row>
    <row r="27" spans="2:18" ht="6" customHeight="1" x14ac:dyDescent="0.2">
      <c r="B27" s="10"/>
      <c r="C27" s="10"/>
      <c r="D27" s="10"/>
      <c r="E27" s="10"/>
      <c r="F27" s="10"/>
      <c r="G27" s="10"/>
      <c r="H27" s="270"/>
      <c r="I27" s="270"/>
      <c r="J27" s="270"/>
      <c r="K27" s="270"/>
      <c r="L27" s="270"/>
      <c r="M27" s="270"/>
      <c r="N27" s="270"/>
      <c r="O27" s="270"/>
      <c r="P27" s="270"/>
      <c r="Q27" s="270"/>
      <c r="R27" s="10"/>
    </row>
    <row r="28" spans="2:18" x14ac:dyDescent="0.2">
      <c r="B28" s="10" t="s">
        <v>319</v>
      </c>
      <c r="C28" s="10"/>
      <c r="D28" s="10"/>
      <c r="E28" s="10"/>
      <c r="F28" s="10"/>
      <c r="G28" s="10"/>
      <c r="H28" s="99">
        <f>$I$19*H$25</f>
        <v>49187.123105850827</v>
      </c>
      <c r="I28" s="99">
        <f t="shared" ref="I28:Q28" si="11">$I$19*I$25</f>
        <v>0</v>
      </c>
      <c r="J28" s="99">
        <f t="shared" si="11"/>
        <v>0</v>
      </c>
      <c r="K28" s="99">
        <f t="shared" si="11"/>
        <v>0</v>
      </c>
      <c r="L28" s="99">
        <f t="shared" si="11"/>
        <v>0</v>
      </c>
      <c r="M28" s="99">
        <f t="shared" si="11"/>
        <v>0</v>
      </c>
      <c r="N28" s="99">
        <f t="shared" si="11"/>
        <v>0</v>
      </c>
      <c r="O28" s="99">
        <f t="shared" si="11"/>
        <v>0</v>
      </c>
      <c r="P28" s="99">
        <f t="shared" si="11"/>
        <v>0</v>
      </c>
      <c r="Q28" s="99">
        <f t="shared" si="11"/>
        <v>0</v>
      </c>
      <c r="R28" s="10"/>
    </row>
    <row r="29" spans="2:18" x14ac:dyDescent="0.2">
      <c r="B29" s="10" t="s">
        <v>320</v>
      </c>
      <c r="C29" s="10"/>
      <c r="D29" s="10"/>
      <c r="E29" s="10"/>
      <c r="F29" s="10"/>
      <c r="G29" s="10"/>
      <c r="H29" s="99">
        <f t="shared" ref="H29:Q29" si="12">$G20*H$25</f>
        <v>332416.94209729676</v>
      </c>
      <c r="I29" s="99">
        <f t="shared" si="12"/>
        <v>0</v>
      </c>
      <c r="J29" s="99">
        <f t="shared" si="12"/>
        <v>0</v>
      </c>
      <c r="K29" s="99">
        <f t="shared" si="12"/>
        <v>0</v>
      </c>
      <c r="L29" s="99">
        <f t="shared" si="12"/>
        <v>0</v>
      </c>
      <c r="M29" s="99">
        <f t="shared" si="12"/>
        <v>0</v>
      </c>
      <c r="N29" s="99">
        <f t="shared" si="12"/>
        <v>0</v>
      </c>
      <c r="O29" s="99">
        <f t="shared" si="12"/>
        <v>0</v>
      </c>
      <c r="P29" s="99">
        <f t="shared" si="12"/>
        <v>0</v>
      </c>
      <c r="Q29" s="99">
        <f t="shared" si="12"/>
        <v>0</v>
      </c>
      <c r="R29" s="10"/>
    </row>
    <row r="30" spans="2:18" x14ac:dyDescent="0.2">
      <c r="B30" s="10"/>
      <c r="C30" s="10"/>
      <c r="D30" s="10"/>
      <c r="E30" s="10"/>
      <c r="F30" s="10"/>
      <c r="G30" s="10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10"/>
    </row>
    <row r="31" spans="2:18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</row>
    <row r="32" spans="2:18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</row>
    <row r="33" spans="2:18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</row>
    <row r="34" spans="2:18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2:18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2:18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</row>
    <row r="37" spans="2:18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  <row r="38" spans="2:18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6"/>
  <sheetViews>
    <sheetView showGridLines="0" topLeftCell="B4" workbookViewId="0">
      <selection activeCell="I24" sqref="I24"/>
    </sheetView>
  </sheetViews>
  <sheetFormatPr baseColWidth="10" defaultRowHeight="16" x14ac:dyDescent="0.2"/>
  <cols>
    <col min="1" max="1" width="1.33203125" customWidth="1"/>
    <col min="2" max="2" width="30" customWidth="1"/>
  </cols>
  <sheetData>
    <row r="1" spans="2:19" x14ac:dyDescent="0.2">
      <c r="B1" s="70" t="s">
        <v>324</v>
      </c>
    </row>
    <row r="2" spans="2:19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2:19" x14ac:dyDescent="0.2"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spans="2:19" x14ac:dyDescent="0.2">
      <c r="B4" s="10" t="s">
        <v>325</v>
      </c>
      <c r="C4" s="258">
        <f>Drivers!C7</f>
        <v>2.3E-2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spans="2:19" x14ac:dyDescent="0.2">
      <c r="B5" s="10" t="s">
        <v>326</v>
      </c>
      <c r="C5" s="258">
        <f>Drivers!C8</f>
        <v>8.3500000000000005E-2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spans="2:19" x14ac:dyDescent="0.2">
      <c r="B6" s="10" t="s">
        <v>327</v>
      </c>
      <c r="C6" s="10">
        <f>Drivers!C9</f>
        <v>1.17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spans="2:19" x14ac:dyDescent="0.2">
      <c r="B7" s="10" t="s">
        <v>328</v>
      </c>
      <c r="C7" s="265">
        <f>Drivers!C12</f>
        <v>0.25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spans="2:19" x14ac:dyDescent="0.2"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spans="2:19" x14ac:dyDescent="0.2">
      <c r="B9" s="159" t="s">
        <v>329</v>
      </c>
      <c r="C9" s="281">
        <f>C4+C5*C6</f>
        <v>0.120695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spans="2:19" x14ac:dyDescent="0.2">
      <c r="B10" s="159" t="s">
        <v>330</v>
      </c>
      <c r="C10" s="281">
        <f>Drivers!$C$11</f>
        <v>1.5299999999999999E-2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2:19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2:19" x14ac:dyDescent="0.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spans="2:19" x14ac:dyDescent="0.2">
      <c r="B13" s="10"/>
      <c r="C13" s="177"/>
      <c r="D13" s="177"/>
      <c r="E13" s="177"/>
      <c r="F13" s="177"/>
      <c r="G13" s="177"/>
      <c r="H13" s="177"/>
      <c r="I13" s="177"/>
      <c r="J13" s="177" t="s">
        <v>332</v>
      </c>
      <c r="K13" s="177"/>
      <c r="L13" s="177"/>
      <c r="M13" s="177"/>
      <c r="N13" s="177"/>
      <c r="O13" s="177"/>
      <c r="P13" s="177"/>
      <c r="Q13" s="177"/>
      <c r="R13" s="10"/>
      <c r="S13" s="10"/>
    </row>
    <row r="14" spans="2:19" ht="24" x14ac:dyDescent="0.2">
      <c r="B14" s="278" t="s">
        <v>194</v>
      </c>
      <c r="C14" s="113" t="s">
        <v>215</v>
      </c>
      <c r="D14" s="113" t="s">
        <v>216</v>
      </c>
      <c r="E14" s="113" t="s">
        <v>217</v>
      </c>
      <c r="F14" s="113" t="s">
        <v>218</v>
      </c>
      <c r="G14" s="113" t="s">
        <v>219</v>
      </c>
      <c r="H14" s="194" t="s">
        <v>253</v>
      </c>
      <c r="I14" s="194" t="s">
        <v>254</v>
      </c>
      <c r="J14" s="194" t="s">
        <v>255</v>
      </c>
      <c r="K14" s="194" t="s">
        <v>256</v>
      </c>
      <c r="L14" s="194" t="s">
        <v>257</v>
      </c>
      <c r="M14" s="194" t="s">
        <v>258</v>
      </c>
      <c r="N14" s="194" t="s">
        <v>259</v>
      </c>
      <c r="O14" s="194" t="s">
        <v>260</v>
      </c>
      <c r="P14" s="194" t="s">
        <v>261</v>
      </c>
      <c r="Q14" s="194" t="s">
        <v>262</v>
      </c>
      <c r="R14" s="10"/>
      <c r="S14" s="10"/>
    </row>
    <row r="15" spans="2:19" x14ac:dyDescent="0.2">
      <c r="B15" s="10" t="s">
        <v>301</v>
      </c>
      <c r="C15" s="14">
        <f>BSO!C27+BSO!C34</f>
        <v>9002431</v>
      </c>
      <c r="D15" s="14">
        <f>BSO!D27+BSO!D34</f>
        <v>8827250</v>
      </c>
      <c r="E15" s="14">
        <f>BSO!E27+BSO!E34</f>
        <v>8659011</v>
      </c>
      <c r="F15" s="14">
        <f>BSO!F27+BSO!F34</f>
        <v>9450480</v>
      </c>
      <c r="G15" s="14">
        <f>BSO!G27+BSO!G34</f>
        <v>10901186</v>
      </c>
      <c r="H15" s="50">
        <f>BSO!H27+BSO!H34</f>
        <v>11282790.065203147</v>
      </c>
      <c r="I15" s="50">
        <f>BSO!I27+BSO!I34</f>
        <v>11282790.065203147</v>
      </c>
      <c r="J15" s="50">
        <f>BSO!J27+BSO!J34</f>
        <v>11282790.065203147</v>
      </c>
      <c r="K15" s="50">
        <f>BSO!K27+BSO!K34</f>
        <v>11282790.065203147</v>
      </c>
      <c r="L15" s="50">
        <f>BSO!L27+BSO!L34</f>
        <v>11282790.065203147</v>
      </c>
      <c r="M15" s="50">
        <f>BSO!M27+BSO!M34</f>
        <v>11282790.065203147</v>
      </c>
      <c r="N15" s="50">
        <f>BSO!N27+BSO!N34</f>
        <v>11282790.065203147</v>
      </c>
      <c r="O15" s="50">
        <f>BSO!O27+BSO!O34</f>
        <v>11282790.065203147</v>
      </c>
      <c r="P15" s="50">
        <f>BSO!P27+BSO!P34</f>
        <v>11282790.065203147</v>
      </c>
      <c r="Q15" s="50">
        <f>BSO!Q27+BSO!Q34</f>
        <v>11282790.065203147</v>
      </c>
      <c r="R15" s="10"/>
      <c r="S15" s="10"/>
    </row>
    <row r="16" spans="2:19" x14ac:dyDescent="0.2">
      <c r="B16" s="10" t="s">
        <v>307</v>
      </c>
      <c r="C16" s="14">
        <f>BSO!C43</f>
        <v>12991097</v>
      </c>
      <c r="D16" s="14">
        <f>BSO!D43</f>
        <v>12983487</v>
      </c>
      <c r="E16" s="14">
        <f>BSO!E43</f>
        <v>13356742</v>
      </c>
      <c r="F16" s="14">
        <f>BSO!F43</f>
        <v>14673684</v>
      </c>
      <c r="G16" s="14">
        <f>BSO!G43</f>
        <v>16306907</v>
      </c>
      <c r="H16" s="50">
        <f>BSO!H43</f>
        <v>17404077.92927232</v>
      </c>
      <c r="I16" s="50">
        <f>BSO!I43</f>
        <v>18123911.085195813</v>
      </c>
      <c r="J16" s="50">
        <f>BSO!J43</f>
        <v>18841702.775406331</v>
      </c>
      <c r="K16" s="50">
        <f>BSO!K43</f>
        <v>19563577.816062178</v>
      </c>
      <c r="L16" s="50">
        <f>BSO!L43</f>
        <v>20288459.311958693</v>
      </c>
      <c r="M16" s="50">
        <f>BSO!M43</f>
        <v>21014855.5123417</v>
      </c>
      <c r="N16" s="50">
        <f>BSO!N43</f>
        <v>21743025.010956064</v>
      </c>
      <c r="O16" s="50">
        <f>BSO!O43</f>
        <v>22474346.623109423</v>
      </c>
      <c r="P16" s="50">
        <f>BSO!P43</f>
        <v>23207512.46915137</v>
      </c>
      <c r="Q16" s="50">
        <f>BSO!Q43</f>
        <v>23942768.990777493</v>
      </c>
      <c r="R16" s="10"/>
      <c r="S16" s="10"/>
    </row>
    <row r="17" spans="2:19" x14ac:dyDescent="0.2">
      <c r="B17" s="10"/>
      <c r="C17" s="10"/>
      <c r="D17" s="10"/>
      <c r="E17" s="10"/>
      <c r="F17" s="10"/>
      <c r="G17" s="10"/>
      <c r="H17" s="270"/>
      <c r="I17" s="270"/>
      <c r="J17" s="270"/>
      <c r="K17" s="270"/>
      <c r="L17" s="270"/>
      <c r="M17" s="270"/>
      <c r="N17" s="270"/>
      <c r="O17" s="270"/>
      <c r="P17" s="270"/>
      <c r="Q17" s="270"/>
      <c r="R17" s="10"/>
      <c r="S17" s="10"/>
    </row>
    <row r="18" spans="2:19" x14ac:dyDescent="0.2">
      <c r="B18" s="10" t="s">
        <v>333</v>
      </c>
      <c r="C18" s="148">
        <f>C15/(C15+C16)</f>
        <v>0.40932182412935297</v>
      </c>
      <c r="D18" s="148">
        <f t="shared" ref="D18:Q18" si="0">D15/(D15+D16)</f>
        <v>0.4047203906956468</v>
      </c>
      <c r="E18" s="148">
        <f t="shared" si="0"/>
        <v>0.39330978140970241</v>
      </c>
      <c r="F18" s="148">
        <f t="shared" si="0"/>
        <v>0.3917433159549073</v>
      </c>
      <c r="G18" s="148">
        <f t="shared" si="0"/>
        <v>0.40065968607208158</v>
      </c>
      <c r="H18" s="280">
        <f t="shared" si="0"/>
        <v>0.39330853641380414</v>
      </c>
      <c r="I18" s="280">
        <f t="shared" si="0"/>
        <v>0.383680917063697</v>
      </c>
      <c r="J18" s="280">
        <f t="shared" si="0"/>
        <v>0.37453875571950956</v>
      </c>
      <c r="K18" s="280">
        <f t="shared" si="0"/>
        <v>0.3657736984993879</v>
      </c>
      <c r="L18" s="280">
        <f t="shared" si="0"/>
        <v>0.35737546938401954</v>
      </c>
      <c r="M18" s="280">
        <f t="shared" si="0"/>
        <v>0.3493378499715652</v>
      </c>
      <c r="N18" s="280">
        <f t="shared" si="0"/>
        <v>0.34163547634432212</v>
      </c>
      <c r="O18" s="280">
        <f t="shared" si="0"/>
        <v>0.33423421451231933</v>
      </c>
      <c r="P18" s="280">
        <f t="shared" si="0"/>
        <v>0.32712934466042382</v>
      </c>
      <c r="Q18" s="280">
        <f t="shared" si="0"/>
        <v>0.32030123488664808</v>
      </c>
      <c r="R18" s="10"/>
      <c r="S18" s="10"/>
    </row>
    <row r="19" spans="2:19" x14ac:dyDescent="0.2">
      <c r="B19" s="10" t="s">
        <v>334</v>
      </c>
      <c r="C19" s="148">
        <f>C16/(C15+C16)</f>
        <v>0.59067817587064708</v>
      </c>
      <c r="D19" s="148">
        <f t="shared" ref="D19:Q19" si="1">D16/(D15+D16)</f>
        <v>0.5952796093043532</v>
      </c>
      <c r="E19" s="148">
        <f t="shared" si="1"/>
        <v>0.60669021859029759</v>
      </c>
      <c r="F19" s="148">
        <f t="shared" si="1"/>
        <v>0.6082566840450927</v>
      </c>
      <c r="G19" s="148">
        <f t="shared" si="1"/>
        <v>0.59934031392791842</v>
      </c>
      <c r="H19" s="280">
        <f t="shared" si="1"/>
        <v>0.60669146358619586</v>
      </c>
      <c r="I19" s="280">
        <f t="shared" si="1"/>
        <v>0.616319082936303</v>
      </c>
      <c r="J19" s="280">
        <f t="shared" si="1"/>
        <v>0.62546124428049055</v>
      </c>
      <c r="K19" s="280">
        <f t="shared" si="1"/>
        <v>0.63422630150061199</v>
      </c>
      <c r="L19" s="280">
        <f t="shared" si="1"/>
        <v>0.64262453061598046</v>
      </c>
      <c r="M19" s="280">
        <f t="shared" si="1"/>
        <v>0.65066215002843486</v>
      </c>
      <c r="N19" s="280">
        <f t="shared" si="1"/>
        <v>0.65836452365567788</v>
      </c>
      <c r="O19" s="280">
        <f t="shared" si="1"/>
        <v>0.66576578548768073</v>
      </c>
      <c r="P19" s="280">
        <f t="shared" si="1"/>
        <v>0.67287065533957624</v>
      </c>
      <c r="Q19" s="280">
        <f t="shared" si="1"/>
        <v>0.67969876511335203</v>
      </c>
      <c r="R19" s="10"/>
      <c r="S19" s="10"/>
    </row>
    <row r="20" spans="2:19" x14ac:dyDescent="0.2">
      <c r="B20" s="10"/>
      <c r="C20" s="10"/>
      <c r="D20" s="10"/>
      <c r="E20" s="10"/>
      <c r="F20" s="10"/>
      <c r="G20" s="1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10"/>
      <c r="S20" s="10"/>
    </row>
    <row r="21" spans="2:19" x14ac:dyDescent="0.2">
      <c r="B21" s="10" t="s">
        <v>329</v>
      </c>
      <c r="C21" s="67">
        <f>$C$9</f>
        <v>0.120695</v>
      </c>
      <c r="D21" s="67">
        <f t="shared" ref="D21:Q21" si="2">$C$9</f>
        <v>0.120695</v>
      </c>
      <c r="E21" s="67">
        <f t="shared" si="2"/>
        <v>0.120695</v>
      </c>
      <c r="F21" s="67">
        <f t="shared" si="2"/>
        <v>0.120695</v>
      </c>
      <c r="G21" s="67">
        <f t="shared" si="2"/>
        <v>0.120695</v>
      </c>
      <c r="H21" s="282">
        <f t="shared" si="2"/>
        <v>0.120695</v>
      </c>
      <c r="I21" s="282">
        <f t="shared" si="2"/>
        <v>0.120695</v>
      </c>
      <c r="J21" s="282">
        <f t="shared" si="2"/>
        <v>0.120695</v>
      </c>
      <c r="K21" s="282">
        <f t="shared" si="2"/>
        <v>0.120695</v>
      </c>
      <c r="L21" s="282">
        <f t="shared" si="2"/>
        <v>0.120695</v>
      </c>
      <c r="M21" s="282">
        <f t="shared" si="2"/>
        <v>0.120695</v>
      </c>
      <c r="N21" s="282">
        <f t="shared" si="2"/>
        <v>0.120695</v>
      </c>
      <c r="O21" s="282">
        <f t="shared" si="2"/>
        <v>0.120695</v>
      </c>
      <c r="P21" s="282">
        <f t="shared" si="2"/>
        <v>0.120695</v>
      </c>
      <c r="Q21" s="282">
        <f t="shared" si="2"/>
        <v>0.120695</v>
      </c>
      <c r="R21" s="10"/>
      <c r="S21" s="10"/>
    </row>
    <row r="22" spans="2:19" x14ac:dyDescent="0.2">
      <c r="B22" s="10" t="s">
        <v>335</v>
      </c>
      <c r="C22" s="67">
        <f>$C$10</f>
        <v>1.5299999999999999E-2</v>
      </c>
      <c r="D22" s="67">
        <f t="shared" ref="D22:Q22" si="3">$C$10</f>
        <v>1.5299999999999999E-2</v>
      </c>
      <c r="E22" s="67">
        <f t="shared" si="3"/>
        <v>1.5299999999999999E-2</v>
      </c>
      <c r="F22" s="67">
        <f t="shared" si="3"/>
        <v>1.5299999999999999E-2</v>
      </c>
      <c r="G22" s="67">
        <f t="shared" si="3"/>
        <v>1.5299999999999999E-2</v>
      </c>
      <c r="H22" s="282">
        <f t="shared" si="3"/>
        <v>1.5299999999999999E-2</v>
      </c>
      <c r="I22" s="282">
        <f t="shared" si="3"/>
        <v>1.5299999999999999E-2</v>
      </c>
      <c r="J22" s="282">
        <f t="shared" si="3"/>
        <v>1.5299999999999999E-2</v>
      </c>
      <c r="K22" s="282">
        <f t="shared" si="3"/>
        <v>1.5299999999999999E-2</v>
      </c>
      <c r="L22" s="282">
        <f t="shared" si="3"/>
        <v>1.5299999999999999E-2</v>
      </c>
      <c r="M22" s="282">
        <f t="shared" si="3"/>
        <v>1.5299999999999999E-2</v>
      </c>
      <c r="N22" s="282">
        <f t="shared" si="3"/>
        <v>1.5299999999999999E-2</v>
      </c>
      <c r="O22" s="282">
        <f t="shared" si="3"/>
        <v>1.5299999999999999E-2</v>
      </c>
      <c r="P22" s="282">
        <f t="shared" si="3"/>
        <v>1.5299999999999999E-2</v>
      </c>
      <c r="Q22" s="282">
        <f t="shared" si="3"/>
        <v>1.5299999999999999E-2</v>
      </c>
      <c r="R22" s="10"/>
      <c r="S22" s="10"/>
    </row>
    <row r="23" spans="2:19" x14ac:dyDescent="0.2">
      <c r="B23" s="15"/>
      <c r="C23" s="15"/>
      <c r="D23" s="15"/>
      <c r="E23" s="15"/>
      <c r="F23" s="15"/>
      <c r="G23" s="15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10"/>
      <c r="S23" s="10"/>
    </row>
    <row r="24" spans="2:19" ht="17" thickBot="1" x14ac:dyDescent="0.25">
      <c r="B24" s="34" t="s">
        <v>324</v>
      </c>
      <c r="C24" s="283">
        <f>C18*C22*(1-$C$7)+C19*C21</f>
        <v>7.5988870368592074E-2</v>
      </c>
      <c r="D24" s="283">
        <f t="shared" ref="D24:Q24" si="4">D18*D22*(1-$C$7)+D19*D21</f>
        <v>7.6491438928221453E-2</v>
      </c>
      <c r="E24" s="283">
        <f t="shared" si="4"/>
        <v>7.7737705674432306E-2</v>
      </c>
      <c r="F24" s="283">
        <f t="shared" si="4"/>
        <v>7.790879503140502E-2</v>
      </c>
      <c r="G24" s="283">
        <f t="shared" si="4"/>
        <v>7.6934949087207244E-2</v>
      </c>
      <c r="H24" s="283">
        <f t="shared" si="4"/>
        <v>7.7737841652884304E-2</v>
      </c>
      <c r="I24" s="283">
        <f t="shared" si="4"/>
        <v>7.8789370238303014E-2</v>
      </c>
      <c r="J24" s="283">
        <f t="shared" si="4"/>
        <v>7.978787710031518E-2</v>
      </c>
      <c r="K24" s="283">
        <f t="shared" si="4"/>
        <v>8.0745196649896836E-2</v>
      </c>
      <c r="L24" s="283">
        <f t="shared" si="4"/>
        <v>8.1662451233877387E-2</v>
      </c>
      <c r="M24" s="283">
        <f t="shared" si="4"/>
        <v>8.2540320026105646E-2</v>
      </c>
      <c r="N24" s="283">
        <f t="shared" si="4"/>
        <v>8.338157327367314E-2</v>
      </c>
      <c r="O24" s="283">
        <f t="shared" si="4"/>
        <v>8.4189939090964491E-2</v>
      </c>
      <c r="P24" s="283">
        <f t="shared" si="4"/>
        <v>8.4965932976188513E-2</v>
      </c>
      <c r="Q24" s="283">
        <f t="shared" si="4"/>
        <v>8.5711699125680316E-2</v>
      </c>
      <c r="R24" s="10"/>
      <c r="S24" s="10"/>
    </row>
    <row r="25" spans="2:19" x14ac:dyDescent="0.2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</row>
    <row r="26" spans="2:19" x14ac:dyDescent="0.2"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 spans="2:19" x14ac:dyDescent="0.2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spans="2:19" x14ac:dyDescent="0.2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spans="2:19" x14ac:dyDescent="0.2"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2:19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</row>
    <row r="31" spans="2:19" x14ac:dyDescent="0.2"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</row>
    <row r="32" spans="2:19" x14ac:dyDescent="0.2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</row>
    <row r="33" spans="2:19" x14ac:dyDescent="0.2"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</row>
    <row r="34" spans="2:19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spans="2:19" x14ac:dyDescent="0.2"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</row>
    <row r="36" spans="2:19" x14ac:dyDescent="0.2"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</row>
    <row r="37" spans="2:19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</row>
    <row r="38" spans="2:19" x14ac:dyDescent="0.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</row>
    <row r="39" spans="2:19" x14ac:dyDescent="0.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2:19" x14ac:dyDescent="0.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</row>
    <row r="41" spans="2:19" x14ac:dyDescent="0.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spans="2:19" x14ac:dyDescent="0.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spans="2:19" x14ac:dyDescent="0.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spans="2:19" x14ac:dyDescent="0.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spans="2:19" x14ac:dyDescent="0.2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spans="2:19" x14ac:dyDescent="0.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spans="2:19" x14ac:dyDescent="0.2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spans="2:19" x14ac:dyDescent="0.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spans="2:19" x14ac:dyDescent="0.2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spans="2:19" x14ac:dyDescent="0.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spans="2:19" x14ac:dyDescent="0.2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spans="2:19" x14ac:dyDescent="0.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2:19" x14ac:dyDescent="0.2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2:19" x14ac:dyDescent="0.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2:19" x14ac:dyDescent="0.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spans="2:19" x14ac:dyDescent="0.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spans="2:19" x14ac:dyDescent="0.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spans="2:19" x14ac:dyDescent="0.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spans="2:19" x14ac:dyDescent="0.2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spans="2:19" x14ac:dyDescent="0.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spans="2:19" x14ac:dyDescent="0.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spans="2:19" x14ac:dyDescent="0.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spans="2:19" x14ac:dyDescent="0.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spans="2:19" x14ac:dyDescent="0.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spans="2:19" x14ac:dyDescent="0.2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spans="2:19" x14ac:dyDescent="0.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spans="2:19" x14ac:dyDescent="0.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spans="2:19" x14ac:dyDescent="0.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spans="2:19" x14ac:dyDescent="0.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</row>
    <row r="70" spans="2:19" x14ac:dyDescent="0.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</row>
    <row r="71" spans="2:19" x14ac:dyDescent="0.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2:19" x14ac:dyDescent="0.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2:19" x14ac:dyDescent="0.2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2:19" x14ac:dyDescent="0.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2:19" x14ac:dyDescent="0.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2:19" x14ac:dyDescent="0.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3"/>
  <sheetViews>
    <sheetView showGridLines="0" workbookViewId="0">
      <selection activeCell="E14" sqref="E14"/>
    </sheetView>
  </sheetViews>
  <sheetFormatPr baseColWidth="10" defaultRowHeight="16" x14ac:dyDescent="0.2"/>
  <sheetData>
    <row r="13" spans="1:1" ht="53" customHeight="1" x14ac:dyDescent="0.45">
      <c r="A13" s="175" t="s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0"/>
  <sheetViews>
    <sheetView showGridLines="0" workbookViewId="0">
      <selection activeCell="B11" sqref="B11"/>
    </sheetView>
  </sheetViews>
  <sheetFormatPr baseColWidth="10" defaultRowHeight="16" x14ac:dyDescent="0.2"/>
  <cols>
    <col min="1" max="1" width="2.83203125" customWidth="1"/>
  </cols>
  <sheetData>
    <row r="10" spans="2:2" ht="50" x14ac:dyDescent="0.5">
      <c r="B10" s="9" t="s">
        <v>356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9"/>
  <sheetViews>
    <sheetView showGridLines="0" zoomScale="107" workbookViewId="0">
      <selection activeCell="G19" sqref="G19"/>
    </sheetView>
  </sheetViews>
  <sheetFormatPr baseColWidth="10" defaultRowHeight="16" x14ac:dyDescent="0.2"/>
  <cols>
    <col min="1" max="1" width="2.33203125" customWidth="1"/>
    <col min="2" max="2" width="24.5" customWidth="1"/>
  </cols>
  <sheetData>
    <row r="1" spans="2:18" x14ac:dyDescent="0.2">
      <c r="B1" s="226" t="s">
        <v>266</v>
      </c>
    </row>
    <row r="2" spans="2:18" x14ac:dyDescent="0.2">
      <c r="B2" s="202"/>
    </row>
    <row r="3" spans="2:18" x14ac:dyDescent="0.2">
      <c r="B3" s="187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2:18" ht="24" x14ac:dyDescent="0.2">
      <c r="B4" s="112" t="s">
        <v>252</v>
      </c>
      <c r="C4" s="233" t="s">
        <v>215</v>
      </c>
      <c r="D4" s="233" t="s">
        <v>216</v>
      </c>
      <c r="E4" s="233" t="s">
        <v>217</v>
      </c>
      <c r="F4" s="233" t="s">
        <v>218</v>
      </c>
      <c r="G4" s="233" t="s">
        <v>219</v>
      </c>
      <c r="H4" s="234" t="s">
        <v>253</v>
      </c>
      <c r="I4" s="234" t="s">
        <v>254</v>
      </c>
      <c r="J4" s="234" t="s">
        <v>255</v>
      </c>
      <c r="K4" s="234" t="s">
        <v>256</v>
      </c>
      <c r="L4" s="234" t="s">
        <v>257</v>
      </c>
      <c r="M4" s="234" t="s">
        <v>258</v>
      </c>
      <c r="N4" s="234" t="s">
        <v>259</v>
      </c>
      <c r="O4" s="234" t="s">
        <v>260</v>
      </c>
      <c r="P4" s="234" t="s">
        <v>261</v>
      </c>
      <c r="Q4" s="234" t="s">
        <v>262</v>
      </c>
    </row>
    <row r="5" spans="2:18" x14ac:dyDescent="0.2">
      <c r="B5" s="230" t="s">
        <v>171</v>
      </c>
      <c r="C5" s="235">
        <f>'Divisional Sales Revenue'!C13</f>
        <v>59040767</v>
      </c>
      <c r="D5" s="235">
        <f>'Divisional Sales Revenue'!D13</f>
        <v>56509008</v>
      </c>
      <c r="E5" s="235">
        <f>'Divisional Sales Revenue'!E13</f>
        <v>55367033</v>
      </c>
      <c r="F5" s="235">
        <f>'Divisional Sales Revenue'!F13</f>
        <v>61396284</v>
      </c>
      <c r="G5" s="235">
        <f>'Divisional Sales Revenue'!G13</f>
        <v>61341663.999999993</v>
      </c>
      <c r="H5" s="273">
        <f>'Divisional Sales Revenue'!H13</f>
        <v>61283114.699258633</v>
      </c>
      <c r="I5" s="273">
        <f>'Divisional Sales Revenue'!I13</f>
        <v>61460314.059640817</v>
      </c>
      <c r="J5" s="273">
        <f>'Divisional Sales Revenue'!J13</f>
        <v>61375522.293904975</v>
      </c>
      <c r="K5" s="273">
        <f>'Divisional Sales Revenue'!K13</f>
        <v>61545123.229240857</v>
      </c>
      <c r="L5" s="273">
        <f>'Divisional Sales Revenue'!L13</f>
        <v>61669995.592680797</v>
      </c>
      <c r="M5" s="273">
        <f>'Divisional Sales Revenue'!M13</f>
        <v>61732908.463155113</v>
      </c>
      <c r="N5" s="273">
        <f>'Divisional Sales Revenue'!N13</f>
        <v>61806561.959884048</v>
      </c>
      <c r="O5" s="273">
        <f>'Divisional Sales Revenue'!O13</f>
        <v>61937484.204166844</v>
      </c>
      <c r="P5" s="273">
        <f>'Divisional Sales Revenue'!P13</f>
        <v>62014083.995606191</v>
      </c>
      <c r="Q5" s="273">
        <f>'Divisional Sales Revenue'!Q13</f>
        <v>62100919.680983767</v>
      </c>
    </row>
    <row r="6" spans="2:18" x14ac:dyDescent="0.2">
      <c r="B6" s="230" t="s">
        <v>267</v>
      </c>
      <c r="C6" s="238">
        <f>COGS!C13</f>
        <v>45299122</v>
      </c>
      <c r="D6" s="238">
        <f>COGS!D13</f>
        <v>43635062.999999993</v>
      </c>
      <c r="E6" s="238">
        <f>COGS!E13</f>
        <v>41630293</v>
      </c>
      <c r="F6" s="238">
        <f>COGS!F13</f>
        <v>46737563</v>
      </c>
      <c r="G6" s="238">
        <f>COGS!G13</f>
        <v>46260620</v>
      </c>
      <c r="H6" s="274">
        <f>COGS!H13</f>
        <v>46657509.73654826</v>
      </c>
      <c r="I6" s="274">
        <f>COGS!I13</f>
        <v>46792419.342936836</v>
      </c>
      <c r="J6" s="274">
        <f>COGS!J13</f>
        <v>46727863.671202227</v>
      </c>
      <c r="K6" s="274">
        <f>COGS!K13</f>
        <v>46856988.264992781</v>
      </c>
      <c r="L6" s="274">
        <f>COGS!L13</f>
        <v>46952059.044955842</v>
      </c>
      <c r="M6" s="274">
        <f>COGS!M13</f>
        <v>46999957.358889714</v>
      </c>
      <c r="N6" s="274">
        <f>COGS!N13</f>
        <v>47056032.980333328</v>
      </c>
      <c r="O6" s="274">
        <f>COGS!O13</f>
        <v>47155709.798610777</v>
      </c>
      <c r="P6" s="274">
        <f>COGS!P13</f>
        <v>47214028.562799565</v>
      </c>
      <c r="Q6" s="274">
        <f>COGS!Q13</f>
        <v>47280140.359758079</v>
      </c>
    </row>
    <row r="7" spans="2:18" x14ac:dyDescent="0.2">
      <c r="B7" s="231" t="s">
        <v>23</v>
      </c>
      <c r="C7" s="239">
        <f>C5-C6</f>
        <v>13741645</v>
      </c>
      <c r="D7" s="239">
        <f t="shared" ref="D7:Q7" si="0">D5-D6</f>
        <v>12873945.000000007</v>
      </c>
      <c r="E7" s="239">
        <f t="shared" si="0"/>
        <v>13736740</v>
      </c>
      <c r="F7" s="239">
        <f t="shared" si="0"/>
        <v>14658721</v>
      </c>
      <c r="G7" s="239">
        <f t="shared" si="0"/>
        <v>15081043.999999993</v>
      </c>
      <c r="H7" s="275">
        <f t="shared" si="0"/>
        <v>14625604.962710373</v>
      </c>
      <c r="I7" s="275">
        <f t="shared" si="0"/>
        <v>14667894.716703981</v>
      </c>
      <c r="J7" s="275">
        <f t="shared" si="0"/>
        <v>14647658.622702748</v>
      </c>
      <c r="K7" s="275">
        <f t="shared" si="0"/>
        <v>14688134.964248076</v>
      </c>
      <c r="L7" s="275">
        <f t="shared" si="0"/>
        <v>14717936.547724955</v>
      </c>
      <c r="M7" s="275">
        <f t="shared" si="0"/>
        <v>14732951.104265399</v>
      </c>
      <c r="N7" s="275">
        <f t="shared" si="0"/>
        <v>14750528.979550719</v>
      </c>
      <c r="O7" s="275">
        <f t="shared" si="0"/>
        <v>14781774.405556068</v>
      </c>
      <c r="P7" s="275">
        <f t="shared" si="0"/>
        <v>14800055.432806626</v>
      </c>
      <c r="Q7" s="275">
        <f t="shared" si="0"/>
        <v>14820779.321225688</v>
      </c>
    </row>
    <row r="8" spans="2:18" x14ac:dyDescent="0.2">
      <c r="B8" s="230" t="s">
        <v>268</v>
      </c>
      <c r="C8" s="236">
        <f>'Gen Opex'!C8</f>
        <v>11913088</v>
      </c>
      <c r="D8" s="236">
        <f>'Gen Opex'!D8</f>
        <v>11681654</v>
      </c>
      <c r="E8" s="236">
        <f>'Gen Opex'!E8</f>
        <v>12398977</v>
      </c>
      <c r="F8" s="236">
        <f>'Gen Opex'!F8</f>
        <v>12190172</v>
      </c>
      <c r="G8" s="236">
        <f>'Gen Opex'!G8</f>
        <v>12377753</v>
      </c>
      <c r="H8" s="276">
        <f>'Gen Opex'!H8</f>
        <v>12658316.805147547</v>
      </c>
      <c r="I8" s="276">
        <f>'Gen Opex'!I8</f>
        <v>12694918.170016071</v>
      </c>
      <c r="J8" s="276">
        <f>'Gen Opex'!J8</f>
        <v>12677404.030298803</v>
      </c>
      <c r="K8" s="276">
        <f>'Gen Opex'!K8</f>
        <v>12712435.904583694</v>
      </c>
      <c r="L8" s="276">
        <f>'Gen Opex'!L8</f>
        <v>12738228.881073015</v>
      </c>
      <c r="M8" s="276">
        <f>'Gen Opex'!M8</f>
        <v>12751223.83163147</v>
      </c>
      <c r="N8" s="276">
        <f>'Gen Opex'!N8</f>
        <v>12766437.309274979</v>
      </c>
      <c r="O8" s="276">
        <f>'Gen Opex'!O8</f>
        <v>12793479.917228336</v>
      </c>
      <c r="P8" s="276">
        <f>'Gen Opex'!P8</f>
        <v>12809301.965960776</v>
      </c>
      <c r="Q8" s="276">
        <f>'Gen Opex'!Q8</f>
        <v>12827238.286934273</v>
      </c>
    </row>
    <row r="9" spans="2:18" x14ac:dyDescent="0.2">
      <c r="B9" s="231" t="s">
        <v>28</v>
      </c>
      <c r="C9" s="98">
        <f>C7-C8</f>
        <v>1828557</v>
      </c>
      <c r="D9" s="98">
        <f t="shared" ref="D9:Q9" si="1">D7-D8</f>
        <v>1192291.0000000075</v>
      </c>
      <c r="E9" s="98">
        <f t="shared" si="1"/>
        <v>1337763</v>
      </c>
      <c r="F9" s="98">
        <f t="shared" si="1"/>
        <v>2468549</v>
      </c>
      <c r="G9" s="98">
        <f t="shared" si="1"/>
        <v>2703290.9999999925</v>
      </c>
      <c r="H9" s="99">
        <f t="shared" si="1"/>
        <v>1967288.1575628258</v>
      </c>
      <c r="I9" s="99">
        <f t="shared" si="1"/>
        <v>1972976.5466879103</v>
      </c>
      <c r="J9" s="99">
        <f t="shared" si="1"/>
        <v>1970254.5924039446</v>
      </c>
      <c r="K9" s="99">
        <f t="shared" si="1"/>
        <v>1975699.0596643817</v>
      </c>
      <c r="L9" s="99">
        <f t="shared" si="1"/>
        <v>1979707.66665194</v>
      </c>
      <c r="M9" s="99">
        <f t="shared" si="1"/>
        <v>1981727.2726339288</v>
      </c>
      <c r="N9" s="99">
        <f t="shared" si="1"/>
        <v>1984091.6702757403</v>
      </c>
      <c r="O9" s="99">
        <f t="shared" si="1"/>
        <v>1988294.4883277323</v>
      </c>
      <c r="P9" s="99">
        <f t="shared" si="1"/>
        <v>1990753.4668458495</v>
      </c>
      <c r="Q9" s="99">
        <f t="shared" si="1"/>
        <v>1993541.0342914145</v>
      </c>
    </row>
    <row r="10" spans="2:18" x14ac:dyDescent="0.2">
      <c r="B10" s="230" t="s">
        <v>313</v>
      </c>
      <c r="C10" s="238">
        <f>'P&amp;L Input'!D12-'P&amp;L Input'!D13+'P&amp;L Input'!D14+'P&amp;L Input'!D15-'P&amp;L Input'!D16</f>
        <v>-610287</v>
      </c>
      <c r="D10" s="238">
        <f>'P&amp;L Input'!E12-'P&amp;L Input'!E13+'P&amp;L Input'!E14+'P&amp;L Input'!E15-'P&amp;L Input'!E16</f>
        <v>-599166</v>
      </c>
      <c r="E10" s="238">
        <f>'P&amp;L Input'!F12-'P&amp;L Input'!F13+'P&amp;L Input'!F14+'P&amp;L Input'!F15-'P&amp;L Input'!F16</f>
        <v>-616046</v>
      </c>
      <c r="F10" s="238">
        <f>'P&amp;L Input'!G12-'P&amp;L Input'!G13+'P&amp;L Input'!G14+'P&amp;L Input'!G15-'P&amp;L Input'!G16</f>
        <v>89563</v>
      </c>
      <c r="G10" s="238">
        <f>'P&amp;L Input'!H12-'P&amp;L Input'!H13+'P&amp;L Input'!H14+'P&amp;L Input'!H15-'P&amp;L Input'!H16</f>
        <v>-694716</v>
      </c>
      <c r="H10" s="274">
        <f>Financing!H14</f>
        <v>-1013199.0054565871</v>
      </c>
      <c r="I10" s="274">
        <f>Financing!I14</f>
        <v>-1013199.0054565871</v>
      </c>
      <c r="J10" s="274">
        <f>Financing!J14</f>
        <v>-1013199.0054565871</v>
      </c>
      <c r="K10" s="274">
        <f>Financing!K14</f>
        <v>-1013199.0054565871</v>
      </c>
      <c r="L10" s="274">
        <f>Financing!L14</f>
        <v>-1013199.0054565871</v>
      </c>
      <c r="M10" s="274">
        <f>Financing!M14</f>
        <v>-1013199.0054565871</v>
      </c>
      <c r="N10" s="274">
        <f>Financing!N14</f>
        <v>-1013199.0054565871</v>
      </c>
      <c r="O10" s="274">
        <f>Financing!O14</f>
        <v>-1013199.0054565871</v>
      </c>
      <c r="P10" s="274">
        <f>Financing!P14</f>
        <v>-1013199.0054565871</v>
      </c>
      <c r="Q10" s="274">
        <f>Financing!Q14</f>
        <v>-1013199.0054565871</v>
      </c>
      <c r="R10" s="10"/>
    </row>
    <row r="11" spans="2:18" x14ac:dyDescent="0.2">
      <c r="B11" s="231" t="s">
        <v>34</v>
      </c>
      <c r="C11" s="98">
        <f>C9+C10</f>
        <v>1218270</v>
      </c>
      <c r="D11" s="98">
        <f t="shared" ref="D11:Q11" si="2">D9+D10</f>
        <v>593125.00000000745</v>
      </c>
      <c r="E11" s="98">
        <f t="shared" si="2"/>
        <v>721717</v>
      </c>
      <c r="F11" s="98">
        <f t="shared" si="2"/>
        <v>2558112</v>
      </c>
      <c r="G11" s="98">
        <f t="shared" si="2"/>
        <v>2008574.9999999925</v>
      </c>
      <c r="H11" s="99">
        <f t="shared" si="2"/>
        <v>954089.15210623876</v>
      </c>
      <c r="I11" s="99">
        <f t="shared" si="2"/>
        <v>959777.54123132327</v>
      </c>
      <c r="J11" s="99">
        <f t="shared" si="2"/>
        <v>957055.58694735751</v>
      </c>
      <c r="K11" s="99">
        <f t="shared" si="2"/>
        <v>962500.0542077946</v>
      </c>
      <c r="L11" s="99">
        <f t="shared" si="2"/>
        <v>966508.66119535291</v>
      </c>
      <c r="M11" s="99">
        <f t="shared" si="2"/>
        <v>968528.26717734174</v>
      </c>
      <c r="N11" s="99">
        <f t="shared" si="2"/>
        <v>970892.66481915326</v>
      </c>
      <c r="O11" s="99">
        <f t="shared" si="2"/>
        <v>975095.48287114524</v>
      </c>
      <c r="P11" s="99">
        <f t="shared" si="2"/>
        <v>977554.46138926246</v>
      </c>
      <c r="Q11" s="99">
        <f t="shared" si="2"/>
        <v>980342.02883482748</v>
      </c>
    </row>
    <row r="12" spans="2:18" x14ac:dyDescent="0.2">
      <c r="B12" s="241" t="s">
        <v>269</v>
      </c>
      <c r="C12" s="163">
        <f>-'P&amp;L Input'!D18</f>
        <v>-539761</v>
      </c>
      <c r="D12" s="163">
        <f>-'P&amp;L Input'!E18</f>
        <v>-340154</v>
      </c>
      <c r="E12" s="163">
        <f>-'P&amp;L Input'!F18</f>
        <v>-595402</v>
      </c>
      <c r="F12" s="163">
        <f>-'P&amp;L Input'!G18</f>
        <v>-688594</v>
      </c>
      <c r="G12" s="163">
        <f>-'P&amp;L Input'!H18</f>
        <v>-535761</v>
      </c>
      <c r="H12" s="256">
        <f>IF(H11&gt;0,-H11*Drivers!$C$12,0)</f>
        <v>-238522.28802655969</v>
      </c>
      <c r="I12" s="256">
        <f>IF(I11&gt;0,-I11*Drivers!$C$12,0)</f>
        <v>-239944.38530783082</v>
      </c>
      <c r="J12" s="256">
        <f>IF(J11&gt;0,-J11*Drivers!$C$12,0)</f>
        <v>-239263.89673683938</v>
      </c>
      <c r="K12" s="256">
        <f>IF(K11&gt;0,-K11*Drivers!$C$12,0)</f>
        <v>-240625.01355194865</v>
      </c>
      <c r="L12" s="256">
        <f>IF(L11&gt;0,-L11*Drivers!$C$12,0)</f>
        <v>-241627.16529883823</v>
      </c>
      <c r="M12" s="256">
        <f>IF(M11&gt;0,-M11*Drivers!$C$12,0)</f>
        <v>-242132.06679433543</v>
      </c>
      <c r="N12" s="256">
        <f>IF(N11&gt;0,-N11*Drivers!$C$12,0)</f>
        <v>-242723.16620478831</v>
      </c>
      <c r="O12" s="256">
        <f>IF(O11&gt;0,-O11*Drivers!$C$12,0)</f>
        <v>-243773.87071778631</v>
      </c>
      <c r="P12" s="256">
        <f>IF(P11&gt;0,-P11*Drivers!$C$12,0)</f>
        <v>-244388.61534731562</v>
      </c>
      <c r="Q12" s="256">
        <f>IF(Q11&gt;0,-Q11*Drivers!$C$12,0)</f>
        <v>-245085.50720870687</v>
      </c>
    </row>
    <row r="13" spans="2:18" x14ac:dyDescent="0.2">
      <c r="B13" s="230" t="s">
        <v>271</v>
      </c>
      <c r="C13" s="98">
        <f>C11+C12</f>
        <v>678509</v>
      </c>
      <c r="D13" s="98">
        <f t="shared" ref="D13:Q13" si="3">D11+D12</f>
        <v>252971.00000000745</v>
      </c>
      <c r="E13" s="98">
        <f t="shared" si="3"/>
        <v>126315</v>
      </c>
      <c r="F13" s="98">
        <f t="shared" si="3"/>
        <v>1869518</v>
      </c>
      <c r="G13" s="98">
        <f t="shared" si="3"/>
        <v>1472813.9999999925</v>
      </c>
      <c r="H13" s="99">
        <f t="shared" si="3"/>
        <v>715566.86407967913</v>
      </c>
      <c r="I13" s="99">
        <f t="shared" si="3"/>
        <v>719833.15592349251</v>
      </c>
      <c r="J13" s="99">
        <f t="shared" si="3"/>
        <v>717791.69021051819</v>
      </c>
      <c r="K13" s="99">
        <f t="shared" si="3"/>
        <v>721875.04065584601</v>
      </c>
      <c r="L13" s="99">
        <f t="shared" si="3"/>
        <v>724881.49589651474</v>
      </c>
      <c r="M13" s="99">
        <f t="shared" si="3"/>
        <v>726396.20038300636</v>
      </c>
      <c r="N13" s="99">
        <f t="shared" si="3"/>
        <v>728169.498614365</v>
      </c>
      <c r="O13" s="99">
        <f t="shared" si="3"/>
        <v>731321.61215335899</v>
      </c>
      <c r="P13" s="99">
        <f t="shared" si="3"/>
        <v>733165.8460419469</v>
      </c>
      <c r="Q13" s="99">
        <f t="shared" si="3"/>
        <v>735256.52162612067</v>
      </c>
    </row>
    <row r="14" spans="2:18" x14ac:dyDescent="0.2">
      <c r="B14" s="230" t="s">
        <v>272</v>
      </c>
      <c r="C14" s="98">
        <f>'P&amp;L Input'!D20</f>
        <v>-177152</v>
      </c>
      <c r="D14" s="98">
        <f>'P&amp;L Input'!E20</f>
        <v>-3828</v>
      </c>
      <c r="E14" s="98">
        <f>'P&amp;L Input'!F20</f>
        <v>0</v>
      </c>
      <c r="F14" s="98">
        <f>'P&amp;L Input'!G20</f>
        <v>0</v>
      </c>
      <c r="G14" s="98">
        <f>'P&amp;L Input'!H20</f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8"/>
    </row>
    <row r="15" spans="2:18" ht="17" thickBot="1" x14ac:dyDescent="0.25">
      <c r="B15" s="232" t="s">
        <v>270</v>
      </c>
      <c r="C15" s="237">
        <f t="shared" ref="C15:Q15" si="4">C13+C14</f>
        <v>501357</v>
      </c>
      <c r="D15" s="237">
        <f t="shared" si="4"/>
        <v>249143.00000000745</v>
      </c>
      <c r="E15" s="237">
        <f t="shared" si="4"/>
        <v>126315</v>
      </c>
      <c r="F15" s="237">
        <f t="shared" si="4"/>
        <v>1869518</v>
      </c>
      <c r="G15" s="237">
        <f t="shared" si="4"/>
        <v>1472813.9999999925</v>
      </c>
      <c r="H15" s="237">
        <f t="shared" si="4"/>
        <v>715566.86407967913</v>
      </c>
      <c r="I15" s="237">
        <f t="shared" si="4"/>
        <v>719833.15592349251</v>
      </c>
      <c r="J15" s="237">
        <f t="shared" si="4"/>
        <v>717791.69021051819</v>
      </c>
      <c r="K15" s="237">
        <f t="shared" si="4"/>
        <v>721875.04065584601</v>
      </c>
      <c r="L15" s="237">
        <f t="shared" si="4"/>
        <v>724881.49589651474</v>
      </c>
      <c r="M15" s="237">
        <f t="shared" si="4"/>
        <v>726396.20038300636</v>
      </c>
      <c r="N15" s="237">
        <f t="shared" si="4"/>
        <v>728169.498614365</v>
      </c>
      <c r="O15" s="237">
        <f t="shared" si="4"/>
        <v>731321.61215335899</v>
      </c>
      <c r="P15" s="237">
        <f t="shared" si="4"/>
        <v>733165.8460419469</v>
      </c>
      <c r="Q15" s="237">
        <f t="shared" si="4"/>
        <v>735256.52162612067</v>
      </c>
    </row>
    <row r="17" spans="2:17" x14ac:dyDescent="0.2">
      <c r="B17" s="243" t="s">
        <v>130</v>
      </c>
      <c r="C17" s="242"/>
      <c r="D17" s="242"/>
      <c r="E17" s="242"/>
      <c r="F17" s="242"/>
      <c r="G17" s="242"/>
      <c r="H17" s="242"/>
      <c r="I17" s="242"/>
      <c r="J17" s="242"/>
      <c r="K17" s="242"/>
      <c r="L17" s="242"/>
      <c r="M17" s="242"/>
      <c r="N17" s="242"/>
      <c r="O17" s="242"/>
      <c r="P17" s="242"/>
      <c r="Q17" s="242"/>
    </row>
    <row r="18" spans="2:17" x14ac:dyDescent="0.2">
      <c r="B18" s="242" t="s">
        <v>270</v>
      </c>
      <c r="C18" s="244">
        <f>'P&amp;L Input'!D21</f>
        <v>501357</v>
      </c>
      <c r="D18" s="244">
        <f>'P&amp;L Input'!E21</f>
        <v>249143</v>
      </c>
      <c r="E18" s="244">
        <f>'P&amp;L Input'!F21</f>
        <v>126315</v>
      </c>
      <c r="F18" s="244">
        <f>'P&amp;L Input'!G21</f>
        <v>1869518</v>
      </c>
      <c r="G18" s="244">
        <f>'P&amp;L Input'!H21</f>
        <v>1472814</v>
      </c>
      <c r="H18" s="242"/>
      <c r="I18" s="242"/>
      <c r="J18" s="242"/>
      <c r="K18" s="242"/>
      <c r="L18" s="242"/>
      <c r="M18" s="242"/>
      <c r="N18" s="242"/>
      <c r="O18" s="242"/>
      <c r="P18" s="242"/>
      <c r="Q18" s="242"/>
    </row>
    <row r="19" spans="2:17" x14ac:dyDescent="0.2">
      <c r="B19" s="242"/>
      <c r="C19" s="244">
        <f>C18-C15</f>
        <v>0</v>
      </c>
      <c r="D19" s="244">
        <f t="shared" ref="D19:G19" si="5">D18-D15</f>
        <v>-7.4505805969238281E-9</v>
      </c>
      <c r="E19" s="244">
        <f t="shared" si="5"/>
        <v>0</v>
      </c>
      <c r="F19" s="244">
        <f t="shared" si="5"/>
        <v>0</v>
      </c>
      <c r="G19" s="244">
        <f t="shared" si="5"/>
        <v>7.4505805969238281E-9</v>
      </c>
      <c r="H19" s="242"/>
      <c r="I19" s="242"/>
      <c r="J19" s="242"/>
      <c r="K19" s="242"/>
      <c r="L19" s="242"/>
      <c r="M19" s="242"/>
      <c r="N19" s="242"/>
      <c r="O19" s="242"/>
      <c r="P19" s="242"/>
      <c r="Q19" s="2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8"/>
  <sheetViews>
    <sheetView showGridLines="0" topLeftCell="H19" zoomScale="135" zoomScaleNormal="113" zoomScalePageLayoutView="113" workbookViewId="0">
      <selection activeCell="P37" sqref="P37"/>
    </sheetView>
  </sheetViews>
  <sheetFormatPr baseColWidth="10" defaultRowHeight="16" x14ac:dyDescent="0.2"/>
  <cols>
    <col min="1" max="1" width="2.83203125" customWidth="1"/>
    <col min="2" max="2" width="31.1640625" customWidth="1"/>
    <col min="18" max="18" width="12.1640625" customWidth="1"/>
  </cols>
  <sheetData>
    <row r="1" spans="2:20" x14ac:dyDescent="0.2">
      <c r="B1" s="70" t="s">
        <v>362</v>
      </c>
    </row>
    <row r="3" spans="2:20" ht="17" thickBot="1" x14ac:dyDescent="0.25">
      <c r="B3" s="11" t="s">
        <v>48</v>
      </c>
      <c r="C3" s="28">
        <v>42004</v>
      </c>
      <c r="D3" s="28">
        <v>42369</v>
      </c>
      <c r="E3" s="28">
        <v>42735</v>
      </c>
      <c r="F3" s="28">
        <v>43100</v>
      </c>
      <c r="G3" s="28">
        <v>43465</v>
      </c>
      <c r="H3" s="247">
        <v>43830</v>
      </c>
      <c r="I3" s="247">
        <v>44196</v>
      </c>
      <c r="J3" s="247">
        <v>44561</v>
      </c>
      <c r="K3" s="247">
        <v>44926</v>
      </c>
      <c r="L3" s="247">
        <v>45291</v>
      </c>
      <c r="M3" s="247">
        <v>45657</v>
      </c>
      <c r="N3" s="247">
        <v>46022</v>
      </c>
      <c r="O3" s="247">
        <v>46387</v>
      </c>
      <c r="P3" s="247">
        <v>46752</v>
      </c>
      <c r="Q3" s="247">
        <v>47118</v>
      </c>
      <c r="R3" s="15" t="s">
        <v>273</v>
      </c>
      <c r="T3" s="15" t="s">
        <v>298</v>
      </c>
    </row>
    <row r="4" spans="2:20" x14ac:dyDescent="0.2">
      <c r="B4" s="10" t="s">
        <v>49</v>
      </c>
      <c r="C4" s="14">
        <v>2244406</v>
      </c>
      <c r="D4" s="14">
        <v>2710156</v>
      </c>
      <c r="E4" s="14">
        <v>3015137</v>
      </c>
      <c r="F4" s="14">
        <v>3350597</v>
      </c>
      <c r="G4" s="14">
        <v>4270388</v>
      </c>
      <c r="H4" s="99">
        <f>G4+'Cash Flow'!H28</f>
        <v>2477657.544030807</v>
      </c>
      <c r="I4" s="99">
        <f>H4+'Cash Flow'!I28</f>
        <v>995338.4898322036</v>
      </c>
      <c r="J4" s="99">
        <f>I4+'Cash Flow'!J28</f>
        <v>-180161.19103788771</v>
      </c>
      <c r="K4" s="99">
        <f>J4+'Cash Flow'!K28</f>
        <v>-893417.51693742676</v>
      </c>
      <c r="L4" s="99">
        <f>K4+'Cash Flow'!L28</f>
        <v>-975949.60591908242</v>
      </c>
      <c r="M4" s="99">
        <f>L4+'Cash Flow'!M28</f>
        <v>-252675.47795127402</v>
      </c>
      <c r="N4" s="99">
        <f>M4+'Cash Flow'!N28</f>
        <v>1456021.957993184</v>
      </c>
      <c r="O4" s="99">
        <f>N4+'Cash Flow'!O28</f>
        <v>4327350.0671385191</v>
      </c>
      <c r="P4" s="99">
        <f>O4+'Cash Flow'!P28</f>
        <v>8524641.1613375228</v>
      </c>
      <c r="Q4" s="99">
        <f>P4+'Cash Flow'!Q28</f>
        <v>14188827.523030564</v>
      </c>
      <c r="R4" s="10" t="s">
        <v>274</v>
      </c>
      <c r="T4" s="258"/>
    </row>
    <row r="5" spans="2:20" x14ac:dyDescent="0.2">
      <c r="B5" s="10" t="s">
        <v>50</v>
      </c>
      <c r="C5" s="14">
        <v>67700</v>
      </c>
      <c r="D5" s="14">
        <v>87454</v>
      </c>
      <c r="E5" s="14">
        <v>80559</v>
      </c>
      <c r="F5" s="14">
        <v>80515</v>
      </c>
      <c r="G5" s="14">
        <v>80516</v>
      </c>
      <c r="H5" s="99">
        <f>G5</f>
        <v>80516</v>
      </c>
      <c r="I5" s="99">
        <f t="shared" ref="I5:Q5" si="0">H5</f>
        <v>80516</v>
      </c>
      <c r="J5" s="99">
        <f t="shared" si="0"/>
        <v>80516</v>
      </c>
      <c r="K5" s="99">
        <f t="shared" si="0"/>
        <v>80516</v>
      </c>
      <c r="L5" s="99">
        <f t="shared" si="0"/>
        <v>80516</v>
      </c>
      <c r="M5" s="99">
        <f t="shared" si="0"/>
        <v>80516</v>
      </c>
      <c r="N5" s="99">
        <f t="shared" si="0"/>
        <v>80516</v>
      </c>
      <c r="O5" s="99">
        <f t="shared" si="0"/>
        <v>80516</v>
      </c>
      <c r="P5" s="99">
        <f t="shared" si="0"/>
        <v>80516</v>
      </c>
      <c r="Q5" s="99">
        <f t="shared" si="0"/>
        <v>80516</v>
      </c>
      <c r="R5" s="10" t="s">
        <v>276</v>
      </c>
      <c r="T5" s="258"/>
    </row>
    <row r="6" spans="2:20" x14ac:dyDescent="0.2">
      <c r="B6" s="10" t="s">
        <v>51</v>
      </c>
      <c r="C6" s="14">
        <v>7683915</v>
      </c>
      <c r="D6" s="14">
        <v>7093352</v>
      </c>
      <c r="E6" s="14">
        <v>7059889</v>
      </c>
      <c r="F6" s="14">
        <v>8178213</v>
      </c>
      <c r="G6" s="14">
        <v>6371594</v>
      </c>
      <c r="H6" s="99">
        <f>'Working Capital'!H5</f>
        <v>7602255.5397734139</v>
      </c>
      <c r="I6" s="99">
        <f>'Working Capital'!I5</f>
        <v>7624237.3666717466</v>
      </c>
      <c r="J6" s="99">
        <f>'Working Capital'!J5</f>
        <v>7613718.8303023763</v>
      </c>
      <c r="K6" s="99">
        <f>'Working Capital'!K5</f>
        <v>7634758.0620146561</v>
      </c>
      <c r="L6" s="99">
        <f>'Working Capital'!L5</f>
        <v>7650248.652226733</v>
      </c>
      <c r="M6" s="99">
        <f>'Working Capital'!M5</f>
        <v>7658053.0812351713</v>
      </c>
      <c r="N6" s="99">
        <f>'Working Capital'!N5</f>
        <v>7667189.8998560775</v>
      </c>
      <c r="O6" s="99">
        <f>'Working Capital'!O5</f>
        <v>7683430.9861938525</v>
      </c>
      <c r="P6" s="99">
        <f>'Working Capital'!P5</f>
        <v>7692933.2967678662</v>
      </c>
      <c r="Q6" s="99">
        <f>'Working Capital'!Q5</f>
        <v>7703705.384209102</v>
      </c>
      <c r="R6" s="10" t="s">
        <v>275</v>
      </c>
      <c r="T6" s="258"/>
    </row>
    <row r="7" spans="2:20" x14ac:dyDescent="0.2">
      <c r="B7" s="10" t="s">
        <v>52</v>
      </c>
      <c r="C7" s="14">
        <v>633219</v>
      </c>
      <c r="D7" s="14">
        <v>654141</v>
      </c>
      <c r="E7" s="14">
        <v>545766</v>
      </c>
      <c r="F7" s="14">
        <v>467427</v>
      </c>
      <c r="G7" s="14">
        <v>506437</v>
      </c>
      <c r="H7" s="99">
        <f>'P&amp;L'!H$5*BSO!$T7</f>
        <v>585793.64582016843</v>
      </c>
      <c r="I7" s="99">
        <f>'P&amp;L'!I$5*BSO!$T7</f>
        <v>587487.46082720067</v>
      </c>
      <c r="J7" s="99">
        <f>'P&amp;L'!J$5*BSO!$T7</f>
        <v>586676.95245422248</v>
      </c>
      <c r="K7" s="99">
        <f>'P&amp;L'!K$5*BSO!$T7</f>
        <v>588298.13556040882</v>
      </c>
      <c r="L7" s="99">
        <f>'P&amp;L'!L$5*BSO!$T7</f>
        <v>589491.76674904278</v>
      </c>
      <c r="M7" s="99">
        <f>'P&amp;L'!M$5*BSO!$T7</f>
        <v>590093.13892056211</v>
      </c>
      <c r="N7" s="99">
        <f>'P&amp;L'!N$5*BSO!$T7</f>
        <v>590797.17869706464</v>
      </c>
      <c r="O7" s="99">
        <f>'P&amp;L'!O$5*BSO!$T7</f>
        <v>592048.63954682311</v>
      </c>
      <c r="P7" s="99">
        <f>'P&amp;L'!P$5*BSO!$T7</f>
        <v>592780.84239448386</v>
      </c>
      <c r="Q7" s="99">
        <f>'P&amp;L'!Q$5*BSO!$T7</f>
        <v>593610.88820684596</v>
      </c>
      <c r="R7" s="10" t="s">
        <v>161</v>
      </c>
      <c r="T7" s="258">
        <f>AVERAGE(C7:G7)/AVERAGE('P&amp;L'!C$5:G$5)</f>
        <v>9.5588099380212316E-3</v>
      </c>
    </row>
    <row r="8" spans="2:20" x14ac:dyDescent="0.2">
      <c r="B8" s="10" t="s">
        <v>53</v>
      </c>
      <c r="C8" s="14">
        <v>11193</v>
      </c>
      <c r="D8" s="14">
        <v>20674</v>
      </c>
      <c r="E8" s="14">
        <v>30650</v>
      </c>
      <c r="F8" s="14">
        <v>3534</v>
      </c>
      <c r="G8" s="14">
        <v>8401</v>
      </c>
      <c r="H8" s="99">
        <f>'P&amp;L'!H$5*BSO!$T8</f>
        <v>15537.464871126431</v>
      </c>
      <c r="I8" s="99">
        <f>'P&amp;L'!I$5*BSO!$T8</f>
        <v>15582.391256650983</v>
      </c>
      <c r="J8" s="99">
        <f>'P&amp;L'!J$5*BSO!$T8</f>
        <v>15560.893506610915</v>
      </c>
      <c r="K8" s="99">
        <f>'P&amp;L'!K$5*BSO!$T8</f>
        <v>15603.893419194068</v>
      </c>
      <c r="L8" s="99">
        <f>'P&amp;L'!L$5*BSO!$T8</f>
        <v>15635.553036526575</v>
      </c>
      <c r="M8" s="99">
        <f>'P&amp;L'!M$5*BSO!$T8</f>
        <v>15651.503702868085</v>
      </c>
      <c r="N8" s="99">
        <f>'P&amp;L'!N$5*BSO!$T8</f>
        <v>15670.177502717806</v>
      </c>
      <c r="O8" s="99">
        <f>'P&amp;L'!O$5*BSO!$T8</f>
        <v>15703.370981563907</v>
      </c>
      <c r="P8" s="99">
        <f>'P&amp;L'!P$5*BSO!$T8</f>
        <v>15722.791772665421</v>
      </c>
      <c r="Q8" s="99">
        <f>'P&amp;L'!Q$5*BSO!$T8</f>
        <v>15744.807729552329</v>
      </c>
      <c r="R8" s="10" t="s">
        <v>161</v>
      </c>
      <c r="T8" s="258">
        <f>AVERAGE(C8:G8)/AVERAGE('P&amp;L'!C$5:G$5)</f>
        <v>2.5353582218160973E-4</v>
      </c>
    </row>
    <row r="9" spans="2:20" x14ac:dyDescent="0.2">
      <c r="B9" s="10" t="s">
        <v>54</v>
      </c>
      <c r="C9" s="14">
        <v>5711273</v>
      </c>
      <c r="D9" s="14">
        <v>4872676</v>
      </c>
      <c r="E9" s="14">
        <v>5171015</v>
      </c>
      <c r="F9" s="14">
        <v>5908437</v>
      </c>
      <c r="G9" s="14">
        <v>6021356</v>
      </c>
      <c r="H9" s="99">
        <f>'Working Capital'!H6</f>
        <v>5771903.7392401733</v>
      </c>
      <c r="I9" s="99">
        <f>'Working Capital'!I6</f>
        <v>5788593.1267786529</v>
      </c>
      <c r="J9" s="99">
        <f>'Working Capital'!J6</f>
        <v>5780607.0785480877</v>
      </c>
      <c r="K9" s="99">
        <f>'Working Capital'!K6</f>
        <v>5796580.8141789837</v>
      </c>
      <c r="L9" s="99">
        <f>'Working Capital'!L6</f>
        <v>5808341.8231453793</v>
      </c>
      <c r="M9" s="99">
        <f>'Working Capital'!M6</f>
        <v>5814267.2241978422</v>
      </c>
      <c r="N9" s="99">
        <f>'Working Capital'!N6</f>
        <v>5821204.2229986386</v>
      </c>
      <c r="O9" s="99">
        <f>'Working Capital'!O6</f>
        <v>5833535.0354097541</v>
      </c>
      <c r="P9" s="99">
        <f>'Working Capital'!P6</f>
        <v>5840749.5287461933</v>
      </c>
      <c r="Q9" s="99">
        <f>'Working Capital'!Q6</f>
        <v>5848928.0820000507</v>
      </c>
      <c r="R9" s="10" t="s">
        <v>275</v>
      </c>
      <c r="T9" s="258"/>
    </row>
    <row r="10" spans="2:20" x14ac:dyDescent="0.2">
      <c r="B10" s="10" t="s">
        <v>55</v>
      </c>
      <c r="C10" s="14">
        <v>246878</v>
      </c>
      <c r="D10" s="14">
        <v>161314</v>
      </c>
      <c r="E10" s="14">
        <v>147221</v>
      </c>
      <c r="F10" s="14">
        <v>134159</v>
      </c>
      <c r="G10" s="14">
        <v>151778</v>
      </c>
      <c r="H10" s="99">
        <f>'P&amp;L'!H$5*BSO!$T10</f>
        <v>175582.20154357469</v>
      </c>
      <c r="I10" s="99">
        <f>'P&amp;L'!I$5*BSO!$T10</f>
        <v>176089.89528532888</v>
      </c>
      <c r="J10" s="99">
        <f>'P&amp;L'!J$5*BSO!$T10</f>
        <v>175846.958467027</v>
      </c>
      <c r="K10" s="99">
        <f>'P&amp;L'!K$5*BSO!$T10</f>
        <v>176332.88196742773</v>
      </c>
      <c r="L10" s="99">
        <f>'P&amp;L'!L$5*BSO!$T10</f>
        <v>176690.65367326108</v>
      </c>
      <c r="M10" s="99">
        <f>'P&amp;L'!M$5*BSO!$T10</f>
        <v>176870.90528673594</v>
      </c>
      <c r="N10" s="99">
        <f>'P&amp;L'!N$5*BSO!$T10</f>
        <v>177081.92985966295</v>
      </c>
      <c r="O10" s="99">
        <f>'P&amp;L'!O$5*BSO!$T10</f>
        <v>177457.03507412554</v>
      </c>
      <c r="P10" s="99">
        <f>'P&amp;L'!P$5*BSO!$T10</f>
        <v>177676.50107360518</v>
      </c>
      <c r="Q10" s="99">
        <f>'P&amp;L'!Q$5*BSO!$T10</f>
        <v>177925.29392439226</v>
      </c>
      <c r="R10" s="10" t="s">
        <v>161</v>
      </c>
      <c r="T10" s="258">
        <f>AVERAGE(C10:G10)/AVERAGE('P&amp;L'!C$5:G$5)</f>
        <v>2.8650991778931038E-3</v>
      </c>
    </row>
    <row r="11" spans="2:20" x14ac:dyDescent="0.2">
      <c r="B11" s="10" t="s">
        <v>56</v>
      </c>
      <c r="C11" s="14">
        <v>0</v>
      </c>
      <c r="D11" s="14">
        <v>0</v>
      </c>
      <c r="E11" s="14">
        <v>0</v>
      </c>
      <c r="F11" s="14">
        <v>0</v>
      </c>
      <c r="G11" s="14">
        <v>763776</v>
      </c>
      <c r="H11" s="50">
        <v>763776</v>
      </c>
      <c r="I11" s="50">
        <v>763776</v>
      </c>
      <c r="J11" s="50">
        <v>763776</v>
      </c>
      <c r="K11" s="50">
        <v>763776</v>
      </c>
      <c r="L11" s="50">
        <v>763776</v>
      </c>
      <c r="M11" s="50">
        <v>763776</v>
      </c>
      <c r="N11" s="50">
        <v>763776</v>
      </c>
      <c r="O11" s="50">
        <v>763776</v>
      </c>
      <c r="P11" s="50">
        <v>763776</v>
      </c>
      <c r="Q11" s="50">
        <v>763776</v>
      </c>
      <c r="R11" s="10" t="s">
        <v>276</v>
      </c>
      <c r="T11" s="258"/>
    </row>
    <row r="12" spans="2:20" x14ac:dyDescent="0.2">
      <c r="B12" s="10" t="s">
        <v>57</v>
      </c>
      <c r="C12" s="14">
        <v>884114</v>
      </c>
      <c r="D12" s="14">
        <v>794227</v>
      </c>
      <c r="E12" s="14">
        <v>931420</v>
      </c>
      <c r="F12" s="14">
        <v>1050651</v>
      </c>
      <c r="G12" s="14">
        <v>1073396</v>
      </c>
      <c r="H12" s="99">
        <f>'P&amp;L'!H$5*BSO!$T12</f>
        <v>987903.2867707687</v>
      </c>
      <c r="I12" s="99">
        <f>'P&amp;L'!I$5*BSO!$T12</f>
        <v>990759.79677999893</v>
      </c>
      <c r="J12" s="99">
        <f>'P&amp;L'!J$5*BSO!$T12</f>
        <v>989392.92656668474</v>
      </c>
      <c r="K12" s="99">
        <f>'P&amp;L'!K$5*BSO!$T12</f>
        <v>992126.94754913554</v>
      </c>
      <c r="L12" s="99">
        <f>'P&amp;L'!L$5*BSO!$T12</f>
        <v>994139.92973639118</v>
      </c>
      <c r="M12" s="99">
        <f>'P&amp;L'!M$5*BSO!$T12</f>
        <v>995154.10520424659</v>
      </c>
      <c r="N12" s="99">
        <f>'P&amp;L'!N$5*BSO!$T12</f>
        <v>996341.42298105592</v>
      </c>
      <c r="O12" s="99">
        <f>'P&amp;L'!O$5*BSO!$T12</f>
        <v>998451.93117035239</v>
      </c>
      <c r="P12" s="99">
        <f>'P&amp;L'!P$5*BSO!$T12</f>
        <v>999686.74415432429</v>
      </c>
      <c r="Q12" s="99">
        <f>'P&amp;L'!Q$5*BSO!$T12</f>
        <v>1001086.5630018892</v>
      </c>
      <c r="R12" s="10" t="s">
        <v>161</v>
      </c>
      <c r="T12" s="258">
        <f>AVERAGE(C12:G12)/AVERAGE('P&amp;L'!C$5:G$5)</f>
        <v>1.6120317833367561E-2</v>
      </c>
    </row>
    <row r="13" spans="2:20" x14ac:dyDescent="0.2">
      <c r="B13" s="15" t="s">
        <v>58</v>
      </c>
      <c r="C13" s="15">
        <v>0</v>
      </c>
      <c r="D13" s="16">
        <v>3619</v>
      </c>
      <c r="E13" s="16">
        <v>8906</v>
      </c>
      <c r="F13" s="16">
        <v>21436</v>
      </c>
      <c r="G13" s="16">
        <v>115212</v>
      </c>
      <c r="H13" s="256">
        <f>'P&amp;L'!H$5*BSO!$T13</f>
        <v>31131.067630426893</v>
      </c>
      <c r="I13" s="256">
        <f>'P&amp;L'!I$5*BSO!$T13</f>
        <v>31221.082723478172</v>
      </c>
      <c r="J13" s="256">
        <f>'P&amp;L'!J$5*BSO!$T13</f>
        <v>31178.009550605355</v>
      </c>
      <c r="K13" s="256">
        <f>'P&amp;L'!K$5*BSO!$T13</f>
        <v>31264.164737299692</v>
      </c>
      <c r="L13" s="256">
        <f>'P&amp;L'!L$5*BSO!$T13</f>
        <v>31327.598360255986</v>
      </c>
      <c r="M13" s="256">
        <f>'P&amp;L'!M$5*BSO!$T13</f>
        <v>31359.557323751422</v>
      </c>
      <c r="N13" s="256">
        <f>'P&amp;L'!N$5*BSO!$T13</f>
        <v>31396.972393124739</v>
      </c>
      <c r="O13" s="256">
        <f>'P&amp;L'!O$5*BSO!$T13</f>
        <v>31463.479281051317</v>
      </c>
      <c r="P13" s="256">
        <f>'P&amp;L'!P$5*BSO!$T13</f>
        <v>31502.39103185702</v>
      </c>
      <c r="Q13" s="256">
        <f>'P&amp;L'!Q$5*BSO!$T13</f>
        <v>31546.502490739127</v>
      </c>
      <c r="R13" s="10" t="s">
        <v>161</v>
      </c>
      <c r="T13" s="258">
        <f>AVERAGE(C13:G13)/AVERAGE('P&amp;L'!C$5:G$5)</f>
        <v>5.0798768605675156E-4</v>
      </c>
    </row>
    <row r="14" spans="2:20" x14ac:dyDescent="0.2">
      <c r="B14" s="19" t="s">
        <v>50</v>
      </c>
      <c r="C14" s="14">
        <v>94323</v>
      </c>
      <c r="D14" s="14">
        <v>69970</v>
      </c>
      <c r="E14" s="14">
        <v>58195</v>
      </c>
      <c r="F14" s="14">
        <v>52775</v>
      </c>
      <c r="G14" s="14">
        <v>45853</v>
      </c>
      <c r="H14" s="50">
        <v>45853</v>
      </c>
      <c r="I14" s="50">
        <v>45853</v>
      </c>
      <c r="J14" s="50">
        <v>45853</v>
      </c>
      <c r="K14" s="50">
        <v>45853</v>
      </c>
      <c r="L14" s="50">
        <v>45853</v>
      </c>
      <c r="M14" s="50">
        <v>45853</v>
      </c>
      <c r="N14" s="50">
        <v>45853</v>
      </c>
      <c r="O14" s="50">
        <v>45853</v>
      </c>
      <c r="P14" s="50">
        <v>45853</v>
      </c>
      <c r="Q14" s="50">
        <v>45853</v>
      </c>
      <c r="R14" s="10" t="s">
        <v>276</v>
      </c>
      <c r="T14" s="258"/>
    </row>
    <row r="15" spans="2:20" x14ac:dyDescent="0.2">
      <c r="B15" s="19" t="s">
        <v>52</v>
      </c>
      <c r="C15" s="14">
        <v>548564</v>
      </c>
      <c r="D15" s="14">
        <v>506788</v>
      </c>
      <c r="E15" s="14">
        <v>490178</v>
      </c>
      <c r="F15" s="14">
        <v>470216</v>
      </c>
      <c r="G15" s="14">
        <v>452366</v>
      </c>
      <c r="H15" s="99">
        <f>'P&amp;L'!H$5*BSO!$T15</f>
        <v>515072.84556500294</v>
      </c>
      <c r="I15" s="99">
        <f>'P&amp;L'!I$5*BSO!$T15</f>
        <v>516562.17226179788</v>
      </c>
      <c r="J15" s="99">
        <f>'P&amp;L'!J$5*BSO!$T15</f>
        <v>515849.51370531996</v>
      </c>
      <c r="K15" s="99">
        <f>'P&amp;L'!K$5*BSO!$T15</f>
        <v>517274.97709442209</v>
      </c>
      <c r="L15" s="99">
        <f>'P&amp;L'!L$5*BSO!$T15</f>
        <v>518324.50540062966</v>
      </c>
      <c r="M15" s="99">
        <f>'P&amp;L'!M$5*BSO!$T15</f>
        <v>518853.27603144519</v>
      </c>
      <c r="N15" s="99">
        <f>'P&amp;L'!N$5*BSO!$T15</f>
        <v>519472.31956949248</v>
      </c>
      <c r="O15" s="99">
        <f>'P&amp;L'!O$5*BSO!$T15</f>
        <v>520572.69596585265</v>
      </c>
      <c r="P15" s="99">
        <f>'P&amp;L'!P$5*BSO!$T15</f>
        <v>521216.5025468329</v>
      </c>
      <c r="Q15" s="99">
        <f>'P&amp;L'!Q$5*BSO!$T15</f>
        <v>521946.33985656343</v>
      </c>
      <c r="R15" s="10" t="s">
        <v>161</v>
      </c>
      <c r="T15" s="258">
        <f>AVERAGE(C15:G15)/AVERAGE('P&amp;L'!C$5:G$5)</f>
        <v>8.4048085364570087E-3</v>
      </c>
    </row>
    <row r="16" spans="2:20" x14ac:dyDescent="0.2">
      <c r="B16" s="19" t="s">
        <v>53</v>
      </c>
      <c r="C16" s="14">
        <v>56775</v>
      </c>
      <c r="D16" s="14">
        <v>84810</v>
      </c>
      <c r="E16" s="14">
        <v>66147</v>
      </c>
      <c r="F16" s="14">
        <v>52981</v>
      </c>
      <c r="G16" s="14">
        <v>78072</v>
      </c>
      <c r="H16" s="99">
        <f>'P&amp;L'!H$5*BSO!$T16</f>
        <v>70701.391988993812</v>
      </c>
      <c r="I16" s="99">
        <f>'P&amp;L'!I$5*BSO!$T16</f>
        <v>70905.824180472031</v>
      </c>
      <c r="J16" s="99">
        <f>'P&amp;L'!J$5*BSO!$T16</f>
        <v>70808.001217390789</v>
      </c>
      <c r="K16" s="99">
        <f>'P&amp;L'!K$5*BSO!$T16</f>
        <v>71003.667222125165</v>
      </c>
      <c r="L16" s="99">
        <f>'P&amp;L'!L$5*BSO!$T16</f>
        <v>71147.730557670118</v>
      </c>
      <c r="M16" s="99">
        <f>'P&amp;L'!M$5*BSO!$T16</f>
        <v>71220.312173966639</v>
      </c>
      <c r="N16" s="99">
        <f>'P&amp;L'!N$5*BSO!$T16</f>
        <v>71305.285086475211</v>
      </c>
      <c r="O16" s="99">
        <f>'P&amp;L'!O$5*BSO!$T16</f>
        <v>71456.328077004349</v>
      </c>
      <c r="P16" s="99">
        <f>'P&amp;L'!P$5*BSO!$T16</f>
        <v>71544.700084651253</v>
      </c>
      <c r="Q16" s="99">
        <f>'P&amp;L'!Q$5*BSO!$T16</f>
        <v>71644.881086557594</v>
      </c>
      <c r="R16" s="10" t="s">
        <v>161</v>
      </c>
      <c r="T16" s="258">
        <f>AVERAGE(C16:G16)/AVERAGE('P&amp;L'!C$5:G$5)</f>
        <v>1.1536847031348608E-3</v>
      </c>
    </row>
    <row r="17" spans="2:21" x14ac:dyDescent="0.2">
      <c r="B17" s="19" t="s">
        <v>60</v>
      </c>
      <c r="C17" s="14">
        <v>10596853</v>
      </c>
      <c r="D17" s="14">
        <v>10460298</v>
      </c>
      <c r="E17" s="14">
        <v>11222428</v>
      </c>
      <c r="F17" s="14">
        <v>11800782</v>
      </c>
      <c r="G17" s="14">
        <v>13333951</v>
      </c>
      <c r="H17" s="99">
        <f>'PP&amp;E'!H10</f>
        <v>15714639.842360342</v>
      </c>
      <c r="I17" s="99">
        <f>'PP&amp;E'!I10</f>
        <v>17925212.735709708</v>
      </c>
      <c r="J17" s="99">
        <f>'PP&amp;E'!J10</f>
        <v>19829032.536057342</v>
      </c>
      <c r="K17" s="99">
        <f>'PP&amp;E'!K10</f>
        <v>21272659.709879074</v>
      </c>
      <c r="L17" s="99">
        <f>'PP&amp;E'!L10</f>
        <v>22088951.293289356</v>
      </c>
      <c r="M17" s="99">
        <f>'PP&amp;E'!M10</f>
        <v>22101463.138801858</v>
      </c>
      <c r="N17" s="99">
        <f>'PP&amp;E'!N10</f>
        <v>21130249.818395063</v>
      </c>
      <c r="O17" s="99">
        <f>'PP&amp;E'!O10</f>
        <v>18999115.227163121</v>
      </c>
      <c r="P17" s="99">
        <f>'PP&amp;E'!P10</f>
        <v>15544314.016963627</v>
      </c>
      <c r="Q17" s="99">
        <f>'PP&amp;E'!Q10</f>
        <v>10624639.259328617</v>
      </c>
      <c r="R17" s="10" t="s">
        <v>277</v>
      </c>
      <c r="T17" s="258"/>
    </row>
    <row r="18" spans="2:21" x14ac:dyDescent="0.2">
      <c r="B18" s="19" t="s">
        <v>61</v>
      </c>
      <c r="C18" s="14">
        <v>1394336</v>
      </c>
      <c r="D18" s="14">
        <v>1473280</v>
      </c>
      <c r="E18" s="14">
        <v>1571087</v>
      </c>
      <c r="F18" s="14">
        <v>1854620</v>
      </c>
      <c r="G18" s="14">
        <v>3001155</v>
      </c>
      <c r="H18" s="50">
        <v>3001155</v>
      </c>
      <c r="I18" s="50">
        <v>3001155</v>
      </c>
      <c r="J18" s="50">
        <v>3001155</v>
      </c>
      <c r="K18" s="50">
        <v>3001155</v>
      </c>
      <c r="L18" s="50">
        <v>3001155</v>
      </c>
      <c r="M18" s="50">
        <v>3001155</v>
      </c>
      <c r="N18" s="50">
        <v>3001155</v>
      </c>
      <c r="O18" s="50">
        <v>3001155</v>
      </c>
      <c r="P18" s="50">
        <v>3001155</v>
      </c>
      <c r="Q18" s="50">
        <v>3001155</v>
      </c>
      <c r="R18" s="10" t="s">
        <v>276</v>
      </c>
      <c r="T18" s="258"/>
    </row>
    <row r="19" spans="2:21" x14ac:dyDescent="0.2">
      <c r="B19" s="19" t="s">
        <v>62</v>
      </c>
      <c r="C19" s="14">
        <v>1573395</v>
      </c>
      <c r="D19" s="14">
        <v>1637796</v>
      </c>
      <c r="E19" s="14">
        <v>1554594</v>
      </c>
      <c r="F19" s="14">
        <v>1365367</v>
      </c>
      <c r="G19" s="14">
        <v>1410793</v>
      </c>
      <c r="H19" s="99">
        <f>'P&amp;L'!H$5*BSO!$T19</f>
        <v>1573936.3012070546</v>
      </c>
      <c r="I19" s="99">
        <f>'P&amp;L'!I$5*BSO!$T19</f>
        <v>1578487.3183546795</v>
      </c>
      <c r="J19" s="99">
        <f>'P&amp;L'!J$5*BSO!$T19</f>
        <v>1576309.6085762191</v>
      </c>
      <c r="K19" s="99">
        <f>'P&amp;L'!K$5*BSO!$T19</f>
        <v>1580665.475117171</v>
      </c>
      <c r="L19" s="99">
        <f>'P&amp;L'!L$5*BSO!$T19</f>
        <v>1583872.5762379307</v>
      </c>
      <c r="M19" s="99">
        <f>'P&amp;L'!M$5*BSO!$T19</f>
        <v>1585488.3696116619</v>
      </c>
      <c r="N19" s="99">
        <f>'P&amp;L'!N$5*BSO!$T19</f>
        <v>1587380.01485165</v>
      </c>
      <c r="O19" s="99">
        <f>'P&amp;L'!O$5*BSO!$T19</f>
        <v>1590742.4952660908</v>
      </c>
      <c r="P19" s="99">
        <f>'P&amp;L'!P$5*BSO!$T19</f>
        <v>1592709.8102924719</v>
      </c>
      <c r="Q19" s="99">
        <f>'P&amp;L'!Q$5*BSO!$T19</f>
        <v>1594940.0141280093</v>
      </c>
      <c r="R19" s="10" t="s">
        <v>161</v>
      </c>
      <c r="T19" s="258">
        <f>AVERAGE(C19:G19)/AVERAGE('P&amp;L'!C$5:G$5)</f>
        <v>2.5683033718684262E-2</v>
      </c>
    </row>
    <row r="20" spans="2:21" x14ac:dyDescent="0.2">
      <c r="B20" s="19" t="s">
        <v>63</v>
      </c>
      <c r="C20" s="14">
        <v>4594461</v>
      </c>
      <c r="D20" s="14">
        <v>4841861</v>
      </c>
      <c r="E20" s="14">
        <v>5104558</v>
      </c>
      <c r="F20" s="14">
        <v>5620331</v>
      </c>
      <c r="G20" s="14">
        <v>5537556</v>
      </c>
      <c r="H20" s="99">
        <f>'P&amp;L'!H$5*BSO!$T20</f>
        <v>5363102.2604330741</v>
      </c>
      <c r="I20" s="99">
        <f>'P&amp;L'!I$5*BSO!$T20</f>
        <v>5378609.6036038101</v>
      </c>
      <c r="J20" s="99">
        <f>'P&amp;L'!J$5*BSO!$T20</f>
        <v>5371189.1760893855</v>
      </c>
      <c r="K20" s="99">
        <f>'P&amp;L'!K$5*BSO!$T20</f>
        <v>5386031.5541919861</v>
      </c>
      <c r="L20" s="99">
        <f>'P&amp;L'!L$5*BSO!$T20</f>
        <v>5396959.5766646834</v>
      </c>
      <c r="M20" s="99">
        <f>'P&amp;L'!M$5*BSO!$T20</f>
        <v>5402465.3046210203</v>
      </c>
      <c r="N20" s="99">
        <f>'P&amp;L'!N$5*BSO!$T20</f>
        <v>5408910.9827941069</v>
      </c>
      <c r="O20" s="99">
        <f>'P&amp;L'!O$5*BSO!$T20</f>
        <v>5420368.4517510906</v>
      </c>
      <c r="P20" s="99">
        <f>'P&amp;L'!P$5*BSO!$T20</f>
        <v>5427071.9706018064</v>
      </c>
      <c r="Q20" s="99">
        <f>'P&amp;L'!Q$5*BSO!$T20</f>
        <v>5434671.2687579161</v>
      </c>
      <c r="R20" s="10" t="s">
        <v>161</v>
      </c>
      <c r="T20" s="258">
        <f>AVERAGE(C20:G20)/AVERAGE('P&amp;L'!C$5:G$5)</f>
        <v>8.7513539198391194E-2</v>
      </c>
    </row>
    <row r="21" spans="2:21" x14ac:dyDescent="0.2">
      <c r="B21" s="19" t="s">
        <v>64</v>
      </c>
      <c r="C21" s="14">
        <v>2699</v>
      </c>
      <c r="D21" s="14">
        <v>121271</v>
      </c>
      <c r="E21" s="14">
        <v>97031</v>
      </c>
      <c r="F21" s="14">
        <v>95712</v>
      </c>
      <c r="G21" s="14">
        <v>94396</v>
      </c>
      <c r="H21" s="50">
        <v>94396</v>
      </c>
      <c r="I21" s="50">
        <v>94396</v>
      </c>
      <c r="J21" s="50">
        <v>94396</v>
      </c>
      <c r="K21" s="50">
        <v>94396</v>
      </c>
      <c r="L21" s="50">
        <v>94396</v>
      </c>
      <c r="M21" s="50">
        <v>94396</v>
      </c>
      <c r="N21" s="50">
        <v>94396</v>
      </c>
      <c r="O21" s="50">
        <v>94396</v>
      </c>
      <c r="P21" s="50">
        <v>94396</v>
      </c>
      <c r="Q21" s="50">
        <v>94396</v>
      </c>
      <c r="R21" s="10" t="s">
        <v>276</v>
      </c>
      <c r="T21" s="258"/>
    </row>
    <row r="22" spans="2:21" x14ac:dyDescent="0.2">
      <c r="B22" s="19" t="s">
        <v>65</v>
      </c>
      <c r="C22" s="14">
        <v>0</v>
      </c>
      <c r="D22" s="14">
        <v>0</v>
      </c>
      <c r="E22" s="14">
        <v>730</v>
      </c>
      <c r="F22" s="14">
        <v>684</v>
      </c>
      <c r="G22" s="14">
        <v>942</v>
      </c>
      <c r="H22" s="50">
        <v>942</v>
      </c>
      <c r="I22" s="50">
        <v>942</v>
      </c>
      <c r="J22" s="50">
        <v>942</v>
      </c>
      <c r="K22" s="50">
        <v>942</v>
      </c>
      <c r="L22" s="50">
        <v>942</v>
      </c>
      <c r="M22" s="50">
        <v>942</v>
      </c>
      <c r="N22" s="50">
        <v>942</v>
      </c>
      <c r="O22" s="50">
        <v>942</v>
      </c>
      <c r="P22" s="50">
        <v>942</v>
      </c>
      <c r="Q22" s="50">
        <v>942</v>
      </c>
      <c r="R22" s="10" t="s">
        <v>276</v>
      </c>
      <c r="T22" s="258"/>
    </row>
    <row r="23" spans="2:21" x14ac:dyDescent="0.2">
      <c r="B23" s="19" t="s">
        <v>56</v>
      </c>
      <c r="C23" s="14">
        <v>0</v>
      </c>
      <c r="D23" s="14">
        <v>0</v>
      </c>
      <c r="E23" s="14">
        <v>0</v>
      </c>
      <c r="F23" s="14">
        <v>0</v>
      </c>
      <c r="G23" s="14">
        <v>221008</v>
      </c>
      <c r="H23" s="50">
        <v>221008</v>
      </c>
      <c r="I23" s="50">
        <v>221008</v>
      </c>
      <c r="J23" s="50">
        <v>221008</v>
      </c>
      <c r="K23" s="50">
        <v>221008</v>
      </c>
      <c r="L23" s="50">
        <v>221008</v>
      </c>
      <c r="M23" s="50">
        <v>221008</v>
      </c>
      <c r="N23" s="50">
        <v>221008</v>
      </c>
      <c r="O23" s="50">
        <v>221008</v>
      </c>
      <c r="P23" s="50">
        <v>221008</v>
      </c>
      <c r="Q23" s="50">
        <v>221008</v>
      </c>
      <c r="R23" s="10" t="s">
        <v>276</v>
      </c>
      <c r="T23" s="258"/>
    </row>
    <row r="24" spans="2:21" x14ac:dyDescent="0.2">
      <c r="B24" s="20" t="s">
        <v>66</v>
      </c>
      <c r="C24" s="16">
        <v>724316</v>
      </c>
      <c r="D24" s="16">
        <v>720209</v>
      </c>
      <c r="E24" s="16">
        <v>699758</v>
      </c>
      <c r="F24" s="16">
        <v>712522</v>
      </c>
      <c r="G24" s="16">
        <v>789497</v>
      </c>
      <c r="H24" s="256">
        <f>'P&amp;L'!H$5*BSO!$T24</f>
        <v>760950.53503623873</v>
      </c>
      <c r="I24" s="256">
        <f>'P&amp;L'!I$5*BSO!$T24</f>
        <v>763150.81399974471</v>
      </c>
      <c r="J24" s="256">
        <f>'P&amp;L'!J$5*BSO!$T24</f>
        <v>762097.95727371192</v>
      </c>
      <c r="K24" s="256">
        <f>'P&amp;L'!K$5*BSO!$T24</f>
        <v>764203.88682901964</v>
      </c>
      <c r="L24" s="256">
        <f>'P&amp;L'!L$5*BSO!$T24</f>
        <v>765754.42309397901</v>
      </c>
      <c r="M24" s="256">
        <f>'P&amp;L'!M$5*BSO!$T24</f>
        <v>766535.61025594082</v>
      </c>
      <c r="N24" s="256">
        <f>'P&amp;L'!N$5*BSO!$T24</f>
        <v>767450.16344107536</v>
      </c>
      <c r="O24" s="256">
        <f>'P&amp;L'!O$5*BSO!$T24</f>
        <v>769075.82088887389</v>
      </c>
      <c r="P24" s="256">
        <f>'P&amp;L'!P$5*BSO!$T24</f>
        <v>770026.95812407287</v>
      </c>
      <c r="Q24" s="256">
        <f>'P&amp;L'!Q$5*BSO!$T24</f>
        <v>771105.19413692201</v>
      </c>
      <c r="R24" s="10" t="s">
        <v>161</v>
      </c>
      <c r="T24" s="258">
        <f>AVERAGE(C24:G24)/AVERAGE('P&amp;L'!C$5:G$5)</f>
        <v>1.2416968993344006E-2</v>
      </c>
    </row>
    <row r="25" spans="2:21" ht="17" thickBot="1" x14ac:dyDescent="0.25">
      <c r="B25" s="11" t="s">
        <v>67</v>
      </c>
      <c r="C25" s="246">
        <f>SUM(C4:C24)</f>
        <v>37068420</v>
      </c>
      <c r="D25" s="246">
        <f t="shared" ref="D25:Q25" si="1">SUM(D4:D24)</f>
        <v>36313896</v>
      </c>
      <c r="E25" s="246">
        <f t="shared" si="1"/>
        <v>37855269</v>
      </c>
      <c r="F25" s="246">
        <f t="shared" si="1"/>
        <v>41220959</v>
      </c>
      <c r="G25" s="246">
        <f t="shared" si="1"/>
        <v>44328443</v>
      </c>
      <c r="H25" s="257">
        <f t="shared" si="1"/>
        <v>45853813.666271165</v>
      </c>
      <c r="I25" s="257">
        <f t="shared" si="1"/>
        <v>46649884.078265473</v>
      </c>
      <c r="J25" s="257">
        <f t="shared" si="1"/>
        <v>47345753.251277097</v>
      </c>
      <c r="K25" s="257">
        <f t="shared" si="1"/>
        <v>48141032.652823471</v>
      </c>
      <c r="L25" s="257">
        <f t="shared" si="1"/>
        <v>48922582.476252764</v>
      </c>
      <c r="M25" s="257">
        <f t="shared" si="1"/>
        <v>49682446.049415804</v>
      </c>
      <c r="N25" s="257">
        <f t="shared" si="1"/>
        <v>50448118.346419387</v>
      </c>
      <c r="O25" s="257">
        <f t="shared" si="1"/>
        <v>51238417.563908078</v>
      </c>
      <c r="P25" s="257">
        <f t="shared" si="1"/>
        <v>52010223.21589198</v>
      </c>
      <c r="Q25" s="257">
        <f t="shared" si="1"/>
        <v>52787968.001887731</v>
      </c>
      <c r="R25" s="10"/>
      <c r="T25" s="258"/>
    </row>
    <row r="26" spans="2:21" x14ac:dyDescent="0.2">
      <c r="B26" s="30" t="s">
        <v>68</v>
      </c>
      <c r="C26" s="14">
        <v>6741710</v>
      </c>
      <c r="D26" s="14">
        <v>6086975</v>
      </c>
      <c r="E26" s="14">
        <v>6746361</v>
      </c>
      <c r="F26" s="14">
        <v>8137526</v>
      </c>
      <c r="G26" s="14">
        <v>7216739</v>
      </c>
      <c r="H26" s="99">
        <f>'Working Capital'!H7</f>
        <v>7283151.3912484292</v>
      </c>
      <c r="I26" s="99">
        <f>'Working Capital'!I7</f>
        <v>7304210.5324887093</v>
      </c>
      <c r="J26" s="99">
        <f>'Working Capital'!J7</f>
        <v>7294133.5109532326</v>
      </c>
      <c r="K26" s="99">
        <f>'Working Capital'!K7</f>
        <v>7314289.6223749574</v>
      </c>
      <c r="L26" s="99">
        <f>'Working Capital'!L7</f>
        <v>7329129.9961382532</v>
      </c>
      <c r="M26" s="99">
        <f>'Working Capital'!M7</f>
        <v>7336606.8347808588</v>
      </c>
      <c r="N26" s="99">
        <f>'Working Capital'!N7</f>
        <v>7345360.1360744396</v>
      </c>
      <c r="O26" s="99">
        <f>'Working Capital'!O7</f>
        <v>7360919.5039406577</v>
      </c>
      <c r="P26" s="99">
        <f>'Working Capital'!P7</f>
        <v>7370022.9556879913</v>
      </c>
      <c r="Q26" s="99">
        <f>'Working Capital'!Q7</f>
        <v>7380342.8855066886</v>
      </c>
      <c r="R26" s="10" t="s">
        <v>275</v>
      </c>
      <c r="T26" s="258"/>
    </row>
    <row r="27" spans="2:21" x14ac:dyDescent="0.2">
      <c r="B27" s="19" t="s">
        <v>69</v>
      </c>
      <c r="C27" s="14">
        <v>2575550</v>
      </c>
      <c r="D27" s="14">
        <v>2326128</v>
      </c>
      <c r="E27" s="14">
        <v>1650511</v>
      </c>
      <c r="F27" s="14">
        <v>1360756</v>
      </c>
      <c r="G27" s="14">
        <v>1405116</v>
      </c>
      <c r="H27" s="99">
        <f>G27+Financing!H28</f>
        <v>1454303.1231058508</v>
      </c>
      <c r="I27" s="99">
        <f>H27+Financing!I28</f>
        <v>1454303.1231058508</v>
      </c>
      <c r="J27" s="99">
        <f>I27+Financing!J28</f>
        <v>1454303.1231058508</v>
      </c>
      <c r="K27" s="99">
        <f>J27+Financing!K28</f>
        <v>1454303.1231058508</v>
      </c>
      <c r="L27" s="99">
        <f>K27+Financing!L28</f>
        <v>1454303.1231058508</v>
      </c>
      <c r="M27" s="99">
        <f>L27+Financing!M28</f>
        <v>1454303.1231058508</v>
      </c>
      <c r="N27" s="99">
        <f>M27+Financing!N28</f>
        <v>1454303.1231058508</v>
      </c>
      <c r="O27" s="99">
        <f>N27+Financing!O28</f>
        <v>1454303.1231058508</v>
      </c>
      <c r="P27" s="99">
        <f>O27+Financing!P28</f>
        <v>1454303.1231058508</v>
      </c>
      <c r="Q27" s="99">
        <f>P27+Financing!Q28</f>
        <v>1454303.1231058508</v>
      </c>
      <c r="R27" s="10" t="s">
        <v>278</v>
      </c>
      <c r="T27" s="258"/>
    </row>
    <row r="28" spans="2:21" x14ac:dyDescent="0.2">
      <c r="B28" s="19" t="s">
        <v>70</v>
      </c>
      <c r="C28" s="14">
        <v>3020870</v>
      </c>
      <c r="D28" s="14">
        <v>2847145</v>
      </c>
      <c r="E28" s="14">
        <v>3196735</v>
      </c>
      <c r="F28" s="14">
        <v>3522839</v>
      </c>
      <c r="G28" s="14">
        <v>3670453</v>
      </c>
      <c r="H28" s="99">
        <f>'P&amp;L'!H$5*BSO!$T28</f>
        <v>3392907.5974896317</v>
      </c>
      <c r="I28" s="99">
        <f>'P&amp;L'!I$5*BSO!$T28</f>
        <v>3402718.1474112775</v>
      </c>
      <c r="J28" s="99">
        <f>'P&amp;L'!J$5*BSO!$T28</f>
        <v>3398023.6956429314</v>
      </c>
      <c r="K28" s="99">
        <f>'P&amp;L'!K$5*BSO!$T28</f>
        <v>3407413.562735464</v>
      </c>
      <c r="L28" s="99">
        <f>'P&amp;L'!L$5*BSO!$T28</f>
        <v>3414327.0558356601</v>
      </c>
      <c r="M28" s="99">
        <f>'P&amp;L'!M$5*BSO!$T28</f>
        <v>3417810.1940093595</v>
      </c>
      <c r="N28" s="99">
        <f>'P&amp;L'!N$5*BSO!$T28</f>
        <v>3421887.9813388651</v>
      </c>
      <c r="O28" s="99">
        <f>'P&amp;L'!O$5*BSO!$T28</f>
        <v>3429136.4229281577</v>
      </c>
      <c r="P28" s="99">
        <f>'P&amp;L'!P$5*BSO!$T28</f>
        <v>3433377.330323549</v>
      </c>
      <c r="Q28" s="99">
        <f>'P&amp;L'!Q$5*BSO!$T28</f>
        <v>3438184.9426339976</v>
      </c>
      <c r="R28" s="10" t="s">
        <v>161</v>
      </c>
      <c r="T28" s="258">
        <f>AVERAGE(C28:G28)/AVERAGE('P&amp;L'!C$5:G$5)</f>
        <v>5.5364477052774169E-2</v>
      </c>
    </row>
    <row r="29" spans="2:21" x14ac:dyDescent="0.2">
      <c r="B29" s="19" t="s">
        <v>71</v>
      </c>
      <c r="C29" s="14">
        <v>6528</v>
      </c>
      <c r="D29" s="14">
        <v>13823</v>
      </c>
      <c r="E29" s="14">
        <v>21115</v>
      </c>
      <c r="F29" s="14">
        <v>2280</v>
      </c>
      <c r="G29" s="14">
        <v>3343</v>
      </c>
      <c r="H29" s="99">
        <f>'P&amp;L'!H$5*BSO!$T29</f>
        <v>9827.0521049330091</v>
      </c>
      <c r="I29" s="99">
        <f>'P&amp;L'!I$5*BSO!$T29</f>
        <v>9855.4669032992806</v>
      </c>
      <c r="J29" s="99">
        <f>'P&amp;L'!J$5*BSO!$T29</f>
        <v>9841.8701221297124</v>
      </c>
      <c r="K29" s="99">
        <f>'P&amp;L'!K$5*BSO!$T29</f>
        <v>9869.0664752649955</v>
      </c>
      <c r="L29" s="99">
        <f>'P&amp;L'!L$5*BSO!$T29</f>
        <v>9889.0903795331196</v>
      </c>
      <c r="M29" s="99">
        <f>'P&amp;L'!M$5*BSO!$T29</f>
        <v>9899.1787710787521</v>
      </c>
      <c r="N29" s="99">
        <f>'P&amp;L'!N$5*BSO!$T29</f>
        <v>9910.9894754402667</v>
      </c>
      <c r="O29" s="99">
        <f>'P&amp;L'!O$5*BSO!$T29</f>
        <v>9931.9835081779238</v>
      </c>
      <c r="P29" s="99">
        <f>'P&amp;L'!P$5*BSO!$T29</f>
        <v>9944.2666655434641</v>
      </c>
      <c r="Q29" s="99">
        <f>'P&amp;L'!Q$5*BSO!$T29</f>
        <v>9958.1911993887279</v>
      </c>
      <c r="R29" s="10" t="s">
        <v>161</v>
      </c>
      <c r="T29" s="258">
        <f>AVERAGE(C29:G29)/AVERAGE('P&amp;L'!C$5:G$5)</f>
        <v>1.6035497140049723E-4</v>
      </c>
    </row>
    <row r="30" spans="2:21" x14ac:dyDescent="0.2">
      <c r="B30" s="19" t="s">
        <v>72</v>
      </c>
      <c r="C30" s="14">
        <v>95963</v>
      </c>
      <c r="D30" s="14">
        <v>76575</v>
      </c>
      <c r="E30" s="14">
        <v>74263</v>
      </c>
      <c r="F30" s="14">
        <v>100353</v>
      </c>
      <c r="G30" s="14">
        <v>185687</v>
      </c>
      <c r="H30" s="99">
        <f>'P&amp;L'!H$5*BSO!$T30</f>
        <v>111199.13930311984</v>
      </c>
      <c r="I30" s="99">
        <f>'P&amp;L'!I$5*BSO!$T30</f>
        <v>111520.67022491225</v>
      </c>
      <c r="J30" s="99">
        <f>'P&amp;L'!J$5*BSO!$T30</f>
        <v>111366.8142824379</v>
      </c>
      <c r="K30" s="99">
        <f>'P&amp;L'!K$5*BSO!$T30</f>
        <v>111674.55774696163</v>
      </c>
      <c r="L30" s="99">
        <f>'P&amp;L'!L$5*BSO!$T30</f>
        <v>111901.14054069543</v>
      </c>
      <c r="M30" s="99">
        <f>'P&amp;L'!M$5*BSO!$T30</f>
        <v>112015.29689652304</v>
      </c>
      <c r="N30" s="99">
        <f>'P&amp;L'!N$5*BSO!$T30</f>
        <v>112148.94228127731</v>
      </c>
      <c r="O30" s="99">
        <f>'P&amp;L'!O$5*BSO!$T30</f>
        <v>112386.50267538137</v>
      </c>
      <c r="P30" s="99">
        <f>'P&amp;L'!P$5*BSO!$T30</f>
        <v>112525.49415648761</v>
      </c>
      <c r="Q30" s="99">
        <f>'P&amp;L'!Q$5*BSO!$T30</f>
        <v>112683.05882209197</v>
      </c>
      <c r="R30" s="10" t="s">
        <v>161</v>
      </c>
      <c r="T30" s="258">
        <f>AVERAGE(C30:G30)/AVERAGE('P&amp;L'!C$5:G$5)</f>
        <v>1.8145151376332551E-3</v>
      </c>
    </row>
    <row r="31" spans="2:21" x14ac:dyDescent="0.2">
      <c r="B31" s="19" t="s">
        <v>73</v>
      </c>
      <c r="C31" s="14">
        <v>714307</v>
      </c>
      <c r="D31" s="14">
        <v>575944</v>
      </c>
      <c r="E31" s="14">
        <v>770967</v>
      </c>
      <c r="F31" s="14">
        <v>649555</v>
      </c>
      <c r="G31" s="14">
        <v>672544</v>
      </c>
      <c r="H31" s="99">
        <f>'P&amp;L'!H5*BSO!$T31</f>
        <v>706067.92343234387</v>
      </c>
      <c r="I31" s="99">
        <f>'P&amp;L'!I5*BSO!$T31</f>
        <v>708109.51001018961</v>
      </c>
      <c r="J31" s="99">
        <f>'P&amp;L'!J5*BSO!$T31</f>
        <v>707132.5892669952</v>
      </c>
      <c r="K31" s="99">
        <f>'P&amp;L'!K5*BSO!$T31</f>
        <v>709086.63127044833</v>
      </c>
      <c r="L31" s="99">
        <f>'P&amp;L'!L5*BSO!$T31</f>
        <v>710525.33703435748</v>
      </c>
      <c r="M31" s="99">
        <f>'P&amp;L'!M5*BSO!$T31</f>
        <v>711250.18204314925</v>
      </c>
      <c r="N31" s="99">
        <f>'P&amp;L'!N5*BSO!$T31</f>
        <v>712098.77421644423</v>
      </c>
      <c r="O31" s="99">
        <f>'P&amp;L'!O5*BSO!$T31</f>
        <v>713607.18314124341</v>
      </c>
      <c r="P31" s="99">
        <f>'P&amp;L'!P5*BSO!$T31</f>
        <v>714489.72078545985</v>
      </c>
      <c r="Q31" s="99">
        <f>'P&amp;L'!Q5*BSO!$T31</f>
        <v>715490.19036595116</v>
      </c>
      <c r="R31" s="10" t="s">
        <v>161</v>
      </c>
      <c r="T31" s="258">
        <f>AVERAGE(C31:G31)/AVERAGE('P&amp;L'!C$5:G$5)</f>
        <v>1.1521410536936783E-2</v>
      </c>
    </row>
    <row r="32" spans="2:21" x14ac:dyDescent="0.2">
      <c r="B32" s="19" t="s">
        <v>74</v>
      </c>
      <c r="C32" s="31">
        <v>0</v>
      </c>
      <c r="D32" s="31">
        <v>0</v>
      </c>
      <c r="E32" s="31">
        <v>0</v>
      </c>
      <c r="F32" s="31">
        <v>0</v>
      </c>
      <c r="G32" s="31">
        <v>1119806</v>
      </c>
      <c r="H32" s="52">
        <f>$G$32</f>
        <v>1119806</v>
      </c>
      <c r="I32" s="52">
        <f t="shared" ref="I32:Q32" si="2">$G$32</f>
        <v>1119806</v>
      </c>
      <c r="J32" s="52">
        <f t="shared" si="2"/>
        <v>1119806</v>
      </c>
      <c r="K32" s="52">
        <f t="shared" si="2"/>
        <v>1119806</v>
      </c>
      <c r="L32" s="52">
        <f t="shared" si="2"/>
        <v>1119806</v>
      </c>
      <c r="M32" s="52">
        <f t="shared" si="2"/>
        <v>1119806</v>
      </c>
      <c r="N32" s="52">
        <f t="shared" si="2"/>
        <v>1119806</v>
      </c>
      <c r="O32" s="52">
        <f t="shared" si="2"/>
        <v>1119806</v>
      </c>
      <c r="P32" s="52">
        <f t="shared" si="2"/>
        <v>1119806</v>
      </c>
      <c r="Q32" s="52">
        <f t="shared" si="2"/>
        <v>1119806</v>
      </c>
      <c r="R32" s="10" t="s">
        <v>276</v>
      </c>
      <c r="T32" s="258"/>
      <c r="U32" s="304"/>
    </row>
    <row r="33" spans="2:20" x14ac:dyDescent="0.2">
      <c r="B33" s="20" t="s">
        <v>75</v>
      </c>
      <c r="C33" s="16">
        <v>2525649</v>
      </c>
      <c r="D33" s="16">
        <v>2853101</v>
      </c>
      <c r="E33" s="16">
        <v>3284412</v>
      </c>
      <c r="F33" s="16">
        <v>3763161</v>
      </c>
      <c r="G33" s="16">
        <v>2861341</v>
      </c>
      <c r="H33" s="256">
        <f>'P&amp;L'!H$5*BSO!$T33</f>
        <v>3190398.4091976597</v>
      </c>
      <c r="I33" s="256">
        <f>'P&amp;L'!I$5*BSO!$T33</f>
        <v>3199623.4063318376</v>
      </c>
      <c r="J33" s="256">
        <f>'P&amp;L'!J$5*BSO!$T33</f>
        <v>3195209.1477576084</v>
      </c>
      <c r="K33" s="256">
        <f>'P&amp;L'!K$5*BSO!$T33</f>
        <v>3204038.5709510832</v>
      </c>
      <c r="L33" s="256">
        <f>'P&amp;L'!L$5*BSO!$T33</f>
        <v>3210539.4250872778</v>
      </c>
      <c r="M33" s="256">
        <f>'P&amp;L'!M$5*BSO!$T33</f>
        <v>3213814.6685677096</v>
      </c>
      <c r="N33" s="256">
        <f>'P&amp;L'!N$5*BSO!$T33</f>
        <v>3217649.068955957</v>
      </c>
      <c r="O33" s="256">
        <f>'P&amp;L'!O$5*BSO!$T33</f>
        <v>3224464.8798353192</v>
      </c>
      <c r="P33" s="256">
        <f>'P&amp;L'!P$5*BSO!$T33</f>
        <v>3228452.6643001307</v>
      </c>
      <c r="Q33" s="256">
        <f>'P&amp;L'!Q$5*BSO!$T33</f>
        <v>3232973.3293128307</v>
      </c>
      <c r="R33" s="10" t="s">
        <v>161</v>
      </c>
      <c r="T33" s="258">
        <f>AVERAGE(C33:G33)/AVERAGE('P&amp;L'!C$5:G$5)</f>
        <v>5.2059991155055559E-2</v>
      </c>
    </row>
    <row r="34" spans="2:20" x14ac:dyDescent="0.2">
      <c r="B34" s="19" t="s">
        <v>69</v>
      </c>
      <c r="C34" s="14">
        <v>6426881</v>
      </c>
      <c r="D34" s="14">
        <v>6501122</v>
      </c>
      <c r="E34" s="14">
        <v>7008500</v>
      </c>
      <c r="F34" s="14">
        <v>8089724</v>
      </c>
      <c r="G34" s="14">
        <v>9496070</v>
      </c>
      <c r="H34" s="99">
        <f>G34+Financing!H29</f>
        <v>9828486.9420972969</v>
      </c>
      <c r="I34" s="99">
        <f>H34+Financing!I29</f>
        <v>9828486.9420972969</v>
      </c>
      <c r="J34" s="99">
        <f>I34+Financing!J29</f>
        <v>9828486.9420972969</v>
      </c>
      <c r="K34" s="99">
        <f>J34+Financing!K29</f>
        <v>9828486.9420972969</v>
      </c>
      <c r="L34" s="99">
        <f>K34+Financing!L29</f>
        <v>9828486.9420972969</v>
      </c>
      <c r="M34" s="99">
        <f>L34+Financing!M29</f>
        <v>9828486.9420972969</v>
      </c>
      <c r="N34" s="99">
        <f>M34+Financing!N29</f>
        <v>9828486.9420972969</v>
      </c>
      <c r="O34" s="99">
        <f>N34+Financing!O29</f>
        <v>9828486.9420972969</v>
      </c>
      <c r="P34" s="99">
        <f>O34+Financing!P29</f>
        <v>9828486.9420972969</v>
      </c>
      <c r="Q34" s="99">
        <f>P34+Financing!Q29</f>
        <v>9828486.9420972969</v>
      </c>
      <c r="R34" s="10" t="s">
        <v>278</v>
      </c>
      <c r="T34" s="258"/>
    </row>
    <row r="35" spans="2:20" x14ac:dyDescent="0.2">
      <c r="B35" s="19" t="s">
        <v>70</v>
      </c>
      <c r="C35" s="14">
        <v>14320</v>
      </c>
      <c r="D35" s="14">
        <v>6590</v>
      </c>
      <c r="E35" s="14">
        <v>7771</v>
      </c>
      <c r="F35" s="14">
        <v>6490</v>
      </c>
      <c r="G35" s="14">
        <v>17995</v>
      </c>
      <c r="H35" s="99">
        <f>'P&amp;L'!H$5*BSO!$T35</f>
        <v>11095.267519184279</v>
      </c>
      <c r="I35" s="99">
        <f>'P&amp;L'!I$5*BSO!$T35</f>
        <v>11127.349346573716</v>
      </c>
      <c r="J35" s="99">
        <f>'P&amp;L'!J$5*BSO!$T35</f>
        <v>11111.997853280987</v>
      </c>
      <c r="K35" s="99">
        <f>'P&amp;L'!K$5*BSO!$T35</f>
        <v>11142.703990824584</v>
      </c>
      <c r="L35" s="99">
        <f>'P&amp;L'!L$5*BSO!$T35</f>
        <v>11165.312049910975</v>
      </c>
      <c r="M35" s="99">
        <f>'P&amp;L'!M$5*BSO!$T35</f>
        <v>11176.702383638918</v>
      </c>
      <c r="N35" s="99">
        <f>'P&amp;L'!N$5*BSO!$T35</f>
        <v>11190.037300670163</v>
      </c>
      <c r="O35" s="99">
        <f>'P&amp;L'!O$5*BSO!$T35</f>
        <v>11213.740686695142</v>
      </c>
      <c r="P35" s="99">
        <f>'P&amp;L'!P$5*BSO!$T35</f>
        <v>11227.609028441544</v>
      </c>
      <c r="Q35" s="99">
        <f>'P&amp;L'!Q$5*BSO!$T35</f>
        <v>11243.330572038081</v>
      </c>
      <c r="R35" s="10" t="s">
        <v>161</v>
      </c>
      <c r="T35" s="258">
        <f>AVERAGE(C35:G35)/AVERAGE('P&amp;L'!C$5:G$5)</f>
        <v>1.8104934081162983E-4</v>
      </c>
    </row>
    <row r="36" spans="2:20" x14ac:dyDescent="0.2">
      <c r="B36" s="19" t="s">
        <v>77</v>
      </c>
      <c r="C36" s="14">
        <v>62574</v>
      </c>
      <c r="D36" s="14">
        <v>69926</v>
      </c>
      <c r="E36" s="14">
        <v>73226</v>
      </c>
      <c r="F36" s="14">
        <v>68610</v>
      </c>
      <c r="G36" s="14">
        <v>89267</v>
      </c>
      <c r="H36" s="99">
        <f>'P&amp;L'!H$5*BSO!$T36</f>
        <v>75880.686073392033</v>
      </c>
      <c r="I36" s="99">
        <f>'P&amp;L'!I$5*BSO!$T36</f>
        <v>76100.094128996774</v>
      </c>
      <c r="J36" s="99">
        <f>'P&amp;L'!J$5*BSO!$T36</f>
        <v>75995.105056737884</v>
      </c>
      <c r="K36" s="99">
        <f>'P&amp;L'!K$5*BSO!$T36</f>
        <v>76205.104750701401</v>
      </c>
      <c r="L36" s="99">
        <f>'P&amp;L'!L$5*BSO!$T36</f>
        <v>76359.72157551405</v>
      </c>
      <c r="M36" s="99">
        <f>'P&amp;L'!M$5*BSO!$T36</f>
        <v>76437.620223418373</v>
      </c>
      <c r="N36" s="99">
        <f>'P&amp;L'!N$5*BSO!$T36</f>
        <v>76528.817903087926</v>
      </c>
      <c r="O36" s="99">
        <f>'P&amp;L'!O$5*BSO!$T36</f>
        <v>76690.925683790643</v>
      </c>
      <c r="P36" s="99">
        <f>'P&amp;L'!P$5*BSO!$T36</f>
        <v>76785.771462371267</v>
      </c>
      <c r="Q36" s="99">
        <f>'P&amp;L'!Q$5*BSO!$T36</f>
        <v>76893.291313711059</v>
      </c>
      <c r="R36" s="10" t="s">
        <v>161</v>
      </c>
      <c r="T36" s="258">
        <f>AVERAGE(C36:G36)/AVERAGE('P&amp;L'!C$5:G$5)</f>
        <v>1.238198914101701E-3</v>
      </c>
    </row>
    <row r="37" spans="2:20" x14ac:dyDescent="0.2">
      <c r="B37" s="19" t="s">
        <v>78</v>
      </c>
      <c r="C37" s="14">
        <v>6012</v>
      </c>
      <c r="D37" s="14">
        <v>5800</v>
      </c>
      <c r="E37" s="14">
        <v>9586</v>
      </c>
      <c r="F37" s="14">
        <v>8759</v>
      </c>
      <c r="G37" s="14">
        <v>127014</v>
      </c>
      <c r="H37" s="99">
        <f>'P&amp;L'!H$5*BSO!$T37</f>
        <v>32800.178521192349</v>
      </c>
      <c r="I37" s="99">
        <f>'P&amp;L'!I$5*BSO!$T37</f>
        <v>32895.019827527693</v>
      </c>
      <c r="J37" s="99">
        <f>'P&amp;L'!J$5*BSO!$T37</f>
        <v>32849.637260618176</v>
      </c>
      <c r="K37" s="99">
        <f>'P&amp;L'!K$5*BSO!$T37</f>
        <v>32940.411709398693</v>
      </c>
      <c r="L37" s="99">
        <f>'P&amp;L'!L$5*BSO!$T37</f>
        <v>33007.24636415299</v>
      </c>
      <c r="M37" s="99">
        <f>'P&amp;L'!M$5*BSO!$T37</f>
        <v>33040.918826673296</v>
      </c>
      <c r="N37" s="99">
        <f>'P&amp;L'!N$5*BSO!$T37</f>
        <v>33080.339927465488</v>
      </c>
      <c r="O37" s="99">
        <f>'P&amp;L'!O$5*BSO!$T37</f>
        <v>33150.412622137497</v>
      </c>
      <c r="P37" s="99">
        <f>'P&amp;L'!P$5*BSO!$T37</f>
        <v>33191.4106498361</v>
      </c>
      <c r="Q37" s="99">
        <f>'P&amp;L'!Q$5*BSO!$T37</f>
        <v>33237.88717108297</v>
      </c>
      <c r="R37" s="10" t="s">
        <v>161</v>
      </c>
      <c r="T37" s="258">
        <f>AVERAGE(C37:G37)/AVERAGE('P&amp;L'!C$5:G$5)</f>
        <v>5.352237509819184E-4</v>
      </c>
    </row>
    <row r="38" spans="2:20" x14ac:dyDescent="0.2">
      <c r="B38" s="19" t="s">
        <v>79</v>
      </c>
      <c r="C38" s="14">
        <v>798450</v>
      </c>
      <c r="D38" s="14">
        <v>787610</v>
      </c>
      <c r="E38" s="14">
        <v>511252</v>
      </c>
      <c r="F38" s="14">
        <v>326699</v>
      </c>
      <c r="G38" s="14">
        <v>398611</v>
      </c>
      <c r="H38" s="99">
        <f>'P&amp;L'!H$5*BSO!$T38</f>
        <v>589055.90406528546</v>
      </c>
      <c r="I38" s="99">
        <f>'P&amp;L'!I$5*BSO!$T38</f>
        <v>590759.15185126953</v>
      </c>
      <c r="J38" s="99">
        <f>'P&amp;L'!J$5*BSO!$T38</f>
        <v>589944.12979392253</v>
      </c>
      <c r="K38" s="99">
        <f>'P&amp;L'!K$5*BSO!$T38</f>
        <v>591574.34119529906</v>
      </c>
      <c r="L38" s="99">
        <f>'P&amp;L'!L$5*BSO!$T38</f>
        <v>592774.61966188578</v>
      </c>
      <c r="M38" s="99">
        <f>'P&amp;L'!M$5*BSO!$T38</f>
        <v>593379.34084775322</v>
      </c>
      <c r="N38" s="99">
        <f>'P&amp;L'!N$5*BSO!$T38</f>
        <v>594087.30138983973</v>
      </c>
      <c r="O38" s="99">
        <f>'P&amp;L'!O$5*BSO!$T38</f>
        <v>595345.73156831088</v>
      </c>
      <c r="P38" s="99">
        <f>'P&amp;L'!P$5*BSO!$T38</f>
        <v>596082.01202042156</v>
      </c>
      <c r="Q38" s="99">
        <f>'P&amp;L'!Q$5*BSO!$T38</f>
        <v>596916.68032026617</v>
      </c>
      <c r="R38" s="272" t="s">
        <v>161</v>
      </c>
      <c r="T38" s="258">
        <f>AVERAGE(C38:G38)/AVERAGE('P&amp;L'!C$5:G$5)</f>
        <v>9.6120425170297605E-3</v>
      </c>
    </row>
    <row r="39" spans="2:20" x14ac:dyDescent="0.2">
      <c r="B39" s="19" t="s">
        <v>73</v>
      </c>
      <c r="C39" s="14">
        <v>1001397</v>
      </c>
      <c r="D39" s="14">
        <v>1074346</v>
      </c>
      <c r="E39" s="14">
        <v>1028298</v>
      </c>
      <c r="F39" s="14">
        <v>298121</v>
      </c>
      <c r="G39" s="14">
        <v>343811</v>
      </c>
      <c r="H39" s="99">
        <f>'P&amp;L'!H13*BSO!$T39</f>
        <v>9128.0461077808923</v>
      </c>
      <c r="I39" s="99">
        <f>'P&amp;L'!I13*BSO!$T39</f>
        <v>9182.4685672524665</v>
      </c>
      <c r="J39" s="99">
        <f>'P&amp;L'!J13*BSO!$T39</f>
        <v>9156.4268455197962</v>
      </c>
      <c r="K39" s="99">
        <f>'P&amp;L'!K13*BSO!$T39</f>
        <v>9208.5156341574839</v>
      </c>
      <c r="L39" s="99">
        <f>'P&amp;L'!L13*BSO!$T39</f>
        <v>9246.8671334168848</v>
      </c>
      <c r="M39" s="99">
        <f>'P&amp;L'!M13*BSO!$T39</f>
        <v>9266.18928636501</v>
      </c>
      <c r="N39" s="99">
        <f>'P&amp;L'!N13*BSO!$T39</f>
        <v>9288.8101605715128</v>
      </c>
      <c r="O39" s="99">
        <f>'P&amp;L'!O13*BSO!$T39</f>
        <v>9329.019733100984</v>
      </c>
      <c r="P39" s="99">
        <f>'P&amp;L'!P13*BSO!$T39</f>
        <v>9352.5454898312291</v>
      </c>
      <c r="Q39" s="99">
        <f>'P&amp;L'!Q13*BSO!$T39</f>
        <v>9379.214951605838</v>
      </c>
      <c r="R39" s="10" t="s">
        <v>161</v>
      </c>
      <c r="T39" s="258">
        <f>AVERAGE(C39:G39)/AVERAGE('P&amp;L'!C$5:G$5)</f>
        <v>1.2756384575634116E-2</v>
      </c>
    </row>
    <row r="40" spans="2:20" x14ac:dyDescent="0.2">
      <c r="B40" s="19" t="s">
        <v>74</v>
      </c>
      <c r="C40" s="14">
        <v>0</v>
      </c>
      <c r="D40" s="14">
        <v>0</v>
      </c>
      <c r="E40" s="14">
        <v>0</v>
      </c>
      <c r="F40" s="14">
        <v>0</v>
      </c>
      <c r="G40" s="14">
        <v>23787</v>
      </c>
      <c r="H40" s="50">
        <f>$G$40+421865</f>
        <v>445652</v>
      </c>
      <c r="I40" s="50">
        <f>$G$40+452963</f>
        <v>476750</v>
      </c>
      <c r="J40" s="50">
        <f>$G$40+452640</f>
        <v>476427</v>
      </c>
      <c r="K40" s="50">
        <f>$G$40+482841</f>
        <v>506628</v>
      </c>
      <c r="L40" s="50">
        <f>$G$40+507699</f>
        <v>531486</v>
      </c>
      <c r="M40" s="50">
        <f>$G$40+525140</f>
        <v>548927</v>
      </c>
      <c r="N40" s="50">
        <f>$G$40+543881</f>
        <v>567668</v>
      </c>
      <c r="O40" s="50">
        <f>$G$40+569507</f>
        <v>593294</v>
      </c>
      <c r="P40" s="50">
        <f>$G$40+588634</f>
        <v>612421</v>
      </c>
      <c r="Q40" s="50">
        <f>$G$40+609002</f>
        <v>632789</v>
      </c>
      <c r="R40" s="10" t="s">
        <v>323</v>
      </c>
      <c r="T40" s="258"/>
    </row>
    <row r="41" spans="2:20" x14ac:dyDescent="0.2">
      <c r="B41" s="20" t="s">
        <v>80</v>
      </c>
      <c r="C41" s="16">
        <v>87112</v>
      </c>
      <c r="D41" s="16">
        <v>105324</v>
      </c>
      <c r="E41" s="16">
        <v>115530</v>
      </c>
      <c r="F41" s="16">
        <v>212402</v>
      </c>
      <c r="G41" s="16">
        <v>389952</v>
      </c>
      <c r="H41" s="256">
        <f>'P&amp;L'!H$5*BSO!$T41</f>
        <v>189975.62216574184</v>
      </c>
      <c r="I41" s="256">
        <f>'P&amp;L'!I$5*BSO!$T41</f>
        <v>190524.93430337025</v>
      </c>
      <c r="J41" s="256">
        <f>'P&amp;L'!J$5*BSO!$T41</f>
        <v>190262.08264301898</v>
      </c>
      <c r="K41" s="256">
        <f>'P&amp;L'!K$5*BSO!$T41</f>
        <v>190787.8399151231</v>
      </c>
      <c r="L41" s="256">
        <f>'P&amp;L'!L$5*BSO!$T41</f>
        <v>191174.9400984644</v>
      </c>
      <c r="M41" s="256">
        <f>'P&amp;L'!M$5*BSO!$T41</f>
        <v>191369.96790945675</v>
      </c>
      <c r="N41" s="256">
        <f>'P&amp;L'!N$5*BSO!$T41</f>
        <v>191598.29130545954</v>
      </c>
      <c r="O41" s="256">
        <f>'P&amp;L'!O$5*BSO!$T41</f>
        <v>192004.14591867587</v>
      </c>
      <c r="P41" s="256">
        <f>'P&amp;L'!P$5*BSO!$T41</f>
        <v>192241.6027305215</v>
      </c>
      <c r="Q41" s="256">
        <f>'P&amp;L'!Q$5*BSO!$T41</f>
        <v>192510.79047394395</v>
      </c>
      <c r="R41" s="10" t="s">
        <v>161</v>
      </c>
      <c r="T41" s="258">
        <f>AVERAGE(C41:G41)/AVERAGE('P&amp;L'!C$5:G$5)</f>
        <v>3.0999668195396089E-3</v>
      </c>
    </row>
    <row r="42" spans="2:20" x14ac:dyDescent="0.2">
      <c r="B42" s="95" t="s">
        <v>81</v>
      </c>
      <c r="C42" s="161">
        <f>SUM(C26:C41)</f>
        <v>24077323</v>
      </c>
      <c r="D42" s="161">
        <f t="shared" ref="D42:G42" si="3">SUM(D26:D41)</f>
        <v>23330409</v>
      </c>
      <c r="E42" s="161">
        <f t="shared" si="3"/>
        <v>24498527</v>
      </c>
      <c r="F42" s="161">
        <f t="shared" si="3"/>
        <v>26547275</v>
      </c>
      <c r="G42" s="161">
        <f t="shared" si="3"/>
        <v>28021536</v>
      </c>
      <c r="H42" s="161">
        <f>SUM(H26:H41)</f>
        <v>28449735.282431845</v>
      </c>
      <c r="I42" s="161">
        <f t="shared" ref="I42:Q42" si="4">SUM(I26:I41)</f>
        <v>28525972.816598363</v>
      </c>
      <c r="J42" s="161">
        <f t="shared" si="4"/>
        <v>28504050.072681583</v>
      </c>
      <c r="K42" s="161">
        <f t="shared" si="4"/>
        <v>28577454.993952829</v>
      </c>
      <c r="L42" s="161">
        <f t="shared" si="4"/>
        <v>28634122.817102272</v>
      </c>
      <c r="M42" s="161">
        <f t="shared" si="4"/>
        <v>28667590.159749132</v>
      </c>
      <c r="N42" s="161">
        <f t="shared" si="4"/>
        <v>28705093.55553266</v>
      </c>
      <c r="O42" s="161">
        <f t="shared" si="4"/>
        <v>28764070.517444797</v>
      </c>
      <c r="P42" s="161">
        <f t="shared" si="4"/>
        <v>28802710.448503729</v>
      </c>
      <c r="Q42" s="161">
        <f t="shared" si="4"/>
        <v>28845198.857846744</v>
      </c>
      <c r="R42" s="10"/>
    </row>
    <row r="43" spans="2:20" x14ac:dyDescent="0.2">
      <c r="B43" s="47" t="s">
        <v>89</v>
      </c>
      <c r="C43" s="245">
        <f>'Balance Sheet Input'!C52</f>
        <v>12991097</v>
      </c>
      <c r="D43" s="245">
        <f>'Balance Sheet Input'!D52</f>
        <v>12983487</v>
      </c>
      <c r="E43" s="245">
        <f>'Balance Sheet Input'!E52</f>
        <v>13356742</v>
      </c>
      <c r="F43" s="245">
        <f>'Balance Sheet Input'!F52</f>
        <v>14673684</v>
      </c>
      <c r="G43" s="245">
        <f>'Balance Sheet Input'!G52</f>
        <v>16306907</v>
      </c>
      <c r="H43" s="245">
        <f>G43+'P&amp;L'!H15+Financing!H26</f>
        <v>17404077.92927232</v>
      </c>
      <c r="I43" s="245">
        <f>H43+'P&amp;L'!I15+Financing!I26</f>
        <v>18123911.085195813</v>
      </c>
      <c r="J43" s="245">
        <f>I43+'P&amp;L'!J15+Financing!J26</f>
        <v>18841702.775406331</v>
      </c>
      <c r="K43" s="245">
        <f>J43+'P&amp;L'!K15+Financing!K26</f>
        <v>19563577.816062178</v>
      </c>
      <c r="L43" s="245">
        <f>K43+'P&amp;L'!L15+Financing!L26</f>
        <v>20288459.311958693</v>
      </c>
      <c r="M43" s="245">
        <f>L43+'P&amp;L'!M15+Financing!M26</f>
        <v>21014855.5123417</v>
      </c>
      <c r="N43" s="245">
        <f>M43+'P&amp;L'!N15+Financing!N26</f>
        <v>21743025.010956064</v>
      </c>
      <c r="O43" s="245">
        <f>N43+'P&amp;L'!O15+Financing!O26</f>
        <v>22474346.623109423</v>
      </c>
      <c r="P43" s="245">
        <f>O43+'P&amp;L'!P15+Financing!P26</f>
        <v>23207512.46915137</v>
      </c>
      <c r="Q43" s="245">
        <f>P43+'P&amp;L'!Q15+Financing!Q26</f>
        <v>23942768.990777493</v>
      </c>
      <c r="R43" s="10"/>
    </row>
    <row r="44" spans="2:20" ht="17" thickBot="1" x14ac:dyDescent="0.25">
      <c r="B44" s="29" t="s">
        <v>90</v>
      </c>
      <c r="C44" s="23">
        <f>C42+C43</f>
        <v>37068420</v>
      </c>
      <c r="D44" s="23">
        <f>D42+D43</f>
        <v>36313896</v>
      </c>
      <c r="E44" s="23">
        <f>E42+E43</f>
        <v>37855269</v>
      </c>
      <c r="F44" s="23">
        <f>F42+F43</f>
        <v>41220959</v>
      </c>
      <c r="G44" s="23">
        <f>G42+G43</f>
        <v>44328443</v>
      </c>
      <c r="H44" s="23">
        <f t="shared" ref="H44:Q44" si="5">H42+H43</f>
        <v>45853813.211704165</v>
      </c>
      <c r="I44" s="23">
        <f t="shared" si="5"/>
        <v>46649883.90179418</v>
      </c>
      <c r="J44" s="23">
        <f t="shared" si="5"/>
        <v>47345752.848087914</v>
      </c>
      <c r="K44" s="23">
        <f t="shared" si="5"/>
        <v>48141032.810015008</v>
      </c>
      <c r="L44" s="23">
        <f t="shared" si="5"/>
        <v>48922582.129060969</v>
      </c>
      <c r="M44" s="23">
        <f t="shared" si="5"/>
        <v>49682445.672090828</v>
      </c>
      <c r="N44" s="23">
        <f t="shared" si="5"/>
        <v>50448118.566488728</v>
      </c>
      <c r="O44" s="23">
        <f t="shared" si="5"/>
        <v>51238417.140554219</v>
      </c>
      <c r="P44" s="23">
        <f t="shared" si="5"/>
        <v>52010222.917655095</v>
      </c>
      <c r="Q44" s="23">
        <f t="shared" si="5"/>
        <v>52787967.848624237</v>
      </c>
      <c r="R44" s="10"/>
    </row>
    <row r="45" spans="2:20" x14ac:dyDescent="0.2">
      <c r="B45" s="10"/>
      <c r="C45" s="10"/>
      <c r="D45" s="10"/>
      <c r="E45" s="10"/>
      <c r="F45" s="10"/>
      <c r="G45" s="10"/>
    </row>
    <row r="46" spans="2:20" x14ac:dyDescent="0.2">
      <c r="B46" s="10" t="s">
        <v>130</v>
      </c>
      <c r="C46" s="14">
        <f>C25-C44</f>
        <v>0</v>
      </c>
      <c r="D46" s="14">
        <f t="shared" ref="D46:Q46" si="6">D25-D44</f>
        <v>0</v>
      </c>
      <c r="E46" s="14">
        <f t="shared" si="6"/>
        <v>0</v>
      </c>
      <c r="F46" s="14">
        <f t="shared" si="6"/>
        <v>0</v>
      </c>
      <c r="G46" s="14">
        <f t="shared" si="6"/>
        <v>0</v>
      </c>
      <c r="H46" s="14">
        <f t="shared" si="6"/>
        <v>0.45456700026988983</v>
      </c>
      <c r="I46" s="14">
        <f t="shared" si="6"/>
        <v>0.1764712929725647</v>
      </c>
      <c r="J46" s="14">
        <f t="shared" si="6"/>
        <v>0.40318918228149414</v>
      </c>
      <c r="K46" s="14">
        <f t="shared" si="6"/>
        <v>-0.15719153732061386</v>
      </c>
      <c r="L46" s="14">
        <f t="shared" si="6"/>
        <v>0.34719179570674896</v>
      </c>
      <c r="M46" s="14">
        <f t="shared" si="6"/>
        <v>0.37732497602701187</v>
      </c>
      <c r="N46" s="14">
        <f t="shared" si="6"/>
        <v>-0.22006934136152267</v>
      </c>
      <c r="O46" s="14">
        <f t="shared" si="6"/>
        <v>0.42335385829210281</v>
      </c>
      <c r="P46" s="14">
        <f t="shared" si="6"/>
        <v>0.29823688417673111</v>
      </c>
      <c r="Q46" s="14">
        <f t="shared" si="6"/>
        <v>0.15326349437236786</v>
      </c>
    </row>
    <row r="47" spans="2:20" x14ac:dyDescent="0.2">
      <c r="H47" s="294"/>
      <c r="I47" s="294"/>
      <c r="J47" s="294"/>
      <c r="K47" s="294"/>
      <c r="L47" s="294"/>
      <c r="M47" s="294"/>
      <c r="N47" s="294"/>
      <c r="O47" s="294"/>
      <c r="P47" s="294"/>
      <c r="Q47" s="294"/>
    </row>
    <row r="48" spans="2:20" x14ac:dyDescent="0.2">
      <c r="H48" s="294"/>
      <c r="I48" s="294"/>
      <c r="J48" s="294"/>
      <c r="K48" s="294"/>
      <c r="L48" s="294"/>
      <c r="M48" s="294"/>
      <c r="N48" s="294"/>
      <c r="O48" s="294"/>
      <c r="P48" s="294"/>
      <c r="Q48" s="294"/>
    </row>
  </sheetData>
  <phoneticPr fontId="33" type="noConversion"/>
  <pageMargins left="0.7" right="0.7" top="0.75" bottom="0.75" header="0.3" footer="0.3"/>
  <pageSetup orientation="portrait" horizontalDpi="0" verticalDpi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showGridLines="0" topLeftCell="A15" zoomScale="124" zoomScaleNormal="124" zoomScalePageLayoutView="124" workbookViewId="0">
      <selection activeCell="J39" sqref="J39"/>
    </sheetView>
  </sheetViews>
  <sheetFormatPr baseColWidth="10" defaultRowHeight="16" x14ac:dyDescent="0.2"/>
  <cols>
    <col min="1" max="1" width="2.5" customWidth="1"/>
    <col min="2" max="2" width="26" customWidth="1"/>
  </cols>
  <sheetData>
    <row r="1" spans="2:17" x14ac:dyDescent="0.2">
      <c r="B1" s="70" t="s">
        <v>293</v>
      </c>
    </row>
    <row r="2" spans="2:17" ht="11" customHeight="1" x14ac:dyDescent="0.2"/>
    <row r="3" spans="2:17" ht="14" customHeight="1" x14ac:dyDescent="0.2">
      <c r="C3" s="46"/>
      <c r="D3" s="46"/>
      <c r="E3" s="46"/>
      <c r="F3" s="46"/>
      <c r="G3" s="46"/>
      <c r="H3" s="46"/>
      <c r="I3" s="46" t="s">
        <v>292</v>
      </c>
      <c r="J3" s="46"/>
      <c r="K3" s="46"/>
      <c r="L3" s="46"/>
      <c r="M3" s="46"/>
      <c r="N3" s="46"/>
      <c r="O3" s="46"/>
      <c r="P3" s="46"/>
      <c r="Q3" s="46"/>
    </row>
    <row r="4" spans="2:17" ht="24" x14ac:dyDescent="0.2">
      <c r="B4" s="112" t="s">
        <v>165</v>
      </c>
      <c r="C4" s="113" t="s">
        <v>166</v>
      </c>
      <c r="D4" s="113" t="s">
        <v>167</v>
      </c>
      <c r="E4" s="113" t="s">
        <v>168</v>
      </c>
      <c r="F4" s="113" t="s">
        <v>169</v>
      </c>
      <c r="G4" s="113" t="s">
        <v>170</v>
      </c>
      <c r="H4" s="194" t="s">
        <v>224</v>
      </c>
      <c r="I4" s="194" t="s">
        <v>225</v>
      </c>
      <c r="J4" s="194" t="s">
        <v>226</v>
      </c>
      <c r="K4" s="194" t="s">
        <v>227</v>
      </c>
      <c r="L4" s="194" t="s">
        <v>228</v>
      </c>
      <c r="M4" s="194" t="s">
        <v>229</v>
      </c>
      <c r="N4" s="194" t="s">
        <v>230</v>
      </c>
      <c r="O4" s="194" t="s">
        <v>231</v>
      </c>
      <c r="P4" s="194" t="s">
        <v>232</v>
      </c>
      <c r="Q4" s="194" t="s">
        <v>233</v>
      </c>
    </row>
    <row r="5" spans="2:17" x14ac:dyDescent="0.2">
      <c r="B5" s="248" t="s">
        <v>28</v>
      </c>
      <c r="C5" s="98"/>
      <c r="D5" s="98">
        <f>'P&amp;L'!D9</f>
        <v>1192291.0000000075</v>
      </c>
      <c r="E5" s="98">
        <f>'P&amp;L'!E9</f>
        <v>1337763</v>
      </c>
      <c r="F5" s="98">
        <f>'P&amp;L'!F9</f>
        <v>2468549</v>
      </c>
      <c r="G5" s="98">
        <f>'P&amp;L'!G9</f>
        <v>2703290.9999999925</v>
      </c>
      <c r="H5" s="99">
        <f>'P&amp;L'!H9</f>
        <v>1967288.1575628258</v>
      </c>
      <c r="I5" s="99">
        <f>'P&amp;L'!I9</f>
        <v>1972976.5466879103</v>
      </c>
      <c r="J5" s="99">
        <f>'P&amp;L'!J9</f>
        <v>1970254.5924039446</v>
      </c>
      <c r="K5" s="99">
        <f>'P&amp;L'!K9</f>
        <v>1975699.0596643817</v>
      </c>
      <c r="L5" s="99">
        <f>'P&amp;L'!L9</f>
        <v>1979707.66665194</v>
      </c>
      <c r="M5" s="99">
        <f>'P&amp;L'!M9</f>
        <v>1981727.2726339288</v>
      </c>
      <c r="N5" s="99">
        <f>'P&amp;L'!N9</f>
        <v>1984091.6702757403</v>
      </c>
      <c r="O5" s="99">
        <f>'P&amp;L'!O9</f>
        <v>1988294.4883277323</v>
      </c>
      <c r="P5" s="99">
        <f>'P&amp;L'!P9</f>
        <v>1990753.4668458495</v>
      </c>
      <c r="Q5" s="99">
        <f>'P&amp;L'!Q9</f>
        <v>1993541.0342914145</v>
      </c>
    </row>
    <row r="6" spans="2:17" x14ac:dyDescent="0.2">
      <c r="B6" s="253" t="s">
        <v>297</v>
      </c>
      <c r="C6" s="163"/>
      <c r="D6" s="163">
        <f>'P&amp;L'!D12</f>
        <v>-340154</v>
      </c>
      <c r="E6" s="163">
        <f>'P&amp;L'!E12</f>
        <v>-595402</v>
      </c>
      <c r="F6" s="163">
        <f>'P&amp;L'!F12</f>
        <v>-688594</v>
      </c>
      <c r="G6" s="163">
        <f>'P&amp;L'!G12</f>
        <v>-535761</v>
      </c>
      <c r="H6" s="256">
        <f>IF(H5&gt;0,H5*Drivers!$C$12,0)</f>
        <v>491822.03939070646</v>
      </c>
      <c r="I6" s="256">
        <f>IF(I5&gt;0,I5*Drivers!$C$12,0)</f>
        <v>493244.13667197758</v>
      </c>
      <c r="J6" s="256">
        <f>IF(J5&gt;0,J5*Drivers!$C$12,0)</f>
        <v>492563.64810098615</v>
      </c>
      <c r="K6" s="256">
        <f>IF(K5&gt;0,K5*Drivers!$C$12,0)</f>
        <v>493924.76491609542</v>
      </c>
      <c r="L6" s="256">
        <f>IF(L5&gt;0,L5*Drivers!$C$12,0)</f>
        <v>494926.91666298499</v>
      </c>
      <c r="M6" s="256">
        <f>IF(M5&gt;0,M5*Drivers!$C$12,0)</f>
        <v>495431.8181584822</v>
      </c>
      <c r="N6" s="256">
        <f>IF(N5&gt;0,N5*Drivers!$C$12,0)</f>
        <v>496022.91756893508</v>
      </c>
      <c r="O6" s="256">
        <f>IF(O5&gt;0,O5*Drivers!$C$12,0)</f>
        <v>497073.62208193308</v>
      </c>
      <c r="P6" s="256">
        <f>IF(P5&gt;0,P5*Drivers!$C$12,0)</f>
        <v>497688.36671146238</v>
      </c>
      <c r="Q6" s="256">
        <f>IF(Q5&gt;0,Q5*Drivers!$C$12,0)</f>
        <v>498385.25857285364</v>
      </c>
    </row>
    <row r="7" spans="2:17" x14ac:dyDescent="0.2">
      <c r="B7" s="252" t="s">
        <v>279</v>
      </c>
      <c r="C7" s="98"/>
      <c r="D7" s="98">
        <f t="shared" ref="D7:Q7" si="0">SUM(D5:D6)</f>
        <v>852137.00000000745</v>
      </c>
      <c r="E7" s="98">
        <f t="shared" si="0"/>
        <v>742361</v>
      </c>
      <c r="F7" s="98">
        <f t="shared" si="0"/>
        <v>1779955</v>
      </c>
      <c r="G7" s="98">
        <f t="shared" si="0"/>
        <v>2167529.9999999925</v>
      </c>
      <c r="H7" s="99">
        <f t="shared" si="0"/>
        <v>2459110.1969535323</v>
      </c>
      <c r="I7" s="99">
        <f t="shared" si="0"/>
        <v>2466220.6833598879</v>
      </c>
      <c r="J7" s="99">
        <f t="shared" si="0"/>
        <v>2462818.2405049307</v>
      </c>
      <c r="K7" s="99">
        <f t="shared" si="0"/>
        <v>2469623.8245804771</v>
      </c>
      <c r="L7" s="99">
        <f t="shared" si="0"/>
        <v>2474634.583314925</v>
      </c>
      <c r="M7" s="99">
        <f t="shared" si="0"/>
        <v>2477159.090792411</v>
      </c>
      <c r="N7" s="99">
        <f t="shared" si="0"/>
        <v>2480114.5878446754</v>
      </c>
      <c r="O7" s="99">
        <f t="shared" si="0"/>
        <v>2485368.1104096654</v>
      </c>
      <c r="P7" s="99">
        <f t="shared" si="0"/>
        <v>2488441.8335573119</v>
      </c>
      <c r="Q7" s="99">
        <f t="shared" si="0"/>
        <v>2491926.2928642682</v>
      </c>
    </row>
    <row r="8" spans="2:17" x14ac:dyDescent="0.2">
      <c r="B8" s="253" t="s">
        <v>280</v>
      </c>
      <c r="C8" s="163"/>
      <c r="D8" s="163">
        <f>-'PP&amp;E'!D9</f>
        <v>1901626</v>
      </c>
      <c r="E8" s="163">
        <f>-'PP&amp;E'!E9</f>
        <v>1721684</v>
      </c>
      <c r="F8" s="163">
        <f>-'PP&amp;E'!F9</f>
        <v>1755125</v>
      </c>
      <c r="G8" s="163">
        <f>-'PP&amp;E'!G9</f>
        <v>1981739</v>
      </c>
      <c r="H8" s="256">
        <f>-'PP&amp;E'!H9</f>
        <v>595172.2105900856</v>
      </c>
      <c r="I8" s="256">
        <f>-'PP&amp;E'!I9</f>
        <v>1296608.4865749483</v>
      </c>
      <c r="J8" s="256">
        <f>-'PP&amp;E'!J9</f>
        <v>2096715.558305593</v>
      </c>
      <c r="K8" s="256">
        <f>-'PP&amp;E'!K9</f>
        <v>2981801.2413374251</v>
      </c>
      <c r="L8" s="256">
        <f>-'PP&amp;E'!L9</f>
        <v>3931324.4475243515</v>
      </c>
      <c r="M8" s="256">
        <f>-'PP&amp;E'!M9</f>
        <v>4917283.5207835641</v>
      </c>
      <c r="N8" s="256">
        <f>-'PP&amp;E'!N9</f>
        <v>5903801.0708777551</v>
      </c>
      <c r="O8" s="256">
        <f>-'PP&amp;E'!O9</f>
        <v>6846967.6907892087</v>
      </c>
      <c r="P8" s="256">
        <f>-'PP&amp;E'!P9</f>
        <v>7695009.3109366372</v>
      </c>
      <c r="Q8" s="256">
        <f>-'PP&amp;E'!Q9</f>
        <v>8388842.9492620435</v>
      </c>
    </row>
    <row r="9" spans="2:17" x14ac:dyDescent="0.2">
      <c r="B9" s="252" t="s">
        <v>281</v>
      </c>
      <c r="C9" s="98"/>
      <c r="D9" s="98">
        <f t="shared" ref="D9:Q9" si="1">SUM(D7:D8)</f>
        <v>2753763.0000000075</v>
      </c>
      <c r="E9" s="98">
        <f t="shared" si="1"/>
        <v>2464045</v>
      </c>
      <c r="F9" s="98">
        <f t="shared" si="1"/>
        <v>3535080</v>
      </c>
      <c r="G9" s="98">
        <f t="shared" si="1"/>
        <v>4149268.9999999925</v>
      </c>
      <c r="H9" s="99">
        <f t="shared" si="1"/>
        <v>3054282.4075436178</v>
      </c>
      <c r="I9" s="99">
        <f t="shared" si="1"/>
        <v>3762829.1699348362</v>
      </c>
      <c r="J9" s="99">
        <f t="shared" si="1"/>
        <v>4559533.7988105239</v>
      </c>
      <c r="K9" s="99">
        <f t="shared" si="1"/>
        <v>5451425.0659179017</v>
      </c>
      <c r="L9" s="99">
        <f t="shared" si="1"/>
        <v>6405959.0308392765</v>
      </c>
      <c r="M9" s="99">
        <f t="shared" si="1"/>
        <v>7394442.6115759751</v>
      </c>
      <c r="N9" s="99">
        <f t="shared" si="1"/>
        <v>8383915.6587224305</v>
      </c>
      <c r="O9" s="99">
        <f t="shared" si="1"/>
        <v>9332335.8011988737</v>
      </c>
      <c r="P9" s="99">
        <f t="shared" si="1"/>
        <v>10183451.144493949</v>
      </c>
      <c r="Q9" s="99">
        <f t="shared" si="1"/>
        <v>10880769.242126312</v>
      </c>
    </row>
    <row r="10" spans="2:17" x14ac:dyDescent="0.2">
      <c r="B10" s="248"/>
      <c r="C10" s="98"/>
      <c r="D10" s="98"/>
      <c r="E10" s="98"/>
      <c r="F10" s="98"/>
      <c r="G10" s="98"/>
      <c r="H10" s="99"/>
      <c r="I10" s="99"/>
      <c r="J10" s="99"/>
      <c r="K10" s="99"/>
      <c r="L10" s="99"/>
      <c r="M10" s="99"/>
      <c r="N10" s="99"/>
      <c r="O10" s="99"/>
      <c r="P10" s="99"/>
      <c r="Q10" s="99"/>
    </row>
    <row r="11" spans="2:17" x14ac:dyDescent="0.2">
      <c r="B11" s="248" t="s">
        <v>51</v>
      </c>
      <c r="C11" s="98"/>
      <c r="D11" s="98">
        <f>-(BSO!D6-BSO!C6)</f>
        <v>590563</v>
      </c>
      <c r="E11" s="98">
        <f>-(BSO!E6-BSO!D6)</f>
        <v>33463</v>
      </c>
      <c r="F11" s="98">
        <f>-(BSO!F6-BSO!E6)</f>
        <v>-1118324</v>
      </c>
      <c r="G11" s="98">
        <f>-(BSO!G6-BSO!F6)</f>
        <v>1806619</v>
      </c>
      <c r="H11" s="99">
        <f>-(BSO!H6-BSO!G6)</f>
        <v>-1230661.5397734139</v>
      </c>
      <c r="I11" s="99">
        <f>-(BSO!I6-BSO!H6)</f>
        <v>-21981.826898332685</v>
      </c>
      <c r="J11" s="99">
        <f>-(BSO!J6-BSO!I6)</f>
        <v>10518.536369370297</v>
      </c>
      <c r="K11" s="99">
        <f>-(BSO!K6-BSO!J6)</f>
        <v>-21039.231712279841</v>
      </c>
      <c r="L11" s="99">
        <f>-(BSO!L6-BSO!K6)</f>
        <v>-15490.590212076902</v>
      </c>
      <c r="M11" s="99">
        <f>-(BSO!M6-BSO!L6)</f>
        <v>-7804.4290084382519</v>
      </c>
      <c r="N11" s="99">
        <f>-(BSO!N6-BSO!M6)</f>
        <v>-9136.8186209062114</v>
      </c>
      <c r="O11" s="99">
        <f>-(BSO!O6-BSO!N6)</f>
        <v>-16241.086337774992</v>
      </c>
      <c r="P11" s="99">
        <f>-(BSO!P6-BSO!O6)</f>
        <v>-9502.3105740137398</v>
      </c>
      <c r="Q11" s="99">
        <f>-(BSO!Q6-BSO!P6)</f>
        <v>-10772.087441235781</v>
      </c>
    </row>
    <row r="12" spans="2:17" x14ac:dyDescent="0.2">
      <c r="B12" s="248" t="s">
        <v>263</v>
      </c>
      <c r="C12" s="98"/>
      <c r="D12" s="98">
        <f>-(BSO!D9-BSO!C9)</f>
        <v>838597</v>
      </c>
      <c r="E12" s="98">
        <f>-(BSO!E9-BSO!D9)</f>
        <v>-298339</v>
      </c>
      <c r="F12" s="98">
        <f>-(BSO!F9-BSO!E9)</f>
        <v>-737422</v>
      </c>
      <c r="G12" s="98">
        <f>-(BSO!G9-BSO!F9)</f>
        <v>-112919</v>
      </c>
      <c r="H12" s="99">
        <f>-(BSO!H9-BSO!G9)</f>
        <v>249452.26075982675</v>
      </c>
      <c r="I12" s="99">
        <f>-(BSO!I9-BSO!H9)</f>
        <v>-16689.387538479641</v>
      </c>
      <c r="J12" s="99">
        <f>-(BSO!J9-BSO!I9)</f>
        <v>7986.0482305651531</v>
      </c>
      <c r="K12" s="99">
        <f>-(BSO!K9-BSO!J9)</f>
        <v>-15973.735630895942</v>
      </c>
      <c r="L12" s="99">
        <f>-(BSO!L9-BSO!K9)</f>
        <v>-11761.008966395631</v>
      </c>
      <c r="M12" s="99">
        <f>-(BSO!M9-BSO!L9)</f>
        <v>-5925.4010524628684</v>
      </c>
      <c r="N12" s="99">
        <f>-(BSO!N9-BSO!M9)</f>
        <v>-6936.9988007964566</v>
      </c>
      <c r="O12" s="99">
        <f>-(BSO!O9-BSO!N9)</f>
        <v>-12330.812411115505</v>
      </c>
      <c r="P12" s="99">
        <f>-(BSO!P9-BSO!O9)</f>
        <v>-7214.4933364391327</v>
      </c>
      <c r="Q12" s="99">
        <f>-(BSO!Q9-BSO!P9)</f>
        <v>-8178.5532538574189</v>
      </c>
    </row>
    <row r="13" spans="2:17" x14ac:dyDescent="0.2">
      <c r="B13" s="253" t="s">
        <v>282</v>
      </c>
      <c r="C13" s="163"/>
      <c r="D13" s="163">
        <f>BSO!D26-BSO!C26</f>
        <v>-654735</v>
      </c>
      <c r="E13" s="163">
        <f>BSO!E26-BSO!D26</f>
        <v>659386</v>
      </c>
      <c r="F13" s="163">
        <f>BSO!F26-BSO!E26</f>
        <v>1391165</v>
      </c>
      <c r="G13" s="163">
        <f>BSO!G26-BSO!F26</f>
        <v>-920787</v>
      </c>
      <c r="H13" s="256">
        <f>BSO!H26-BSO!G26</f>
        <v>66412.391248429194</v>
      </c>
      <c r="I13" s="256">
        <f>BSO!I26-BSO!H26</f>
        <v>21059.141240280122</v>
      </c>
      <c r="J13" s="256">
        <f>BSO!J26-BSO!I26</f>
        <v>-10077.02153547667</v>
      </c>
      <c r="K13" s="256">
        <f>BSO!K26-BSO!J26</f>
        <v>20156.111421724781</v>
      </c>
      <c r="L13" s="256">
        <f>BSO!L26-BSO!K26</f>
        <v>14840.373763295822</v>
      </c>
      <c r="M13" s="256">
        <f>BSO!M26-BSO!L26</f>
        <v>7476.8386426055804</v>
      </c>
      <c r="N13" s="256">
        <f>BSO!N26-BSO!M26</f>
        <v>8753.3012935807928</v>
      </c>
      <c r="O13" s="256">
        <f>BSO!O26-BSO!N26</f>
        <v>15559.36786621809</v>
      </c>
      <c r="P13" s="256">
        <f>BSO!P26-BSO!O26</f>
        <v>9103.4517473336309</v>
      </c>
      <c r="Q13" s="256">
        <f>BSO!Q26-BSO!P26</f>
        <v>10319.929818697274</v>
      </c>
    </row>
    <row r="14" spans="2:17" x14ac:dyDescent="0.2">
      <c r="B14" s="252" t="s">
        <v>283</v>
      </c>
      <c r="C14" s="98"/>
      <c r="D14" s="98">
        <f>SUM(D11:D13)</f>
        <v>774425</v>
      </c>
      <c r="E14" s="98">
        <f t="shared" ref="E14:Q14" si="2">SUM(E11:E13)</f>
        <v>394510</v>
      </c>
      <c r="F14" s="98">
        <f t="shared" si="2"/>
        <v>-464581</v>
      </c>
      <c r="G14" s="98">
        <f t="shared" si="2"/>
        <v>772913</v>
      </c>
      <c r="H14" s="99">
        <f t="shared" si="2"/>
        <v>-914796.88776515797</v>
      </c>
      <c r="I14" s="99">
        <f t="shared" si="2"/>
        <v>-17612.073196532205</v>
      </c>
      <c r="J14" s="99">
        <f t="shared" si="2"/>
        <v>8427.56306445878</v>
      </c>
      <c r="K14" s="99">
        <f t="shared" si="2"/>
        <v>-16856.855921451002</v>
      </c>
      <c r="L14" s="99">
        <f t="shared" si="2"/>
        <v>-12411.225415176712</v>
      </c>
      <c r="M14" s="99">
        <f t="shared" si="2"/>
        <v>-6252.9914182955399</v>
      </c>
      <c r="N14" s="99">
        <f t="shared" si="2"/>
        <v>-7320.5161281218752</v>
      </c>
      <c r="O14" s="99">
        <f t="shared" si="2"/>
        <v>-13012.530882672407</v>
      </c>
      <c r="P14" s="99">
        <f t="shared" si="2"/>
        <v>-7613.3521631192416</v>
      </c>
      <c r="Q14" s="99">
        <f t="shared" si="2"/>
        <v>-8630.7108763959259</v>
      </c>
    </row>
    <row r="15" spans="2:17" x14ac:dyDescent="0.2">
      <c r="B15" s="249"/>
      <c r="C15" s="98"/>
      <c r="D15" s="98"/>
      <c r="E15" s="98"/>
      <c r="F15" s="98"/>
      <c r="G15" s="98"/>
      <c r="H15" s="99"/>
      <c r="I15" s="99"/>
      <c r="J15" s="99"/>
      <c r="K15" s="99"/>
      <c r="L15" s="99"/>
      <c r="M15" s="99"/>
      <c r="N15" s="99"/>
      <c r="O15" s="99"/>
      <c r="P15" s="99"/>
      <c r="Q15" s="99"/>
    </row>
    <row r="16" spans="2:17" x14ac:dyDescent="0.2">
      <c r="B16" s="250" t="s">
        <v>221</v>
      </c>
      <c r="C16" s="98"/>
      <c r="D16" s="98">
        <f>-'PP&amp;E'!D8</f>
        <v>-1765071</v>
      </c>
      <c r="E16" s="98">
        <f>-'PP&amp;E'!E8</f>
        <v>-2483814</v>
      </c>
      <c r="F16" s="98">
        <f>-'PP&amp;E'!F8</f>
        <v>-2333479</v>
      </c>
      <c r="G16" s="98">
        <f>-'PP&amp;E'!G8</f>
        <v>-3514908</v>
      </c>
      <c r="H16" s="99">
        <f>-'PP&amp;E'!H8</f>
        <v>-2975861.0529504279</v>
      </c>
      <c r="I16" s="99">
        <f>-'PP&amp;E'!I8</f>
        <v>-3507181.3799243141</v>
      </c>
      <c r="J16" s="99">
        <f>-'PP&amp;E'!J8</f>
        <v>-4000535.3586532236</v>
      </c>
      <c r="K16" s="99">
        <f>-'PP&amp;E'!K8</f>
        <v>-4425428.4151591593</v>
      </c>
      <c r="L16" s="99">
        <f>-'PP&amp;E'!L8</f>
        <v>-4747616.0309346328</v>
      </c>
      <c r="M16" s="99">
        <f>-'PP&amp;E'!M8</f>
        <v>-4929795.3662960641</v>
      </c>
      <c r="N16" s="99">
        <f>-'PP&amp;E'!N8</f>
        <v>-4932587.7504709568</v>
      </c>
      <c r="O16" s="99">
        <f>-'PP&amp;E'!O8</f>
        <v>-4715833.0995572666</v>
      </c>
      <c r="P16" s="99">
        <f>-'PP&amp;E'!P8</f>
        <v>-4240208.1007371442</v>
      </c>
      <c r="Q16" s="99">
        <f>-'PP&amp;E'!Q8</f>
        <v>-3469168.1916270331</v>
      </c>
    </row>
    <row r="17" spans="2:17" x14ac:dyDescent="0.2">
      <c r="B17" s="250" t="s">
        <v>284</v>
      </c>
      <c r="C17" s="98"/>
      <c r="D17" s="98">
        <f>-(BSO!D5-BSO!C5)-(BSO!D7-BSO!C7)-(BSO!D8-BSO!C8)-(BSO!D10-BSO!C10)-(BSO!D11-BSO!C11)-(BSO!D12-BSO!C12)-(BSO!D13-BSO!C13)</f>
        <v>121675</v>
      </c>
      <c r="E17" s="98">
        <f>-(BSO!E5-BSO!D5)-(BSO!E7-BSO!D7)-(BSO!E8-BSO!D8)-(BSO!E10-BSO!D10)-(BSO!E11-BSO!D11)-(BSO!E12-BSO!D12)-(BSO!E13-BSO!D13)</f>
        <v>-23093</v>
      </c>
      <c r="F17" s="98">
        <f>-(BSO!F5-BSO!E5)-(BSO!F7-BSO!E7)-(BSO!F8-BSO!E8)-(BSO!F10-BSO!E10)-(BSO!F11-BSO!E11)-(BSO!F12-BSO!E12)-(BSO!F13-BSO!E13)</f>
        <v>-13200</v>
      </c>
      <c r="G17" s="98">
        <f>-(BSO!G5-BSO!F5)-(BSO!G7-BSO!F7)-(BSO!G8-BSO!F8)-(BSO!G10-BSO!F10)-(BSO!G11-BSO!F11)-(BSO!G12-BSO!F12)-(BSO!G13-BSO!F13)</f>
        <v>-941794</v>
      </c>
      <c r="H17" s="99">
        <f>-(BSO!H5-BSO!G5)-(BSO!H7-BSO!G7)-(BSO!H8-BSO!G8)-(BSO!H10-BSO!G10)-(BSO!H11-BSO!G11)-(BSO!H12-BSO!G12)-(BSO!H13-BSO!G13)</f>
        <v>59276.333363934857</v>
      </c>
      <c r="I17" s="99">
        <f>-(BSO!I5-BSO!H5)-(BSO!I7-BSO!H7)-(BSO!I8-BSO!H8)-(BSO!I10-BSO!H10)-(BSO!I11-BSO!H11)-(BSO!I12-BSO!H12)-(BSO!I13-BSO!H13)</f>
        <v>-5192.9602365924984</v>
      </c>
      <c r="J17" s="99">
        <f>-(BSO!J5-BSO!I5)-(BSO!J7-BSO!I7)-(BSO!J8-BSO!I8)-(BSO!J10-BSO!I10)-(BSO!J11-BSO!I11)-(BSO!J12-BSO!I12)-(BSO!J13-BSO!I13)</f>
        <v>2484.886327507149</v>
      </c>
      <c r="K17" s="99">
        <f>-(BSO!K5-BSO!J5)-(BSO!K7-BSO!J7)-(BSO!K8-BSO!J8)-(BSO!K10-BSO!J10)-(BSO!K11-BSO!J11)-(BSO!K12-BSO!J12)-(BSO!K13-BSO!J13)</f>
        <v>-4970.2826883153648</v>
      </c>
      <c r="L17" s="99">
        <f>-(BSO!L5-BSO!K5)-(BSO!L7-BSO!K7)-(BSO!L8-BSO!K8)-(BSO!L10-BSO!K10)-(BSO!L11-BSO!K11)-(BSO!L12-BSO!K12)-(BSO!L13-BSO!K13)</f>
        <v>-3659.4783220117552</v>
      </c>
      <c r="M17" s="99">
        <f>-(BSO!M5-BSO!L5)-(BSO!M7-BSO!L7)-(BSO!M8-BSO!L8)-(BSO!M10-BSO!L10)-(BSO!M11-BSO!L11)-(BSO!M12-BSO!L12)-(BSO!M13-BSO!L13)</f>
        <v>-1843.708882686542</v>
      </c>
      <c r="N17" s="99">
        <f>-(BSO!N5-BSO!M5)-(BSO!N7-BSO!M7)-(BSO!N8-BSO!M8)-(BSO!N10-BSO!M10)-(BSO!N11-BSO!M11)-(BSO!N12-BSO!M12)-(BSO!N13-BSO!M13)</f>
        <v>-2158.4709954619047</v>
      </c>
      <c r="O17" s="99">
        <f>-(BSO!O5-BSO!N5)-(BSO!O7-BSO!N7)-(BSO!O8-BSO!N8)-(BSO!O10-BSO!N10)-(BSO!O11-BSO!N11)-(BSO!O12-BSO!N12)-(BSO!O13-BSO!N13)</f>
        <v>-3836.7746202902017</v>
      </c>
      <c r="P17" s="99">
        <f>-(BSO!P5-BSO!O5)-(BSO!P7-BSO!O7)-(BSO!P8-BSO!O8)-(BSO!P10-BSO!O10)-(BSO!P11-BSO!O11)-(BSO!P12-BSO!O12)-(BSO!P13-BSO!O13)</f>
        <v>-2244.8143730195115</v>
      </c>
      <c r="Q17" s="99">
        <f>-(BSO!Q5-BSO!P5)-(BSO!Q7-BSO!P7)-(BSO!Q8-BSO!P8)-(BSO!Q10-BSO!P10)-(BSO!Q11-BSO!P11)-(BSO!Q12-BSO!P12)-(BSO!Q13-BSO!P13)</f>
        <v>-2544.7849264830675</v>
      </c>
    </row>
    <row r="18" spans="2:17" x14ac:dyDescent="0.2">
      <c r="B18" s="248" t="s">
        <v>285</v>
      </c>
      <c r="C18" s="98"/>
      <c r="D18" s="98">
        <f>BSO!D28-BSO!C28+BSO!C29+BSO!D30-BSO!C30+BSO!D31-BSO!C31+BSO!D32-BSO!C32+BSO!D33-BSO!C33</f>
        <v>2504</v>
      </c>
      <c r="E18" s="98">
        <f>BSO!E28-BSO!D28+BSO!D29+BSO!E30-BSO!D30+BSO!E31-BSO!D31+BSO!E32-BSO!D32+BSO!E33-BSO!D33</f>
        <v>987435</v>
      </c>
      <c r="F18" s="98">
        <f>BSO!F28-BSO!E28+BSO!E29+BSO!F30-BSO!E30+BSO!F31-BSO!E31+BSO!F32-BSO!E32+BSO!F33-BSO!E33</f>
        <v>730646</v>
      </c>
      <c r="G18" s="98">
        <f>BSO!G28-BSO!F28+BSO!F29+BSO!G30-BSO!F30+BSO!G31-BSO!F31+BSO!G32-BSO!F32+BSO!G33-BSO!F33</f>
        <v>476203</v>
      </c>
      <c r="H18" s="99">
        <f>BSO!H28-BSO!G28+BSO!G29+BSO!H30-BSO!G30+BSO!H31-BSO!G31+BSO!H32-BSO!G32+BSO!H33-BSO!G33</f>
        <v>13891.06942275539</v>
      </c>
      <c r="I18" s="99">
        <f>BSO!I28-BSO!H28+BSO!H29+BSO!I30-BSO!H30+BSO!I31-BSO!H31+BSO!I32-BSO!H32+BSO!I33-BSO!H33</f>
        <v>31225.716660394799</v>
      </c>
      <c r="J18" s="99">
        <f>BSO!J28-BSO!I28+BSO!I29+BSO!J30-BSO!I30+BSO!J31-BSO!I31+BSO!J32-BSO!I32+BSO!J33-BSO!I33</f>
        <v>-384.02012494485825</v>
      </c>
      <c r="K18" s="99">
        <f>BSO!K28-BSO!J28+BSO!J29+BSO!K30-BSO!J30+BSO!K31-BSO!J31+BSO!K32-BSO!J32+BSO!K33-BSO!J33</f>
        <v>30322.94587611407</v>
      </c>
      <c r="L18" s="99">
        <f>BSO!L28-BSO!K28+BSO!K29+BSO!L30-BSO!K30+BSO!L31-BSO!K31+BSO!L32-BSO!K32+BSO!L33-BSO!K33</f>
        <v>24948.70226929849</v>
      </c>
      <c r="M18" s="99">
        <f>BSO!M28-BSO!L28+BSO!L29+BSO!M30-BSO!L30+BSO!M31-BSO!L31+BSO!M32-BSO!L32+BSO!M33-BSO!L33</f>
        <v>17486.47339828359</v>
      </c>
      <c r="N18" s="99">
        <f>BSO!N28-BSO!M28+BSO!M29+BSO!N30-BSO!M30+BSO!N31-BSO!M31+BSO!N32-BSO!M32+BSO!N33-BSO!M33</f>
        <v>18793.604046881199</v>
      </c>
      <c r="O18" s="99">
        <f>BSO!O28-BSO!N28+BSO!N29+BSO!O30-BSO!N30+BSO!O31-BSO!N31+BSO!O32-BSO!N32+BSO!O33-BSO!N33</f>
        <v>25721.211262998171</v>
      </c>
      <c r="P18" s="99">
        <f>BSO!P28-BSO!O28+BSO!O29+BSO!P30-BSO!O30+BSO!P31-BSO!O31+BSO!P32-BSO!O32+BSO!P33-BSO!O33</f>
        <v>19182.204493703321</v>
      </c>
      <c r="Q18" s="99">
        <f>BSO!Q28-BSO!P28+BSO!P29+BSO!Q30-BSO!P30+BSO!Q31-BSO!P31+BSO!Q32-BSO!P32+BSO!Q33-BSO!P33</f>
        <v>20430.57823478803</v>
      </c>
    </row>
    <row r="19" spans="2:17" ht="8" customHeight="1" x14ac:dyDescent="0.2">
      <c r="B19" s="248"/>
      <c r="C19" s="98"/>
      <c r="D19" s="98"/>
      <c r="E19" s="98"/>
      <c r="F19" s="98"/>
      <c r="G19" s="98"/>
      <c r="H19" s="99"/>
      <c r="I19" s="99"/>
      <c r="J19" s="99"/>
      <c r="K19" s="99"/>
      <c r="L19" s="99"/>
      <c r="M19" s="99"/>
      <c r="N19" s="99"/>
      <c r="O19" s="99"/>
      <c r="P19" s="99"/>
      <c r="Q19" s="99"/>
    </row>
    <row r="20" spans="2:17" ht="17" thickBot="1" x14ac:dyDescent="0.25">
      <c r="B20" s="251" t="s">
        <v>286</v>
      </c>
      <c r="C20" s="255"/>
      <c r="D20" s="255">
        <f>D9+D14+D18+D17+D16</f>
        <v>1887296.0000000075</v>
      </c>
      <c r="E20" s="255">
        <f t="shared" ref="E20:Q20" si="3">E9+E14+E18+E17+E16</f>
        <v>1339083</v>
      </c>
      <c r="F20" s="255">
        <f t="shared" si="3"/>
        <v>1454466</v>
      </c>
      <c r="G20" s="255">
        <f t="shared" si="3"/>
        <v>941682.99999999255</v>
      </c>
      <c r="H20" s="269">
        <f t="shared" si="3"/>
        <v>-763208.13038527779</v>
      </c>
      <c r="I20" s="255">
        <f t="shared" si="3"/>
        <v>264068.47323779203</v>
      </c>
      <c r="J20" s="255">
        <f t="shared" si="3"/>
        <v>569526.86942432122</v>
      </c>
      <c r="K20" s="255">
        <f t="shared" si="3"/>
        <v>1034492.4580250904</v>
      </c>
      <c r="L20" s="255">
        <f t="shared" si="3"/>
        <v>1667220.9984367546</v>
      </c>
      <c r="M20" s="255">
        <f t="shared" si="3"/>
        <v>2474037.0183772119</v>
      </c>
      <c r="N20" s="255">
        <f t="shared" si="3"/>
        <v>3460642.5251747705</v>
      </c>
      <c r="O20" s="255">
        <f t="shared" si="3"/>
        <v>4625374.607401642</v>
      </c>
      <c r="P20" s="255">
        <f t="shared" si="3"/>
        <v>5952567.0817143684</v>
      </c>
      <c r="Q20" s="255">
        <f t="shared" si="3"/>
        <v>7420856.1329311877</v>
      </c>
    </row>
    <row r="21" spans="2:17" ht="6" customHeight="1" x14ac:dyDescent="0.2">
      <c r="B21" s="248"/>
      <c r="C21" s="98"/>
      <c r="D21" s="98"/>
      <c r="E21" s="98"/>
      <c r="F21" s="98"/>
      <c r="G21" s="98"/>
      <c r="H21" s="99"/>
      <c r="I21" s="99"/>
      <c r="J21" s="99"/>
      <c r="K21" s="99"/>
      <c r="L21" s="99"/>
      <c r="M21" s="99"/>
      <c r="N21" s="99"/>
      <c r="O21" s="99"/>
      <c r="P21" s="99"/>
      <c r="Q21" s="99"/>
    </row>
    <row r="22" spans="2:17" x14ac:dyDescent="0.2">
      <c r="B22" s="248" t="s">
        <v>318</v>
      </c>
      <c r="C22" s="98"/>
      <c r="D22" s="98">
        <f>'P&amp;L'!D10</f>
        <v>-599166</v>
      </c>
      <c r="E22" s="98">
        <f>'P&amp;L'!E10</f>
        <v>-616046</v>
      </c>
      <c r="F22" s="98">
        <f>'P&amp;L'!F10</f>
        <v>89563</v>
      </c>
      <c r="G22" s="98">
        <f>'P&amp;L'!G10</f>
        <v>-694716</v>
      </c>
      <c r="H22" s="99">
        <f>Financing!H14</f>
        <v>-1013199.0054565871</v>
      </c>
      <c r="I22" s="99">
        <f>Financing!I14</f>
        <v>-1013199.0054565871</v>
      </c>
      <c r="J22" s="99">
        <f>Financing!J14</f>
        <v>-1013199.0054565871</v>
      </c>
      <c r="K22" s="99">
        <f>Financing!K14</f>
        <v>-1013199.0054565871</v>
      </c>
      <c r="L22" s="99">
        <f>Financing!L14</f>
        <v>-1013199.0054565871</v>
      </c>
      <c r="M22" s="99">
        <f>Financing!M14</f>
        <v>-1013199.0054565871</v>
      </c>
      <c r="N22" s="99">
        <f>Financing!N14</f>
        <v>-1013199.0054565871</v>
      </c>
      <c r="O22" s="99">
        <f>Financing!O14</f>
        <v>-1013199.0054565871</v>
      </c>
      <c r="P22" s="99">
        <f>Financing!P14</f>
        <v>-1013199.0054565871</v>
      </c>
      <c r="Q22" s="99">
        <f>Financing!Q14</f>
        <v>-1013199.0054565871</v>
      </c>
    </row>
    <row r="23" spans="2:17" x14ac:dyDescent="0.2">
      <c r="B23" s="248" t="s">
        <v>287</v>
      </c>
      <c r="C23" s="98"/>
      <c r="D23" s="98">
        <f>BSO!D34-BSO!C34</f>
        <v>74241</v>
      </c>
      <c r="E23" s="98">
        <f>BSO!E34-BSO!D34</f>
        <v>507378</v>
      </c>
      <c r="F23" s="98">
        <f>BSO!F34-BSO!E34</f>
        <v>1081224</v>
      </c>
      <c r="G23" s="98">
        <f>BSO!G34-BSO!F34</f>
        <v>1406346</v>
      </c>
      <c r="H23" s="99">
        <f>BSO!H34-BSO!G34</f>
        <v>332416.94209729694</v>
      </c>
      <c r="I23" s="99">
        <f>BSO!I34-BSO!H34</f>
        <v>0</v>
      </c>
      <c r="J23" s="99">
        <f>BSO!J34-BSO!I34</f>
        <v>0</v>
      </c>
      <c r="K23" s="99">
        <f>BSO!K34-BSO!J34</f>
        <v>0</v>
      </c>
      <c r="L23" s="99">
        <f>BSO!L34-BSO!K34</f>
        <v>0</v>
      </c>
      <c r="M23" s="99">
        <f>BSO!M34-BSO!L34</f>
        <v>0</v>
      </c>
      <c r="N23" s="99">
        <f>BSO!N34-BSO!M34</f>
        <v>0</v>
      </c>
      <c r="O23" s="99">
        <f>BSO!O34-BSO!N34</f>
        <v>0</v>
      </c>
      <c r="P23" s="99">
        <f>BSO!P34-BSO!O34</f>
        <v>0</v>
      </c>
      <c r="Q23" s="99">
        <f>BSO!Q34-BSO!P34</f>
        <v>0</v>
      </c>
    </row>
    <row r="24" spans="2:17" x14ac:dyDescent="0.2">
      <c r="B24" s="248" t="s">
        <v>288</v>
      </c>
      <c r="C24" s="98"/>
      <c r="D24" s="98">
        <f>BSO!D43-BSO!C43-'P&amp;L'!D15</f>
        <v>-256753.00000000745</v>
      </c>
      <c r="E24" s="98">
        <f>BSO!E43-BSO!D43-'P&amp;L'!E15</f>
        <v>246940</v>
      </c>
      <c r="F24" s="98">
        <f>BSO!F43-BSO!E43-'P&amp;L'!F15</f>
        <v>-552576</v>
      </c>
      <c r="G24" s="98">
        <f>BSO!G43-BSO!F43-'P&amp;L'!G15</f>
        <v>160409.00000000745</v>
      </c>
      <c r="H24" s="99">
        <f>BSO!H43-BSO!G43-'P&amp;L'!H15</f>
        <v>381604.06519264099</v>
      </c>
      <c r="I24" s="99">
        <f>BSO!I43-BSO!H43-'P&amp;L'!I15</f>
        <v>0</v>
      </c>
      <c r="J24" s="99">
        <f>BSO!J43-BSO!I43-'P&amp;L'!J15</f>
        <v>0</v>
      </c>
      <c r="K24" s="99">
        <f>BSO!K43-BSO!J43-'P&amp;L'!K15</f>
        <v>1.6298145055770874E-9</v>
      </c>
      <c r="L24" s="99">
        <f>BSO!L43-BSO!K43-'P&amp;L'!L15</f>
        <v>0</v>
      </c>
      <c r="M24" s="99">
        <f>BSO!M43-BSO!L43-'P&amp;L'!M15</f>
        <v>1.1641532182693481E-9</v>
      </c>
      <c r="N24" s="99">
        <f>BSO!N43-BSO!M43-'P&amp;L'!N15</f>
        <v>-1.6298145055770874E-9</v>
      </c>
      <c r="O24" s="99">
        <f>BSO!O43-BSO!N43-'P&amp;L'!O15</f>
        <v>0</v>
      </c>
      <c r="P24" s="99">
        <f>BSO!P43-BSO!O43-'P&amp;L'!P15</f>
        <v>0</v>
      </c>
      <c r="Q24" s="99">
        <f>BSO!Q43-BSO!P43-'P&amp;L'!Q15</f>
        <v>1.6298145055770874E-9</v>
      </c>
    </row>
    <row r="25" spans="2:17" x14ac:dyDescent="0.2">
      <c r="B25" s="248" t="s">
        <v>289</v>
      </c>
      <c r="C25" s="98"/>
      <c r="D25" s="98">
        <f>'P&amp;L'!D12-'Cash Flow'!D6</f>
        <v>0</v>
      </c>
      <c r="E25" s="98">
        <f>'P&amp;L'!E12-'Cash Flow'!E6</f>
        <v>0</v>
      </c>
      <c r="F25" s="98">
        <f>'P&amp;L'!F12-'Cash Flow'!F6</f>
        <v>0</v>
      </c>
      <c r="G25" s="98">
        <f>'P&amp;L'!G12-'Cash Flow'!G6</f>
        <v>0</v>
      </c>
      <c r="H25" s="99">
        <f>'P&amp;L'!H12-'Cash Flow'!H6</f>
        <v>-730344.32741726609</v>
      </c>
      <c r="I25" s="99">
        <f>'P&amp;L'!I12-'Cash Flow'!I6</f>
        <v>-733188.52197980834</v>
      </c>
      <c r="J25" s="99">
        <f>'P&amp;L'!J12-'Cash Flow'!J6</f>
        <v>-731827.54483782547</v>
      </c>
      <c r="K25" s="99">
        <f>'P&amp;L'!K12-'Cash Flow'!K6</f>
        <v>-734549.77846804401</v>
      </c>
      <c r="L25" s="99">
        <f>'P&amp;L'!L12-'Cash Flow'!L6</f>
        <v>-736554.08196182316</v>
      </c>
      <c r="M25" s="99">
        <f>'P&amp;L'!M12-'Cash Flow'!M6</f>
        <v>-737563.88495281758</v>
      </c>
      <c r="N25" s="99">
        <f>'P&amp;L'!N12-'Cash Flow'!N6</f>
        <v>-738746.08377372334</v>
      </c>
      <c r="O25" s="99">
        <f>'P&amp;L'!O12-'Cash Flow'!O6</f>
        <v>-740847.49279971933</v>
      </c>
      <c r="P25" s="99">
        <f>'P&amp;L'!P12-'Cash Flow'!P6</f>
        <v>-742076.98205877794</v>
      </c>
      <c r="Q25" s="99">
        <f>'P&amp;L'!Q12-'Cash Flow'!Q6</f>
        <v>-743470.76578156045</v>
      </c>
    </row>
    <row r="26" spans="2:17" x14ac:dyDescent="0.2">
      <c r="B26" s="248" t="s">
        <v>290</v>
      </c>
      <c r="C26" s="98"/>
      <c r="D26" s="98">
        <f>-249422-390446</f>
        <v>-639868</v>
      </c>
      <c r="E26" s="98">
        <f>-496757-675617</f>
        <v>-1172374</v>
      </c>
      <c r="F26" s="98">
        <f>-1447462-289755</f>
        <v>-1737217</v>
      </c>
      <c r="G26" s="98">
        <f>-938291+44360</f>
        <v>-893931</v>
      </c>
      <c r="H26" s="99">
        <v>0</v>
      </c>
      <c r="I26" s="99">
        <v>0</v>
      </c>
      <c r="J26" s="99">
        <v>0</v>
      </c>
      <c r="K26" s="99">
        <v>0</v>
      </c>
      <c r="L26" s="99">
        <v>0</v>
      </c>
      <c r="M26" s="99">
        <v>0</v>
      </c>
      <c r="N26" s="99">
        <v>0</v>
      </c>
      <c r="O26" s="99">
        <v>0</v>
      </c>
      <c r="P26" s="99">
        <v>0</v>
      </c>
      <c r="Q26" s="99">
        <v>0</v>
      </c>
    </row>
    <row r="27" spans="2:17" ht="7" customHeight="1" x14ac:dyDescent="0.2">
      <c r="B27" s="248"/>
      <c r="C27" s="98"/>
      <c r="D27" s="98"/>
      <c r="E27" s="98"/>
      <c r="F27" s="98"/>
      <c r="G27" s="98"/>
      <c r="H27" s="99"/>
      <c r="I27" s="99"/>
      <c r="J27" s="99"/>
      <c r="K27" s="99"/>
      <c r="L27" s="99"/>
      <c r="M27" s="99"/>
      <c r="N27" s="99"/>
      <c r="O27" s="99"/>
      <c r="P27" s="99"/>
      <c r="Q27" s="99"/>
    </row>
    <row r="28" spans="2:17" ht="17" thickBot="1" x14ac:dyDescent="0.25">
      <c r="B28" s="251" t="s">
        <v>291</v>
      </c>
      <c r="C28" s="254"/>
      <c r="D28" s="254">
        <f>SUM(D20:D26)</f>
        <v>465750</v>
      </c>
      <c r="E28" s="254">
        <f t="shared" ref="E28:Q28" si="4">SUM(E20:E26)</f>
        <v>304981</v>
      </c>
      <c r="F28" s="254">
        <f t="shared" si="4"/>
        <v>335460</v>
      </c>
      <c r="G28" s="254">
        <f t="shared" si="4"/>
        <v>919791</v>
      </c>
      <c r="H28" s="254">
        <f t="shared" si="4"/>
        <v>-1792730.455969193</v>
      </c>
      <c r="I28" s="254">
        <f t="shared" si="4"/>
        <v>-1482319.0541986034</v>
      </c>
      <c r="J28" s="254">
        <f t="shared" si="4"/>
        <v>-1175499.6808700913</v>
      </c>
      <c r="K28" s="254">
        <f t="shared" si="4"/>
        <v>-713256.32589953905</v>
      </c>
      <c r="L28" s="254">
        <f t="shared" si="4"/>
        <v>-82532.088981655659</v>
      </c>
      <c r="M28" s="254">
        <f t="shared" si="4"/>
        <v>723274.1279678084</v>
      </c>
      <c r="N28" s="254">
        <f t="shared" si="4"/>
        <v>1708697.435944458</v>
      </c>
      <c r="O28" s="254">
        <f t="shared" si="4"/>
        <v>2871328.1091453354</v>
      </c>
      <c r="P28" s="254">
        <f t="shared" si="4"/>
        <v>4197291.0941990037</v>
      </c>
      <c r="Q28" s="254">
        <f t="shared" si="4"/>
        <v>5664186.3616930414</v>
      </c>
    </row>
    <row r="30" spans="2:17" x14ac:dyDescent="0.2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2:17" x14ac:dyDescent="0.2">
      <c r="B31" s="10" t="s">
        <v>296</v>
      </c>
      <c r="C31" s="10"/>
      <c r="D31" s="14">
        <f t="shared" ref="D31:I31" si="5">C33</f>
        <v>2244406</v>
      </c>
      <c r="E31" s="14">
        <f t="shared" si="5"/>
        <v>2710156</v>
      </c>
      <c r="F31" s="14">
        <f t="shared" si="5"/>
        <v>3015137</v>
      </c>
      <c r="G31" s="14">
        <f t="shared" si="5"/>
        <v>3350597</v>
      </c>
      <c r="H31" s="14">
        <f t="shared" si="5"/>
        <v>4270388</v>
      </c>
      <c r="I31" s="14">
        <f t="shared" si="5"/>
        <v>2477657.544030807</v>
      </c>
      <c r="J31" s="14">
        <f t="shared" ref="J31:Q31" si="6">I33</f>
        <v>995338.4898322036</v>
      </c>
      <c r="K31" s="14">
        <f t="shared" si="6"/>
        <v>-180161.19103788771</v>
      </c>
      <c r="L31" s="14">
        <f t="shared" si="6"/>
        <v>-893417.51693742676</v>
      </c>
      <c r="M31" s="14">
        <f t="shared" si="6"/>
        <v>-975949.60591908242</v>
      </c>
      <c r="N31" s="14">
        <f t="shared" si="6"/>
        <v>-252675.47795127402</v>
      </c>
      <c r="O31" s="14">
        <f t="shared" si="6"/>
        <v>1456021.957993184</v>
      </c>
      <c r="P31" s="14">
        <f t="shared" si="6"/>
        <v>4327350.0671385191</v>
      </c>
      <c r="Q31" s="14">
        <f t="shared" si="6"/>
        <v>8524641.1613375228</v>
      </c>
    </row>
    <row r="32" spans="2:17" x14ac:dyDescent="0.2">
      <c r="B32" s="10" t="s">
        <v>294</v>
      </c>
      <c r="C32" s="98">
        <f>C28</f>
        <v>0</v>
      </c>
      <c r="D32" s="98">
        <f t="shared" ref="D32:Q32" si="7">D28</f>
        <v>465750</v>
      </c>
      <c r="E32" s="98">
        <f t="shared" si="7"/>
        <v>304981</v>
      </c>
      <c r="F32" s="98">
        <f t="shared" si="7"/>
        <v>335460</v>
      </c>
      <c r="G32" s="98">
        <f t="shared" si="7"/>
        <v>919791</v>
      </c>
      <c r="H32" s="98">
        <f t="shared" si="7"/>
        <v>-1792730.455969193</v>
      </c>
      <c r="I32" s="98">
        <f t="shared" si="7"/>
        <v>-1482319.0541986034</v>
      </c>
      <c r="J32" s="98">
        <f t="shared" si="7"/>
        <v>-1175499.6808700913</v>
      </c>
      <c r="K32" s="98">
        <f t="shared" si="7"/>
        <v>-713256.32589953905</v>
      </c>
      <c r="L32" s="98">
        <f t="shared" si="7"/>
        <v>-82532.088981655659</v>
      </c>
      <c r="M32" s="98">
        <f t="shared" si="7"/>
        <v>723274.1279678084</v>
      </c>
      <c r="N32" s="98">
        <f t="shared" si="7"/>
        <v>1708697.435944458</v>
      </c>
      <c r="O32" s="98">
        <f t="shared" si="7"/>
        <v>2871328.1091453354</v>
      </c>
      <c r="P32" s="98">
        <f t="shared" si="7"/>
        <v>4197291.0941990037</v>
      </c>
      <c r="Q32" s="98">
        <f t="shared" si="7"/>
        <v>5664186.3616930414</v>
      </c>
    </row>
    <row r="33" spans="2:17" x14ac:dyDescent="0.2">
      <c r="B33" s="10" t="s">
        <v>295</v>
      </c>
      <c r="C33" s="14">
        <f>BSO!C4</f>
        <v>2244406</v>
      </c>
      <c r="D33" s="14">
        <f>D31+D32</f>
        <v>2710156</v>
      </c>
      <c r="E33" s="14">
        <f>E31+E32</f>
        <v>3015137</v>
      </c>
      <c r="F33" s="14">
        <f>F31+F32</f>
        <v>3350597</v>
      </c>
      <c r="G33" s="14">
        <f>G31+G32</f>
        <v>4270388</v>
      </c>
      <c r="H33" s="14">
        <f t="shared" ref="H33:Q33" si="8">H31+H32</f>
        <v>2477657.544030807</v>
      </c>
      <c r="I33" s="14">
        <f t="shared" si="8"/>
        <v>995338.4898322036</v>
      </c>
      <c r="J33" s="14">
        <f t="shared" si="8"/>
        <v>-180161.19103788771</v>
      </c>
      <c r="K33" s="14">
        <f t="shared" si="8"/>
        <v>-893417.51693742676</v>
      </c>
      <c r="L33" s="14">
        <f t="shared" si="8"/>
        <v>-975949.60591908242</v>
      </c>
      <c r="M33" s="14">
        <f t="shared" si="8"/>
        <v>-252675.47795127402</v>
      </c>
      <c r="N33" s="14">
        <f t="shared" si="8"/>
        <v>1456021.957993184</v>
      </c>
      <c r="O33" s="14">
        <f t="shared" si="8"/>
        <v>4327350.0671385191</v>
      </c>
      <c r="P33" s="14">
        <f t="shared" si="8"/>
        <v>8524641.1613375228</v>
      </c>
      <c r="Q33" s="14">
        <f t="shared" si="8"/>
        <v>14188827.523030564</v>
      </c>
    </row>
    <row r="34" spans="2:17" x14ac:dyDescent="0.2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</row>
    <row r="35" spans="2:17" x14ac:dyDescent="0.2">
      <c r="B35" s="10" t="s">
        <v>321</v>
      </c>
      <c r="C35" s="14"/>
      <c r="D35" s="67">
        <f>AVERAGE(D26:G26)/AVERAGE(D20:G20)</f>
        <v>-0.790283303168966</v>
      </c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</row>
    <row r="36" spans="2:17" x14ac:dyDescent="0.2">
      <c r="B36" s="10" t="s">
        <v>130</v>
      </c>
      <c r="C36" s="14">
        <f>BSO!C4-'Cash Flow'!C33</f>
        <v>0</v>
      </c>
      <c r="D36" s="14">
        <f>BSO!D4-'Cash Flow'!D33</f>
        <v>0</v>
      </c>
      <c r="E36" s="14">
        <f>BSO!E4-'Cash Flow'!E33</f>
        <v>0</v>
      </c>
      <c r="F36" s="14">
        <f>BSO!F4-'Cash Flow'!F33</f>
        <v>0</v>
      </c>
      <c r="G36" s="14">
        <f>BSO!G4-'Cash Flow'!G33</f>
        <v>0</v>
      </c>
      <c r="H36" s="14">
        <f>BSO!H4-'Cash Flow'!H33</f>
        <v>0</v>
      </c>
      <c r="I36" s="14">
        <f>BSO!I4-'Cash Flow'!I33</f>
        <v>0</v>
      </c>
      <c r="J36" s="14">
        <f>BSO!J4-'Cash Flow'!J33</f>
        <v>0</v>
      </c>
      <c r="K36" s="14">
        <f>BSO!K4-'Cash Flow'!K33</f>
        <v>0</v>
      </c>
      <c r="L36" s="14">
        <f>BSO!L4-'Cash Flow'!L33</f>
        <v>0</v>
      </c>
      <c r="M36" s="14">
        <f>BSO!M4-'Cash Flow'!M33</f>
        <v>0</v>
      </c>
      <c r="N36" s="14">
        <f>BSO!N4-'Cash Flow'!N33</f>
        <v>0</v>
      </c>
      <c r="O36" s="14">
        <f>BSO!O4-'Cash Flow'!O33</f>
        <v>0</v>
      </c>
      <c r="P36" s="14">
        <f>BSO!P4-'Cash Flow'!P33</f>
        <v>0</v>
      </c>
      <c r="Q36" s="14">
        <f>BSO!Q4-'Cash Flow'!Q33</f>
        <v>0</v>
      </c>
    </row>
    <row r="37" spans="2:17" x14ac:dyDescent="0.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</sheetData>
  <phoneticPr fontId="33" type="noConversion"/>
  <pageMargins left="0.7" right="0.7" top="0.75" bottom="0.75" header="0.3" footer="0.3"/>
  <pageSetup orientation="portrait" horizontalDpi="0" verticalDpi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showGridLines="0" tabSelected="1" zoomScaleNormal="50" zoomScalePageLayoutView="5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P17" sqref="P17"/>
    </sheetView>
  </sheetViews>
  <sheetFormatPr baseColWidth="10" defaultRowHeight="16" x14ac:dyDescent="0.2"/>
  <cols>
    <col min="1" max="1" width="2" customWidth="1"/>
    <col min="2" max="2" width="25.5" customWidth="1"/>
    <col min="7" max="7" width="11.6640625" bestFit="1" customWidth="1"/>
  </cols>
  <sheetData>
    <row r="1" spans="2:17" x14ac:dyDescent="0.2">
      <c r="B1" s="70" t="s">
        <v>337</v>
      </c>
    </row>
    <row r="3" spans="2:17" x14ac:dyDescent="0.2">
      <c r="B3" s="3" t="s">
        <v>338</v>
      </c>
      <c r="C3" s="287">
        <f>Drivers!C13</f>
        <v>7.0000000000000001E-3</v>
      </c>
    </row>
    <row r="4" spans="2:17" x14ac:dyDescent="0.2">
      <c r="H4" s="10">
        <v>1</v>
      </c>
      <c r="I4" s="291">
        <v>2</v>
      </c>
      <c r="J4" s="10">
        <v>3</v>
      </c>
      <c r="K4" s="10">
        <v>4</v>
      </c>
      <c r="L4" s="10">
        <v>5</v>
      </c>
      <c r="M4" s="10">
        <v>6</v>
      </c>
      <c r="N4" s="10">
        <v>7</v>
      </c>
      <c r="O4" s="10">
        <v>8</v>
      </c>
      <c r="P4" s="10">
        <v>9</v>
      </c>
      <c r="Q4" s="10">
        <v>10</v>
      </c>
    </row>
    <row r="5" spans="2:17" ht="35" customHeight="1" x14ac:dyDescent="0.2">
      <c r="B5" s="284" t="s">
        <v>339</v>
      </c>
      <c r="C5" s="113" t="s">
        <v>166</v>
      </c>
      <c r="D5" s="113" t="s">
        <v>167</v>
      </c>
      <c r="E5" s="113" t="s">
        <v>168</v>
      </c>
      <c r="F5" s="113" t="s">
        <v>169</v>
      </c>
      <c r="G5" s="113" t="s">
        <v>170</v>
      </c>
      <c r="H5" s="194" t="s">
        <v>224</v>
      </c>
      <c r="I5" s="194" t="s">
        <v>225</v>
      </c>
      <c r="J5" s="194" t="s">
        <v>226</v>
      </c>
      <c r="K5" s="194" t="s">
        <v>227</v>
      </c>
      <c r="L5" s="194" t="s">
        <v>228</v>
      </c>
      <c r="M5" s="194" t="s">
        <v>229</v>
      </c>
      <c r="N5" s="194" t="s">
        <v>230</v>
      </c>
      <c r="O5" s="194" t="s">
        <v>231</v>
      </c>
      <c r="P5" s="194" t="s">
        <v>232</v>
      </c>
      <c r="Q5" s="194" t="s">
        <v>233</v>
      </c>
    </row>
    <row r="6" spans="2:17" x14ac:dyDescent="0.2">
      <c r="B6" s="10" t="s">
        <v>286</v>
      </c>
      <c r="C6" s="286"/>
      <c r="D6" s="286"/>
      <c r="E6" s="286"/>
      <c r="F6" s="286"/>
      <c r="G6" s="286"/>
      <c r="H6" s="99">
        <f>'Cash Flow'!H20</f>
        <v>-763208.13038527779</v>
      </c>
      <c r="I6" s="99">
        <f>'Cash Flow'!I20</f>
        <v>264068.47323779203</v>
      </c>
      <c r="J6" s="99">
        <f>'Cash Flow'!J20</f>
        <v>569526.86942432122</v>
      </c>
      <c r="K6" s="99">
        <f>'Cash Flow'!K20</f>
        <v>1034492.4580250904</v>
      </c>
      <c r="L6" s="99">
        <f>'Cash Flow'!L20</f>
        <v>1667220.9984367546</v>
      </c>
      <c r="M6" s="99">
        <f>'Cash Flow'!M20</f>
        <v>2474037.0183772119</v>
      </c>
      <c r="N6" s="99">
        <f>'Cash Flow'!N20</f>
        <v>3460642.5251747705</v>
      </c>
      <c r="O6" s="99">
        <f>'Cash Flow'!O20</f>
        <v>4625374.607401642</v>
      </c>
      <c r="P6" s="99">
        <f>'Cash Flow'!P20</f>
        <v>5952567.0817143684</v>
      </c>
      <c r="Q6" s="99">
        <f>'Cash Flow'!Q20</f>
        <v>7420856.1329311877</v>
      </c>
    </row>
    <row r="7" spans="2:17" x14ac:dyDescent="0.2">
      <c r="B7" s="10" t="s">
        <v>340</v>
      </c>
      <c r="C7" s="286"/>
      <c r="D7" s="286"/>
      <c r="E7" s="286"/>
      <c r="F7" s="286"/>
      <c r="G7" s="286"/>
      <c r="H7" s="99"/>
      <c r="I7" s="99"/>
      <c r="J7" s="99"/>
      <c r="K7" s="99"/>
      <c r="L7" s="99"/>
      <c r="M7" s="99"/>
      <c r="N7" s="99"/>
      <c r="O7" s="99"/>
      <c r="P7" s="99"/>
      <c r="Q7" s="99">
        <f>Q6*(1+C3)/(Q9-C3)</f>
        <v>94938899.920452163</v>
      </c>
    </row>
    <row r="8" spans="2:17" x14ac:dyDescent="0.2">
      <c r="C8" s="286"/>
      <c r="D8" s="286"/>
      <c r="E8" s="286"/>
      <c r="F8" s="286"/>
      <c r="G8" s="286"/>
      <c r="H8" s="99"/>
      <c r="I8" s="99"/>
      <c r="J8" s="99"/>
      <c r="K8" s="99"/>
      <c r="L8" s="99"/>
      <c r="M8" s="99"/>
      <c r="N8" s="99"/>
      <c r="O8" s="99"/>
      <c r="P8" s="99"/>
      <c r="Q8" s="99"/>
    </row>
    <row r="9" spans="2:17" x14ac:dyDescent="0.2">
      <c r="B9" s="15" t="s">
        <v>341</v>
      </c>
      <c r="C9" s="288"/>
      <c r="D9" s="288"/>
      <c r="E9" s="288"/>
      <c r="F9" s="288"/>
      <c r="G9" s="288"/>
      <c r="H9" s="290">
        <f>WACC!H24</f>
        <v>7.7737841652884304E-2</v>
      </c>
      <c r="I9" s="290">
        <f>WACC!I24</f>
        <v>7.8789370238303014E-2</v>
      </c>
      <c r="J9" s="290">
        <f>WACC!J24</f>
        <v>7.978787710031518E-2</v>
      </c>
      <c r="K9" s="290">
        <f>WACC!K24</f>
        <v>8.0745196649896836E-2</v>
      </c>
      <c r="L9" s="290">
        <f>WACC!L24</f>
        <v>8.1662451233877387E-2</v>
      </c>
      <c r="M9" s="290">
        <f>WACC!M24</f>
        <v>8.2540320026105646E-2</v>
      </c>
      <c r="N9" s="290">
        <f>WACC!N24</f>
        <v>8.338157327367314E-2</v>
      </c>
      <c r="O9" s="290">
        <f>WACC!O24</f>
        <v>8.4189939090964491E-2</v>
      </c>
      <c r="P9" s="290">
        <f>WACC!P24</f>
        <v>8.4965932976188513E-2</v>
      </c>
      <c r="Q9" s="290">
        <f>WACC!Q24</f>
        <v>8.5711699125680316E-2</v>
      </c>
    </row>
    <row r="10" spans="2:17" x14ac:dyDescent="0.2">
      <c r="B10" s="3" t="s">
        <v>342</v>
      </c>
      <c r="C10" s="286"/>
      <c r="D10" s="286"/>
      <c r="E10" s="286"/>
      <c r="F10" s="286"/>
      <c r="G10" s="286"/>
      <c r="H10" s="275">
        <f>H6/(1+H9)^H4</f>
        <v>-708157.49516113813</v>
      </c>
      <c r="I10" s="275">
        <f t="shared" ref="I10:Q10" si="0">I6/(1+I9)^I4</f>
        <v>226904.5671403762</v>
      </c>
      <c r="J10" s="275">
        <f t="shared" si="0"/>
        <v>452375.29194453207</v>
      </c>
      <c r="K10" s="275">
        <f t="shared" si="0"/>
        <v>758287.80710025225</v>
      </c>
      <c r="L10" s="275">
        <f t="shared" si="0"/>
        <v>1125989.6591245127</v>
      </c>
      <c r="M10" s="275">
        <f t="shared" si="0"/>
        <v>1537240.1108162499</v>
      </c>
      <c r="N10" s="275">
        <f t="shared" si="0"/>
        <v>1975543.6410010995</v>
      </c>
      <c r="O10" s="275">
        <f t="shared" si="0"/>
        <v>2422723.9298792765</v>
      </c>
      <c r="P10" s="275">
        <f t="shared" si="0"/>
        <v>2857323.2897872543</v>
      </c>
      <c r="Q10" s="275">
        <f t="shared" si="0"/>
        <v>3260684.9276640965</v>
      </c>
    </row>
    <row r="11" spans="2:17" x14ac:dyDescent="0.2">
      <c r="B11" s="10" t="s">
        <v>343</v>
      </c>
      <c r="C11" s="286"/>
      <c r="D11" s="286"/>
      <c r="E11" s="286"/>
      <c r="F11" s="286"/>
      <c r="G11" s="286"/>
      <c r="H11" s="99"/>
      <c r="I11" s="99"/>
      <c r="J11" s="99"/>
      <c r="K11" s="99"/>
      <c r="L11" s="99"/>
      <c r="M11" s="99"/>
      <c r="N11" s="99"/>
      <c r="O11" s="99"/>
      <c r="P11" s="99"/>
      <c r="Q11" s="99">
        <f>Q7/(1+Q9)^Q4</f>
        <v>41715650.38781476</v>
      </c>
    </row>
    <row r="12" spans="2:17" x14ac:dyDescent="0.2">
      <c r="B12" s="10"/>
    </row>
    <row r="13" spans="2:17" x14ac:dyDescent="0.2">
      <c r="B13" s="45"/>
      <c r="C13" s="66"/>
      <c r="D13" s="66"/>
      <c r="E13" s="178" t="s">
        <v>350</v>
      </c>
      <c r="F13" s="66"/>
      <c r="G13" s="66"/>
      <c r="H13" s="66"/>
      <c r="I13" s="66"/>
      <c r="J13" s="66"/>
      <c r="K13" s="66"/>
    </row>
    <row r="14" spans="2:17" x14ac:dyDescent="0.2">
      <c r="B14" s="10" t="s">
        <v>344</v>
      </c>
      <c r="G14" s="294">
        <f>SUM(H10:Q10)</f>
        <v>13908915.729296513</v>
      </c>
    </row>
    <row r="15" spans="2:17" x14ac:dyDescent="0.2">
      <c r="B15" s="10" t="s">
        <v>345</v>
      </c>
      <c r="G15" s="294">
        <f>Q7</f>
        <v>94938899.920452163</v>
      </c>
    </row>
    <row r="16" spans="2:17" x14ac:dyDescent="0.2">
      <c r="B16" s="15" t="s">
        <v>346</v>
      </c>
      <c r="C16" s="72"/>
      <c r="D16" s="72"/>
      <c r="E16" s="72"/>
      <c r="F16" s="72"/>
      <c r="G16" s="295">
        <f>Q11</f>
        <v>41715650.38781476</v>
      </c>
    </row>
    <row r="17" spans="2:7" x14ac:dyDescent="0.2">
      <c r="B17" s="301" t="s">
        <v>347</v>
      </c>
      <c r="G17" s="300">
        <f>G14+G16</f>
        <v>55624566.117111273</v>
      </c>
    </row>
    <row r="18" spans="2:7" x14ac:dyDescent="0.2">
      <c r="B18" s="292" t="s">
        <v>351</v>
      </c>
      <c r="G18" s="74">
        <f>BSO!G4</f>
        <v>4270388</v>
      </c>
    </row>
    <row r="19" spans="2:7" x14ac:dyDescent="0.2">
      <c r="B19" s="293" t="s">
        <v>352</v>
      </c>
      <c r="C19" s="72"/>
      <c r="D19" s="72"/>
      <c r="E19" s="72"/>
      <c r="F19" s="72"/>
      <c r="G19" s="75">
        <f>-(BSO!G27+BSO!G34)</f>
        <v>-10901186</v>
      </c>
    </row>
    <row r="20" spans="2:7" x14ac:dyDescent="0.2">
      <c r="B20" s="298" t="s">
        <v>353</v>
      </c>
      <c r="C20" s="296"/>
      <c r="D20" s="296"/>
      <c r="E20" s="296"/>
      <c r="F20" s="296"/>
      <c r="G20" s="299">
        <f>SUM(G17:G19)</f>
        <v>48993768.117111273</v>
      </c>
    </row>
    <row r="21" spans="2:7" x14ac:dyDescent="0.2">
      <c r="B21" s="51" t="s">
        <v>348</v>
      </c>
      <c r="C21" s="296"/>
      <c r="D21" s="296"/>
      <c r="E21" s="296"/>
      <c r="F21" s="296"/>
      <c r="G21" s="297">
        <v>180833806</v>
      </c>
    </row>
    <row r="22" spans="2:7" x14ac:dyDescent="0.2">
      <c r="B22" s="285" t="s">
        <v>349</v>
      </c>
      <c r="C22" s="289"/>
      <c r="D22" s="289"/>
      <c r="E22" s="289"/>
      <c r="F22" s="289"/>
      <c r="G22" s="308">
        <f>G20/G21*1000000</f>
        <v>270932.57173999463</v>
      </c>
    </row>
    <row r="23" spans="2:7" x14ac:dyDescent="0.2">
      <c r="B23" s="10"/>
    </row>
    <row r="24" spans="2:7" x14ac:dyDescent="0.2">
      <c r="B24" s="10"/>
    </row>
    <row r="25" spans="2:7" x14ac:dyDescent="0.2">
      <c r="B25" s="10"/>
    </row>
    <row r="26" spans="2:7" x14ac:dyDescent="0.2">
      <c r="B26" s="10"/>
    </row>
    <row r="27" spans="2:7" x14ac:dyDescent="0.2">
      <c r="B27" s="10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zoomScale="150" workbookViewId="0">
      <selection activeCell="B1" sqref="B1"/>
    </sheetView>
  </sheetViews>
  <sheetFormatPr baseColWidth="10" defaultRowHeight="16" x14ac:dyDescent="0.2"/>
  <cols>
    <col min="1" max="1" width="2.5" customWidth="1"/>
    <col min="2" max="2" width="28.5" customWidth="1"/>
  </cols>
  <sheetData>
    <row r="1" spans="2:8" x14ac:dyDescent="0.2">
      <c r="B1" s="305" t="s">
        <v>47</v>
      </c>
    </row>
    <row r="2" spans="2:8" x14ac:dyDescent="0.2">
      <c r="B2" s="10"/>
      <c r="C2" s="10"/>
      <c r="D2" s="10"/>
      <c r="E2" s="10"/>
      <c r="F2" s="10"/>
      <c r="G2" s="10"/>
      <c r="H2" s="10"/>
    </row>
    <row r="3" spans="2:8" ht="17" thickBot="1" x14ac:dyDescent="0.25">
      <c r="B3" s="11" t="s">
        <v>15</v>
      </c>
      <c r="C3" s="12"/>
      <c r="D3" s="13" t="s">
        <v>16</v>
      </c>
      <c r="E3" s="13" t="s">
        <v>17</v>
      </c>
      <c r="F3" s="13" t="s">
        <v>18</v>
      </c>
      <c r="G3" s="13" t="s">
        <v>19</v>
      </c>
      <c r="H3" s="13" t="s">
        <v>20</v>
      </c>
    </row>
    <row r="4" spans="2:8" x14ac:dyDescent="0.2">
      <c r="B4" s="10" t="s">
        <v>21</v>
      </c>
      <c r="C4" s="10"/>
      <c r="D4" s="14">
        <v>59040767</v>
      </c>
      <c r="E4" s="14">
        <v>56509008</v>
      </c>
      <c r="F4" s="14">
        <v>55367033</v>
      </c>
      <c r="G4" s="14">
        <v>61396284</v>
      </c>
      <c r="H4" s="14">
        <v>61341664</v>
      </c>
    </row>
    <row r="5" spans="2:8" x14ac:dyDescent="0.2">
      <c r="B5" s="15" t="s">
        <v>22</v>
      </c>
      <c r="C5" s="15"/>
      <c r="D5" s="16">
        <v>45299122</v>
      </c>
      <c r="E5" s="16">
        <v>43635063</v>
      </c>
      <c r="F5" s="16">
        <v>41630293</v>
      </c>
      <c r="G5" s="16">
        <v>46737563</v>
      </c>
      <c r="H5" s="16">
        <v>46260620</v>
      </c>
    </row>
    <row r="6" spans="2:8" x14ac:dyDescent="0.2">
      <c r="B6" s="17" t="s">
        <v>23</v>
      </c>
      <c r="C6" s="10"/>
      <c r="D6" s="18">
        <f>D4-D5</f>
        <v>13741645</v>
      </c>
      <c r="E6" s="18">
        <f>E4-E5</f>
        <v>12873945</v>
      </c>
      <c r="F6" s="18">
        <f>F4-F5</f>
        <v>13736740</v>
      </c>
      <c r="G6" s="18">
        <f>G4-G5</f>
        <v>14658721</v>
      </c>
      <c r="H6" s="18">
        <f>H4-H5</f>
        <v>15081044</v>
      </c>
    </row>
    <row r="7" spans="2:8" x14ac:dyDescent="0.2">
      <c r="B7" s="19" t="s">
        <v>24</v>
      </c>
      <c r="C7" s="10"/>
      <c r="D7" s="14">
        <v>6973017</v>
      </c>
      <c r="E7" s="14">
        <v>6607913</v>
      </c>
      <c r="F7" s="14">
        <v>6689714</v>
      </c>
      <c r="G7" s="14">
        <v>7125664</v>
      </c>
      <c r="H7" s="14">
        <v>7431183</v>
      </c>
    </row>
    <row r="8" spans="2:8" x14ac:dyDescent="0.2">
      <c r="B8" s="19" t="s">
        <v>25</v>
      </c>
      <c r="C8" s="10"/>
      <c r="D8" s="14">
        <v>1314126</v>
      </c>
      <c r="E8" s="14">
        <v>1409512</v>
      </c>
      <c r="F8" s="14">
        <v>1347677</v>
      </c>
      <c r="G8" s="14">
        <v>1345606</v>
      </c>
      <c r="H8" s="14">
        <v>1341955</v>
      </c>
    </row>
    <row r="9" spans="2:8" x14ac:dyDescent="0.2">
      <c r="B9" s="19" t="s">
        <v>26</v>
      </c>
      <c r="C9" s="10"/>
      <c r="D9" s="14">
        <v>2264286</v>
      </c>
      <c r="E9" s="14">
        <v>2377830</v>
      </c>
      <c r="F9" s="14">
        <v>2468628</v>
      </c>
      <c r="G9" s="14">
        <v>2386876</v>
      </c>
      <c r="H9" s="14">
        <v>2324022</v>
      </c>
    </row>
    <row r="10" spans="2:8" x14ac:dyDescent="0.2">
      <c r="B10" s="20" t="s">
        <v>27</v>
      </c>
      <c r="C10" s="15"/>
      <c r="D10" s="16">
        <v>1361659</v>
      </c>
      <c r="E10" s="16">
        <v>1286399</v>
      </c>
      <c r="F10" s="16">
        <v>1892958</v>
      </c>
      <c r="G10" s="16">
        <v>1332026</v>
      </c>
      <c r="H10" s="16">
        <v>1280593</v>
      </c>
    </row>
    <row r="11" spans="2:8" x14ac:dyDescent="0.2">
      <c r="B11" s="3" t="s">
        <v>28</v>
      </c>
      <c r="C11" s="10"/>
      <c r="D11" s="18">
        <f>D6-(D7+D8+D9+D10)</f>
        <v>1828557</v>
      </c>
      <c r="E11" s="18">
        <f>E6-(E7+E8+E9+E10)</f>
        <v>1192291</v>
      </c>
      <c r="F11" s="18">
        <f>F6-(F7+F8+F9+F10)</f>
        <v>1337763</v>
      </c>
      <c r="G11" s="18">
        <f>G6-(G7+G8+G9+G10)</f>
        <v>2468549</v>
      </c>
      <c r="H11" s="18">
        <f>H6-(H7+H8+H9+H10)</f>
        <v>2703291</v>
      </c>
    </row>
    <row r="12" spans="2:8" x14ac:dyDescent="0.2">
      <c r="B12" s="19" t="s">
        <v>29</v>
      </c>
      <c r="C12" s="10"/>
      <c r="D12" s="14">
        <v>416660</v>
      </c>
      <c r="E12" s="14">
        <v>542586</v>
      </c>
      <c r="F12" s="14">
        <v>490593</v>
      </c>
      <c r="G12" s="14">
        <v>483665</v>
      </c>
      <c r="H12" s="14">
        <v>487370</v>
      </c>
    </row>
    <row r="13" spans="2:8" x14ac:dyDescent="0.2">
      <c r="B13" s="19" t="s">
        <v>30</v>
      </c>
      <c r="C13" s="10"/>
      <c r="D13" s="14">
        <v>752456</v>
      </c>
      <c r="E13" s="14">
        <v>903084</v>
      </c>
      <c r="F13" s="14">
        <v>884051</v>
      </c>
      <c r="G13" s="14">
        <v>831114</v>
      </c>
      <c r="H13" s="14">
        <v>796569</v>
      </c>
    </row>
    <row r="14" spans="2:8" x14ac:dyDescent="0.2">
      <c r="B14" s="19" t="s">
        <v>31</v>
      </c>
      <c r="C14" s="10"/>
      <c r="D14" s="14">
        <v>304419</v>
      </c>
      <c r="E14" s="14">
        <v>359510</v>
      </c>
      <c r="F14" s="14">
        <v>268738</v>
      </c>
      <c r="G14" s="14">
        <v>667475</v>
      </c>
      <c r="H14" s="14">
        <v>-77161</v>
      </c>
    </row>
    <row r="15" spans="2:8" x14ac:dyDescent="0.2">
      <c r="B15" s="19" t="s">
        <v>32</v>
      </c>
      <c r="C15" s="10"/>
      <c r="D15" s="14">
        <v>1378552</v>
      </c>
      <c r="E15" s="14">
        <v>1881632</v>
      </c>
      <c r="F15" s="14">
        <v>1894584</v>
      </c>
      <c r="G15" s="14">
        <v>1346607</v>
      </c>
      <c r="H15" s="14">
        <v>1251599</v>
      </c>
    </row>
    <row r="16" spans="2:8" x14ac:dyDescent="0.2">
      <c r="B16" s="20" t="s">
        <v>33</v>
      </c>
      <c r="C16" s="15"/>
      <c r="D16" s="16">
        <v>1957462</v>
      </c>
      <c r="E16" s="16">
        <v>2479810</v>
      </c>
      <c r="F16" s="16">
        <v>2385910</v>
      </c>
      <c r="G16" s="16">
        <v>1577070</v>
      </c>
      <c r="H16" s="16">
        <v>1559955</v>
      </c>
    </row>
    <row r="17" spans="2:8" x14ac:dyDescent="0.2">
      <c r="B17" s="17" t="s">
        <v>34</v>
      </c>
      <c r="C17" s="10"/>
      <c r="D17" s="18">
        <f>D11+D12-D13+D14+D15-D16</f>
        <v>1218270</v>
      </c>
      <c r="E17" s="18">
        <f>E11+E12-E13+E14+E15-E16</f>
        <v>593125</v>
      </c>
      <c r="F17" s="18">
        <f>F11+F12-F13+F14+F15-F16</f>
        <v>721717</v>
      </c>
      <c r="G17" s="18">
        <f>G11+G12-G13+G14+G15-G16</f>
        <v>2558112</v>
      </c>
      <c r="H17" s="18">
        <f>H11+H12-H13+H14+H15-H16</f>
        <v>2008575</v>
      </c>
    </row>
    <row r="18" spans="2:8" x14ac:dyDescent="0.2">
      <c r="B18" s="20" t="s">
        <v>35</v>
      </c>
      <c r="C18" s="15"/>
      <c r="D18" s="16">
        <v>539761</v>
      </c>
      <c r="E18" s="16">
        <v>340154</v>
      </c>
      <c r="F18" s="16">
        <v>595402</v>
      </c>
      <c r="G18" s="16">
        <v>688594</v>
      </c>
      <c r="H18" s="16">
        <v>535761</v>
      </c>
    </row>
    <row r="19" spans="2:8" x14ac:dyDescent="0.2">
      <c r="B19" s="19" t="s">
        <v>36</v>
      </c>
      <c r="C19" s="10"/>
      <c r="D19" s="14">
        <f>D17-D18</f>
        <v>678509</v>
      </c>
      <c r="E19" s="14">
        <f>E17-E18</f>
        <v>252971</v>
      </c>
      <c r="F19" s="14">
        <f>F17-F18</f>
        <v>126315</v>
      </c>
      <c r="G19" s="14">
        <f>G17-G18</f>
        <v>1869518</v>
      </c>
      <c r="H19" s="14">
        <f>H17-H18</f>
        <v>1472814</v>
      </c>
    </row>
    <row r="20" spans="2:8" x14ac:dyDescent="0.2">
      <c r="B20" s="20" t="s">
        <v>37</v>
      </c>
      <c r="C20" s="15"/>
      <c r="D20" s="16">
        <v>-177152</v>
      </c>
      <c r="E20" s="16">
        <v>-3828</v>
      </c>
      <c r="F20" s="15">
        <v>0</v>
      </c>
      <c r="G20" s="15">
        <v>0</v>
      </c>
      <c r="H20" s="15">
        <v>0</v>
      </c>
    </row>
    <row r="21" spans="2:8" ht="17" thickBot="1" x14ac:dyDescent="0.25">
      <c r="B21" s="21" t="s">
        <v>38</v>
      </c>
      <c r="C21" s="22"/>
      <c r="D21" s="23">
        <f>D19+D20</f>
        <v>501357</v>
      </c>
      <c r="E21" s="23">
        <f>E19+E20</f>
        <v>249143</v>
      </c>
      <c r="F21" s="23">
        <f>F19+F20</f>
        <v>126315</v>
      </c>
      <c r="G21" s="23">
        <f>G19+G20</f>
        <v>1869518</v>
      </c>
      <c r="H21" s="23">
        <f>H19+H20</f>
        <v>1472814</v>
      </c>
    </row>
    <row r="22" spans="2:8" x14ac:dyDescent="0.2">
      <c r="B22" s="19"/>
      <c r="C22" s="10"/>
      <c r="D22" s="10"/>
      <c r="E22" s="10"/>
      <c r="F22" s="10"/>
      <c r="G22" s="10"/>
      <c r="H22" s="10"/>
    </row>
    <row r="23" spans="2:8" x14ac:dyDescent="0.2">
      <c r="B23" s="24" t="s">
        <v>39</v>
      </c>
      <c r="C23" s="25"/>
      <c r="D23" s="25"/>
      <c r="E23" s="25"/>
      <c r="F23" s="25"/>
      <c r="G23" s="25"/>
      <c r="H23" s="25"/>
    </row>
    <row r="24" spans="2:8" x14ac:dyDescent="0.2">
      <c r="B24" s="24" t="s">
        <v>40</v>
      </c>
      <c r="C24" s="25"/>
      <c r="D24" s="25"/>
      <c r="E24" s="26">
        <f>E4/D4-1</f>
        <v>-4.2881539801134405E-2</v>
      </c>
      <c r="F24" s="26">
        <f>F4/E4-1</f>
        <v>-2.0208724952312074E-2</v>
      </c>
      <c r="G24" s="26">
        <f>G4/F4-1</f>
        <v>0.10889604649756102</v>
      </c>
      <c r="H24" s="26">
        <f>H4/G4-1</f>
        <v>-8.8963038870559785E-4</v>
      </c>
    </row>
    <row r="25" spans="2:8" x14ac:dyDescent="0.2">
      <c r="B25" s="24" t="s">
        <v>41</v>
      </c>
      <c r="C25" s="24"/>
      <c r="D25" s="27">
        <f>(D4-D5)/D4</f>
        <v>0.2327484160224409</v>
      </c>
      <c r="E25" s="27">
        <f>(E4-E5)/E4</f>
        <v>0.22782111128193933</v>
      </c>
      <c r="F25" s="27">
        <f>(F4-F5)/F4</f>
        <v>0.24810323500628975</v>
      </c>
      <c r="G25" s="27">
        <f>(G4-G5)/G4</f>
        <v>0.23875583414787774</v>
      </c>
      <c r="H25" s="27">
        <f>(H4-H5)/H4</f>
        <v>0.24585319367925851</v>
      </c>
    </row>
    <row r="26" spans="2:8" x14ac:dyDescent="0.2">
      <c r="B26" s="24" t="s">
        <v>42</v>
      </c>
      <c r="C26" s="24"/>
      <c r="D26" s="27"/>
      <c r="E26" s="27">
        <f>E6/D6-1</f>
        <v>-6.3143823028465662E-2</v>
      </c>
      <c r="F26" s="27">
        <f>F6/E6-1</f>
        <v>6.7018695512525595E-2</v>
      </c>
      <c r="G26" s="27">
        <f>G6/F6-1</f>
        <v>6.711788968852872E-2</v>
      </c>
      <c r="H26" s="27">
        <f>H6/G6-1</f>
        <v>2.8810358011452708E-2</v>
      </c>
    </row>
    <row r="27" spans="2:8" x14ac:dyDescent="0.2">
      <c r="B27" s="24" t="s">
        <v>43</v>
      </c>
      <c r="C27" s="24"/>
      <c r="D27" s="27">
        <f>D11/D4</f>
        <v>3.0971091551029478E-2</v>
      </c>
      <c r="E27" s="27">
        <f>E11/E4</f>
        <v>2.1099131664105659E-2</v>
      </c>
      <c r="F27" s="27">
        <f>F11/F4</f>
        <v>2.4161724541027871E-2</v>
      </c>
      <c r="G27" s="27">
        <f>G11/G4</f>
        <v>4.0206814471051698E-2</v>
      </c>
      <c r="H27" s="27">
        <f>H11/H4</f>
        <v>4.4069410963484788E-2</v>
      </c>
    </row>
    <row r="28" spans="2:8" x14ac:dyDescent="0.2">
      <c r="B28" s="24" t="s">
        <v>44</v>
      </c>
      <c r="C28" s="24"/>
      <c r="D28" s="27">
        <f>D21/D4</f>
        <v>8.4917087882682828E-3</v>
      </c>
      <c r="E28" s="27">
        <f>E21/E4</f>
        <v>4.4089076913188781E-3</v>
      </c>
      <c r="F28" s="27">
        <f>F21/F4</f>
        <v>2.2814117563424428E-3</v>
      </c>
      <c r="G28" s="27">
        <f>G21/G4</f>
        <v>3.0450018766608088E-2</v>
      </c>
      <c r="H28" s="27">
        <f>H21/H4</f>
        <v>2.4010010553349188E-2</v>
      </c>
    </row>
    <row r="29" spans="2:8" x14ac:dyDescent="0.2">
      <c r="B29" s="24" t="s">
        <v>45</v>
      </c>
      <c r="C29" s="24"/>
      <c r="D29" s="27">
        <v>1.3525178575186102E-2</v>
      </c>
      <c r="E29" s="27">
        <v>6.8608171373294672E-3</v>
      </c>
      <c r="F29" s="27">
        <v>3.3367878062100153E-3</v>
      </c>
      <c r="G29" s="27">
        <v>4.5353578503595705E-2</v>
      </c>
      <c r="H29" s="27">
        <v>3.3225033417032042E-2</v>
      </c>
    </row>
    <row r="30" spans="2:8" x14ac:dyDescent="0.2">
      <c r="B30" s="24" t="s">
        <v>46</v>
      </c>
      <c r="C30" s="24"/>
      <c r="D30" s="27">
        <v>4.2780007172708079E-2</v>
      </c>
      <c r="E30" s="27">
        <v>2.1428758192870608E-2</v>
      </c>
      <c r="F30" s="27">
        <v>1.0537583170700087E-2</v>
      </c>
      <c r="G30" s="27">
        <v>0.14137031929421237</v>
      </c>
      <c r="H30" s="27">
        <v>0.10333167102449768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5"/>
  <sheetViews>
    <sheetView showGridLines="0" zoomScale="137" workbookViewId="0">
      <selection activeCell="B1" sqref="B1"/>
    </sheetView>
  </sheetViews>
  <sheetFormatPr baseColWidth="10" defaultRowHeight="16" x14ac:dyDescent="0.2"/>
  <cols>
    <col min="1" max="1" width="2.83203125" customWidth="1"/>
    <col min="2" max="2" width="31.1640625" customWidth="1"/>
  </cols>
  <sheetData>
    <row r="1" spans="2:7" x14ac:dyDescent="0.2">
      <c r="B1" s="70" t="s">
        <v>102</v>
      </c>
    </row>
    <row r="3" spans="2:7" ht="17" thickBot="1" x14ac:dyDescent="0.25">
      <c r="B3" s="11" t="s">
        <v>48</v>
      </c>
      <c r="C3" s="28">
        <v>42004</v>
      </c>
      <c r="D3" s="28">
        <v>42369</v>
      </c>
      <c r="E3" s="28">
        <v>42735</v>
      </c>
      <c r="F3" s="28">
        <v>43100</v>
      </c>
      <c r="G3" s="28">
        <v>43465</v>
      </c>
    </row>
    <row r="4" spans="2:7" x14ac:dyDescent="0.2">
      <c r="B4" s="10" t="s">
        <v>49</v>
      </c>
      <c r="C4" s="14">
        <v>2244406</v>
      </c>
      <c r="D4" s="14">
        <v>2710156</v>
      </c>
      <c r="E4" s="14">
        <v>3015137</v>
      </c>
      <c r="F4" s="14">
        <v>3350597</v>
      </c>
      <c r="G4" s="14">
        <v>4270388</v>
      </c>
    </row>
    <row r="5" spans="2:7" x14ac:dyDescent="0.2">
      <c r="B5" s="10" t="s">
        <v>50</v>
      </c>
      <c r="C5" s="14">
        <v>67700</v>
      </c>
      <c r="D5" s="14">
        <v>87454</v>
      </c>
      <c r="E5" s="14">
        <v>80559</v>
      </c>
      <c r="F5" s="14">
        <v>80515</v>
      </c>
      <c r="G5" s="14">
        <v>80516</v>
      </c>
    </row>
    <row r="6" spans="2:7" x14ac:dyDescent="0.2">
      <c r="B6" s="10" t="s">
        <v>51</v>
      </c>
      <c r="C6" s="14">
        <v>7683915</v>
      </c>
      <c r="D6" s="14">
        <v>7093352</v>
      </c>
      <c r="E6" s="14">
        <v>7059889</v>
      </c>
      <c r="F6" s="14">
        <v>8178213</v>
      </c>
      <c r="G6" s="14">
        <v>6371594</v>
      </c>
    </row>
    <row r="7" spans="2:7" x14ac:dyDescent="0.2">
      <c r="B7" s="10" t="s">
        <v>52</v>
      </c>
      <c r="C7" s="14">
        <v>633219</v>
      </c>
      <c r="D7" s="14">
        <v>654141</v>
      </c>
      <c r="E7" s="14">
        <v>545766</v>
      </c>
      <c r="F7" s="14">
        <v>467427</v>
      </c>
      <c r="G7" s="14">
        <v>506437</v>
      </c>
    </row>
    <row r="8" spans="2:7" x14ac:dyDescent="0.2">
      <c r="B8" s="10" t="s">
        <v>53</v>
      </c>
      <c r="C8" s="14">
        <v>11193</v>
      </c>
      <c r="D8" s="14">
        <v>20674</v>
      </c>
      <c r="E8" s="14">
        <v>30650</v>
      </c>
      <c r="F8" s="14">
        <v>3534</v>
      </c>
      <c r="G8" s="14">
        <v>8401</v>
      </c>
    </row>
    <row r="9" spans="2:7" x14ac:dyDescent="0.2">
      <c r="B9" s="10" t="s">
        <v>54</v>
      </c>
      <c r="C9" s="14">
        <v>5711273</v>
      </c>
      <c r="D9" s="14">
        <v>4872676</v>
      </c>
      <c r="E9" s="14">
        <v>5171015</v>
      </c>
      <c r="F9" s="14">
        <v>5908437</v>
      </c>
      <c r="G9" s="14">
        <v>6021356</v>
      </c>
    </row>
    <row r="10" spans="2:7" x14ac:dyDescent="0.2">
      <c r="B10" s="10" t="s">
        <v>55</v>
      </c>
      <c r="C10" s="14">
        <v>246878</v>
      </c>
      <c r="D10" s="14">
        <v>161314</v>
      </c>
      <c r="E10" s="14">
        <v>147221</v>
      </c>
      <c r="F10" s="14">
        <v>134159</v>
      </c>
      <c r="G10" s="14">
        <v>151778</v>
      </c>
    </row>
    <row r="11" spans="2:7" x14ac:dyDescent="0.2">
      <c r="B11" s="10" t="s">
        <v>56</v>
      </c>
      <c r="C11" s="14">
        <v>0</v>
      </c>
      <c r="D11" s="14">
        <v>0</v>
      </c>
      <c r="E11" s="14">
        <v>0</v>
      </c>
      <c r="F11" s="14">
        <v>0</v>
      </c>
      <c r="G11" s="14">
        <v>763776</v>
      </c>
    </row>
    <row r="12" spans="2:7" x14ac:dyDescent="0.2">
      <c r="B12" s="10" t="s">
        <v>57</v>
      </c>
      <c r="C12" s="14">
        <v>884114</v>
      </c>
      <c r="D12" s="14">
        <v>794227</v>
      </c>
      <c r="E12" s="14">
        <v>931420</v>
      </c>
      <c r="F12" s="14">
        <v>1050651</v>
      </c>
      <c r="G12" s="14">
        <v>1073396</v>
      </c>
    </row>
    <row r="13" spans="2:7" x14ac:dyDescent="0.2">
      <c r="B13" s="15" t="s">
        <v>58</v>
      </c>
      <c r="C13" s="15">
        <v>0</v>
      </c>
      <c r="D13" s="16">
        <v>3619</v>
      </c>
      <c r="E13" s="16">
        <v>8906</v>
      </c>
      <c r="F13" s="16">
        <v>21436</v>
      </c>
      <c r="G13" s="16">
        <v>115212</v>
      </c>
    </row>
    <row r="14" spans="2:7" x14ac:dyDescent="0.2">
      <c r="B14" s="3" t="s">
        <v>59</v>
      </c>
      <c r="C14" s="18">
        <f>SUM(C4:C13)</f>
        <v>17482698</v>
      </c>
      <c r="D14" s="18">
        <f>SUM(D4:D13)</f>
        <v>16397613</v>
      </c>
      <c r="E14" s="18">
        <f>SUM(E4:E13)</f>
        <v>16990563</v>
      </c>
      <c r="F14" s="18">
        <f>SUM(F4:F13)</f>
        <v>19194969</v>
      </c>
      <c r="G14" s="18">
        <f>SUM(G4:G13)</f>
        <v>19362854</v>
      </c>
    </row>
    <row r="15" spans="2:7" x14ac:dyDescent="0.2">
      <c r="B15" s="19" t="s">
        <v>50</v>
      </c>
      <c r="C15" s="14">
        <v>94323</v>
      </c>
      <c r="D15" s="14">
        <v>69970</v>
      </c>
      <c r="E15" s="14">
        <v>58195</v>
      </c>
      <c r="F15" s="14">
        <v>52775</v>
      </c>
      <c r="G15" s="14">
        <v>45853</v>
      </c>
    </row>
    <row r="16" spans="2:7" x14ac:dyDescent="0.2">
      <c r="B16" s="19" t="s">
        <v>52</v>
      </c>
      <c r="C16" s="14">
        <v>548564</v>
      </c>
      <c r="D16" s="14">
        <v>506788</v>
      </c>
      <c r="E16" s="14">
        <v>490178</v>
      </c>
      <c r="F16" s="14">
        <v>470216</v>
      </c>
      <c r="G16" s="14">
        <v>452366</v>
      </c>
    </row>
    <row r="17" spans="2:7" x14ac:dyDescent="0.2">
      <c r="B17" s="19" t="s">
        <v>53</v>
      </c>
      <c r="C17" s="14">
        <v>56775</v>
      </c>
      <c r="D17" s="14">
        <v>84810</v>
      </c>
      <c r="E17" s="14">
        <v>66147</v>
      </c>
      <c r="F17" s="14">
        <v>52981</v>
      </c>
      <c r="G17" s="14">
        <v>78072</v>
      </c>
    </row>
    <row r="18" spans="2:7" x14ac:dyDescent="0.2">
      <c r="B18" s="19" t="s">
        <v>60</v>
      </c>
      <c r="C18" s="14">
        <v>10596853</v>
      </c>
      <c r="D18" s="14">
        <v>10460298</v>
      </c>
      <c r="E18" s="14">
        <v>11222428</v>
      </c>
      <c r="F18" s="14">
        <v>11800782</v>
      </c>
      <c r="G18" s="14">
        <v>13333951</v>
      </c>
    </row>
    <row r="19" spans="2:7" x14ac:dyDescent="0.2">
      <c r="B19" s="19" t="s">
        <v>61</v>
      </c>
      <c r="C19" s="14">
        <v>1394336</v>
      </c>
      <c r="D19" s="14">
        <v>1473280</v>
      </c>
      <c r="E19" s="14">
        <v>1571087</v>
      </c>
      <c r="F19" s="14">
        <v>1854620</v>
      </c>
      <c r="G19" s="14">
        <v>3001155</v>
      </c>
    </row>
    <row r="20" spans="2:7" x14ac:dyDescent="0.2">
      <c r="B20" s="19" t="s">
        <v>62</v>
      </c>
      <c r="C20" s="14">
        <v>1573395</v>
      </c>
      <c r="D20" s="14">
        <v>1637796</v>
      </c>
      <c r="E20" s="14">
        <v>1554594</v>
      </c>
      <c r="F20" s="14">
        <v>1365367</v>
      </c>
      <c r="G20" s="14">
        <v>1410793</v>
      </c>
    </row>
    <row r="21" spans="2:7" x14ac:dyDescent="0.2">
      <c r="B21" s="19" t="s">
        <v>63</v>
      </c>
      <c r="C21" s="14">
        <v>4594461</v>
      </c>
      <c r="D21" s="14">
        <v>4841861</v>
      </c>
      <c r="E21" s="14">
        <v>5104558</v>
      </c>
      <c r="F21" s="14">
        <v>5620331</v>
      </c>
      <c r="G21" s="14">
        <v>5537556</v>
      </c>
    </row>
    <row r="22" spans="2:7" x14ac:dyDescent="0.2">
      <c r="B22" s="19" t="s">
        <v>64</v>
      </c>
      <c r="C22" s="14">
        <v>2699</v>
      </c>
      <c r="D22" s="14">
        <v>121271</v>
      </c>
      <c r="E22" s="14">
        <v>97031</v>
      </c>
      <c r="F22" s="14">
        <v>95712</v>
      </c>
      <c r="G22" s="14">
        <v>94396</v>
      </c>
    </row>
    <row r="23" spans="2:7" x14ac:dyDescent="0.2">
      <c r="B23" s="19" t="s">
        <v>65</v>
      </c>
      <c r="C23" s="14">
        <v>0</v>
      </c>
      <c r="D23" s="14">
        <v>0</v>
      </c>
      <c r="E23" s="14">
        <v>730</v>
      </c>
      <c r="F23" s="14">
        <v>684</v>
      </c>
      <c r="G23" s="14">
        <v>942</v>
      </c>
    </row>
    <row r="24" spans="2:7" x14ac:dyDescent="0.2">
      <c r="B24" s="19" t="s">
        <v>56</v>
      </c>
      <c r="C24" s="14">
        <v>0</v>
      </c>
      <c r="D24" s="14">
        <v>0</v>
      </c>
      <c r="E24" s="14">
        <v>0</v>
      </c>
      <c r="F24" s="14">
        <v>0</v>
      </c>
      <c r="G24" s="14">
        <v>221008</v>
      </c>
    </row>
    <row r="25" spans="2:7" x14ac:dyDescent="0.2">
      <c r="B25" s="20" t="s">
        <v>66</v>
      </c>
      <c r="C25" s="16">
        <v>724316</v>
      </c>
      <c r="D25" s="16">
        <v>720209</v>
      </c>
      <c r="E25" s="16">
        <v>699758</v>
      </c>
      <c r="F25" s="16">
        <v>712522</v>
      </c>
      <c r="G25" s="16">
        <v>789497</v>
      </c>
    </row>
    <row r="26" spans="2:7" ht="17" thickBot="1" x14ac:dyDescent="0.25">
      <c r="B26" s="29" t="s">
        <v>67</v>
      </c>
      <c r="C26" s="23">
        <f>SUM(C14:C25)</f>
        <v>37068420</v>
      </c>
      <c r="D26" s="23">
        <f>SUM(D14:D25)</f>
        <v>36313896</v>
      </c>
      <c r="E26" s="23">
        <f>SUM(E14:E25)</f>
        <v>37855269</v>
      </c>
      <c r="F26" s="23">
        <f>SUM(F14:F25)</f>
        <v>41220959</v>
      </c>
      <c r="G26" s="23">
        <f>SUM(G14:G25)</f>
        <v>44328443</v>
      </c>
    </row>
    <row r="27" spans="2:7" x14ac:dyDescent="0.2">
      <c r="B27" s="30" t="s">
        <v>68</v>
      </c>
      <c r="C27" s="14">
        <v>6741710</v>
      </c>
      <c r="D27" s="14">
        <v>6086975</v>
      </c>
      <c r="E27" s="14">
        <v>6746361</v>
      </c>
      <c r="F27" s="14">
        <v>8137526</v>
      </c>
      <c r="G27" s="14">
        <v>7216739</v>
      </c>
    </row>
    <row r="28" spans="2:7" x14ac:dyDescent="0.2">
      <c r="B28" s="19" t="s">
        <v>69</v>
      </c>
      <c r="C28" s="14">
        <v>2575550</v>
      </c>
      <c r="D28" s="14">
        <v>2326128</v>
      </c>
      <c r="E28" s="14">
        <v>1650511</v>
      </c>
      <c r="F28" s="14">
        <v>1360756</v>
      </c>
      <c r="G28" s="14">
        <v>1405116</v>
      </c>
    </row>
    <row r="29" spans="2:7" x14ac:dyDescent="0.2">
      <c r="B29" s="19" t="s">
        <v>70</v>
      </c>
      <c r="C29" s="14">
        <v>3020870</v>
      </c>
      <c r="D29" s="14">
        <v>2847145</v>
      </c>
      <c r="E29" s="14">
        <v>3196735</v>
      </c>
      <c r="F29" s="14">
        <v>3522839</v>
      </c>
      <c r="G29" s="14">
        <v>3670453</v>
      </c>
    </row>
    <row r="30" spans="2:7" x14ac:dyDescent="0.2">
      <c r="B30" s="19" t="s">
        <v>71</v>
      </c>
      <c r="C30" s="14">
        <v>6528</v>
      </c>
      <c r="D30" s="14">
        <v>13823</v>
      </c>
      <c r="E30" s="14">
        <v>21115</v>
      </c>
      <c r="F30" s="14">
        <v>2280</v>
      </c>
      <c r="G30" s="14">
        <v>3343</v>
      </c>
    </row>
    <row r="31" spans="2:7" x14ac:dyDescent="0.2">
      <c r="B31" s="19" t="s">
        <v>72</v>
      </c>
      <c r="C31" s="14">
        <v>95963</v>
      </c>
      <c r="D31" s="14">
        <v>76575</v>
      </c>
      <c r="E31" s="14">
        <v>74263</v>
      </c>
      <c r="F31" s="14">
        <v>100353</v>
      </c>
      <c r="G31" s="14">
        <v>185687</v>
      </c>
    </row>
    <row r="32" spans="2:7" x14ac:dyDescent="0.2">
      <c r="B32" s="19" t="s">
        <v>73</v>
      </c>
      <c r="C32" s="14">
        <v>714307</v>
      </c>
      <c r="D32" s="14">
        <v>575944</v>
      </c>
      <c r="E32" s="14">
        <v>770967</v>
      </c>
      <c r="F32" s="14">
        <v>649555</v>
      </c>
      <c r="G32" s="14">
        <v>672544</v>
      </c>
    </row>
    <row r="33" spans="2:7" x14ac:dyDescent="0.2">
      <c r="B33" s="19" t="s">
        <v>74</v>
      </c>
      <c r="C33" s="31">
        <v>0</v>
      </c>
      <c r="D33" s="31">
        <v>0</v>
      </c>
      <c r="E33" s="31">
        <v>0</v>
      </c>
      <c r="F33" s="31">
        <v>0</v>
      </c>
      <c r="G33" s="31">
        <v>1119806</v>
      </c>
    </row>
    <row r="34" spans="2:7" ht="17" thickBot="1" x14ac:dyDescent="0.25">
      <c r="B34" s="32" t="s">
        <v>75</v>
      </c>
      <c r="C34" s="33">
        <v>2525649</v>
      </c>
      <c r="D34" s="33">
        <v>2853101</v>
      </c>
      <c r="E34" s="33">
        <v>3284412</v>
      </c>
      <c r="F34" s="33">
        <v>3763161</v>
      </c>
      <c r="G34" s="33">
        <v>2861341</v>
      </c>
    </row>
    <row r="35" spans="2:7" x14ac:dyDescent="0.2">
      <c r="B35" s="3" t="s">
        <v>76</v>
      </c>
      <c r="C35" s="18">
        <f>SUM(C27:C34)</f>
        <v>15680577</v>
      </c>
      <c r="D35" s="18">
        <f>SUM(D27:D34)</f>
        <v>14779691</v>
      </c>
      <c r="E35" s="18">
        <f>SUM(E27:E34)</f>
        <v>15744364</v>
      </c>
      <c r="F35" s="18">
        <f>SUM(F27:F34)</f>
        <v>17536470</v>
      </c>
      <c r="G35" s="18">
        <f>SUM(G27:G34)</f>
        <v>17135029</v>
      </c>
    </row>
    <row r="36" spans="2:7" x14ac:dyDescent="0.2">
      <c r="B36" s="19" t="s">
        <v>69</v>
      </c>
      <c r="C36" s="14">
        <v>6426881</v>
      </c>
      <c r="D36" s="14">
        <v>6501122</v>
      </c>
      <c r="E36" s="14">
        <v>7008500</v>
      </c>
      <c r="F36" s="14">
        <v>8089724</v>
      </c>
      <c r="G36" s="14">
        <v>9496070</v>
      </c>
    </row>
    <row r="37" spans="2:7" x14ac:dyDescent="0.2">
      <c r="B37" s="19" t="s">
        <v>70</v>
      </c>
      <c r="C37" s="14">
        <v>14320</v>
      </c>
      <c r="D37" s="14">
        <v>6590</v>
      </c>
      <c r="E37" s="14">
        <v>7771</v>
      </c>
      <c r="F37" s="14">
        <v>6490</v>
      </c>
      <c r="G37" s="14">
        <v>17995</v>
      </c>
    </row>
    <row r="38" spans="2:7" x14ac:dyDescent="0.2">
      <c r="B38" s="19" t="s">
        <v>77</v>
      </c>
      <c r="C38" s="14">
        <v>62574</v>
      </c>
      <c r="D38" s="14">
        <v>69926</v>
      </c>
      <c r="E38" s="14">
        <v>73226</v>
      </c>
      <c r="F38" s="14">
        <v>68610</v>
      </c>
      <c r="G38" s="14">
        <v>89267</v>
      </c>
    </row>
    <row r="39" spans="2:7" x14ac:dyDescent="0.2">
      <c r="B39" s="19" t="s">
        <v>78</v>
      </c>
      <c r="C39" s="14">
        <v>6012</v>
      </c>
      <c r="D39" s="14">
        <v>5800</v>
      </c>
      <c r="E39" s="14">
        <v>9586</v>
      </c>
      <c r="F39" s="14">
        <v>8759</v>
      </c>
      <c r="G39" s="14">
        <v>127014</v>
      </c>
    </row>
    <row r="40" spans="2:7" x14ac:dyDescent="0.2">
      <c r="B40" s="19" t="s">
        <v>79</v>
      </c>
      <c r="C40" s="14">
        <v>798450</v>
      </c>
      <c r="D40" s="14">
        <v>787610</v>
      </c>
      <c r="E40" s="14">
        <v>511252</v>
      </c>
      <c r="F40" s="14">
        <v>326699</v>
      </c>
      <c r="G40" s="14">
        <v>398611</v>
      </c>
    </row>
    <row r="41" spans="2:7" x14ac:dyDescent="0.2">
      <c r="B41" s="19" t="s">
        <v>73</v>
      </c>
      <c r="C41" s="14">
        <v>1001397</v>
      </c>
      <c r="D41" s="14">
        <v>1074346</v>
      </c>
      <c r="E41" s="14">
        <v>1028298</v>
      </c>
      <c r="F41" s="14">
        <v>298121</v>
      </c>
      <c r="G41" s="14">
        <v>343811</v>
      </c>
    </row>
    <row r="42" spans="2:7" x14ac:dyDescent="0.2">
      <c r="B42" s="19" t="s">
        <v>74</v>
      </c>
      <c r="C42" s="14">
        <v>0</v>
      </c>
      <c r="D42" s="14">
        <v>0</v>
      </c>
      <c r="E42" s="14">
        <v>0</v>
      </c>
      <c r="F42" s="14">
        <v>0</v>
      </c>
      <c r="G42" s="14">
        <v>23787</v>
      </c>
    </row>
    <row r="43" spans="2:7" x14ac:dyDescent="0.2">
      <c r="B43" s="20" t="s">
        <v>80</v>
      </c>
      <c r="C43" s="16">
        <v>87112</v>
      </c>
      <c r="D43" s="16">
        <v>105324</v>
      </c>
      <c r="E43" s="16">
        <v>115530</v>
      </c>
      <c r="F43" s="16">
        <v>212402</v>
      </c>
      <c r="G43" s="16">
        <v>389952</v>
      </c>
    </row>
    <row r="44" spans="2:7" ht="17" thickBot="1" x14ac:dyDescent="0.25">
      <c r="B44" s="34" t="s">
        <v>81</v>
      </c>
      <c r="C44" s="23">
        <f>SUM(C35:C43)</f>
        <v>24077323</v>
      </c>
      <c r="D44" s="23">
        <f>SUM(D35:D43)</f>
        <v>23330409</v>
      </c>
      <c r="E44" s="23">
        <f>SUM(E35:E43)</f>
        <v>24498527</v>
      </c>
      <c r="F44" s="23">
        <f>SUM(F35:F43)</f>
        <v>26547275</v>
      </c>
      <c r="G44" s="23">
        <f>SUM(G35:G43)</f>
        <v>28021536</v>
      </c>
    </row>
    <row r="45" spans="2:7" x14ac:dyDescent="0.2">
      <c r="B45" s="19" t="s">
        <v>82</v>
      </c>
      <c r="C45" s="14">
        <v>904169</v>
      </c>
      <c r="D45" s="14">
        <v>904169</v>
      </c>
      <c r="E45" s="14">
        <v>904169</v>
      </c>
      <c r="F45" s="14">
        <v>904169</v>
      </c>
      <c r="G45" s="14">
        <v>904169</v>
      </c>
    </row>
    <row r="46" spans="2:7" x14ac:dyDescent="0.2">
      <c r="B46" s="19" t="s">
        <v>83</v>
      </c>
      <c r="C46" s="14">
        <v>3088179</v>
      </c>
      <c r="D46" s="14">
        <v>3088179</v>
      </c>
      <c r="E46" s="14">
        <v>3088179</v>
      </c>
      <c r="F46" s="14">
        <v>3088179</v>
      </c>
      <c r="G46" s="14">
        <v>3088179</v>
      </c>
    </row>
    <row r="47" spans="2:7" x14ac:dyDescent="0.2">
      <c r="B47" s="19" t="s">
        <v>84</v>
      </c>
      <c r="C47" s="14">
        <v>9081044</v>
      </c>
      <c r="D47" s="14">
        <v>9016546</v>
      </c>
      <c r="E47" s="14">
        <v>9233416</v>
      </c>
      <c r="F47" s="14">
        <v>10964155</v>
      </c>
      <c r="G47" s="14">
        <v>12075414</v>
      </c>
    </row>
    <row r="48" spans="2:7" x14ac:dyDescent="0.2">
      <c r="B48" s="19" t="s">
        <v>85</v>
      </c>
      <c r="C48" s="14">
        <v>-1143557</v>
      </c>
      <c r="D48" s="14">
        <v>-1171979</v>
      </c>
      <c r="E48" s="14">
        <v>-1028962</v>
      </c>
      <c r="F48" s="14">
        <v>-1522478</v>
      </c>
      <c r="G48" s="14">
        <v>-1604730</v>
      </c>
    </row>
    <row r="49" spans="2:7" ht="17" thickBot="1" x14ac:dyDescent="0.25">
      <c r="B49" s="32" t="s">
        <v>86</v>
      </c>
      <c r="C49" s="33">
        <v>-210412</v>
      </c>
      <c r="D49" s="33">
        <v>-210343</v>
      </c>
      <c r="E49" s="33">
        <v>-209708</v>
      </c>
      <c r="F49" s="33">
        <v>-209764</v>
      </c>
      <c r="G49" s="33">
        <v>-209764</v>
      </c>
    </row>
    <row r="50" spans="2:7" x14ac:dyDescent="0.2">
      <c r="B50" s="3" t="s">
        <v>87</v>
      </c>
      <c r="C50" s="18">
        <f>SUM(C45:C49)</f>
        <v>11719423</v>
      </c>
      <c r="D50" s="18">
        <f>SUM(D45:D49)</f>
        <v>11626572</v>
      </c>
      <c r="E50" s="18">
        <f>SUM(E45:E49)</f>
        <v>11987094</v>
      </c>
      <c r="F50" s="18">
        <f>SUM(F45:F49)</f>
        <v>13224261</v>
      </c>
      <c r="G50" s="18">
        <f>SUM(G45:G49)</f>
        <v>14253268</v>
      </c>
    </row>
    <row r="51" spans="2:7" x14ac:dyDescent="0.2">
      <c r="B51" s="20" t="s">
        <v>88</v>
      </c>
      <c r="C51" s="16">
        <v>1271674</v>
      </c>
      <c r="D51" s="16">
        <v>1356915</v>
      </c>
      <c r="E51" s="16">
        <v>1369648</v>
      </c>
      <c r="F51" s="16">
        <v>1449423</v>
      </c>
      <c r="G51" s="16">
        <v>2053639</v>
      </c>
    </row>
    <row r="52" spans="2:7" x14ac:dyDescent="0.2">
      <c r="B52" s="35" t="s">
        <v>89</v>
      </c>
      <c r="C52" s="36">
        <f>C50+C51</f>
        <v>12991097</v>
      </c>
      <c r="D52" s="36">
        <f>D50+D51</f>
        <v>12983487</v>
      </c>
      <c r="E52" s="36">
        <f>E50+E51</f>
        <v>13356742</v>
      </c>
      <c r="F52" s="36">
        <f>F50+F51</f>
        <v>14673684</v>
      </c>
      <c r="G52" s="36">
        <f>G50+G51</f>
        <v>16306907</v>
      </c>
    </row>
    <row r="53" spans="2:7" ht="17" thickBot="1" x14ac:dyDescent="0.25">
      <c r="B53" s="29" t="s">
        <v>90</v>
      </c>
      <c r="C53" s="23">
        <f>C44+C52</f>
        <v>37068420</v>
      </c>
      <c r="D53" s="23">
        <f>D44+D52</f>
        <v>36313896</v>
      </c>
      <c r="E53" s="23">
        <f>E44+E52</f>
        <v>37855269</v>
      </c>
      <c r="F53" s="23">
        <f>F44+F52</f>
        <v>41220959</v>
      </c>
      <c r="G53" s="23">
        <f>G44+G52</f>
        <v>44328443</v>
      </c>
    </row>
    <row r="54" spans="2:7" x14ac:dyDescent="0.2">
      <c r="B54" s="10"/>
      <c r="C54" s="10"/>
      <c r="D54" s="10"/>
      <c r="E54" s="10"/>
      <c r="F54" s="10"/>
      <c r="G54" s="10"/>
    </row>
    <row r="55" spans="2:7" x14ac:dyDescent="0.2">
      <c r="B55" s="37" t="s">
        <v>39</v>
      </c>
      <c r="C55" s="38"/>
      <c r="D55" s="38"/>
      <c r="E55" s="38"/>
      <c r="F55" s="38"/>
      <c r="G55" s="38"/>
    </row>
    <row r="56" spans="2:7" x14ac:dyDescent="0.2">
      <c r="B56" s="39" t="s">
        <v>91</v>
      </c>
      <c r="C56" s="38"/>
      <c r="D56" s="38"/>
      <c r="E56" s="38"/>
      <c r="F56" s="38"/>
      <c r="G56" s="38"/>
    </row>
    <row r="57" spans="2:7" x14ac:dyDescent="0.2">
      <c r="B57" s="37" t="s">
        <v>92</v>
      </c>
      <c r="C57" s="40">
        <f>(C4+C5)/C35</f>
        <v>0.14745031385005794</v>
      </c>
      <c r="D57" s="40">
        <f>(D4+D5)/D35</f>
        <v>0.18928744856709115</v>
      </c>
      <c r="E57" s="40">
        <f>(E4+E5)/E35</f>
        <v>0.19662248662442</v>
      </c>
      <c r="F57" s="40">
        <f>(F4+F5)/F35</f>
        <v>0.1956557961779081</v>
      </c>
      <c r="G57" s="40">
        <f>(G4+G5)/G35</f>
        <v>0.25391868318402028</v>
      </c>
    </row>
    <row r="58" spans="2:7" x14ac:dyDescent="0.2">
      <c r="B58" s="37" t="s">
        <v>93</v>
      </c>
      <c r="C58" s="40">
        <f>C14/C35</f>
        <v>1.1149269570883775</v>
      </c>
      <c r="D58" s="40">
        <f>D14/D35</f>
        <v>1.10946927104227</v>
      </c>
      <c r="E58" s="40">
        <f>E14/E35</f>
        <v>1.0791520699089527</v>
      </c>
      <c r="F58" s="40">
        <f>F14/F35</f>
        <v>1.0945742786319026</v>
      </c>
      <c r="G58" s="40">
        <f>G14/G35</f>
        <v>1.130015828978171</v>
      </c>
    </row>
    <row r="59" spans="2:7" x14ac:dyDescent="0.2">
      <c r="B59" s="37" t="s">
        <v>94</v>
      </c>
      <c r="C59" s="40">
        <v>46.852531573649777</v>
      </c>
      <c r="D59" s="40">
        <v>45.189374409120759</v>
      </c>
      <c r="E59" s="40">
        <v>45.903851123826698</v>
      </c>
      <c r="F59" s="40">
        <v>47.953336719857511</v>
      </c>
      <c r="G59" s="40">
        <v>37.39340752151751</v>
      </c>
    </row>
    <row r="60" spans="2:7" x14ac:dyDescent="0.2">
      <c r="B60" s="37" t="s">
        <v>95</v>
      </c>
      <c r="C60" s="41">
        <v>45.388479714904854</v>
      </c>
      <c r="D60" s="41">
        <v>40.200775234356826</v>
      </c>
      <c r="E60" s="41">
        <v>44.716605765902244</v>
      </c>
      <c r="F60" s="41">
        <v>45.510231673825189</v>
      </c>
      <c r="G60" s="41">
        <v>46.858173539394848</v>
      </c>
    </row>
    <row r="61" spans="2:7" x14ac:dyDescent="0.2">
      <c r="B61" s="37" t="s">
        <v>96</v>
      </c>
      <c r="C61" s="41">
        <v>53.57754174573185</v>
      </c>
      <c r="D61" s="41">
        <v>50.219040591278628</v>
      </c>
      <c r="E61" s="41">
        <v>58.339487545763845</v>
      </c>
      <c r="F61" s="41">
        <v>62.679976703107094</v>
      </c>
      <c r="G61" s="41">
        <v>56.16064030270239</v>
      </c>
    </row>
    <row r="62" spans="2:7" x14ac:dyDescent="0.2">
      <c r="B62" s="37" t="s">
        <v>97</v>
      </c>
      <c r="C62" s="41">
        <f>C59+C60-C61</f>
        <v>38.663469542822781</v>
      </c>
      <c r="D62" s="41">
        <f>D59+D60-D61</f>
        <v>35.171109052198958</v>
      </c>
      <c r="E62" s="41">
        <f>E59+E60-E61</f>
        <v>32.280969343965097</v>
      </c>
      <c r="F62" s="41">
        <f>F59+F60-F61</f>
        <v>30.783591690575598</v>
      </c>
      <c r="G62" s="41">
        <f>G59+G60-G61</f>
        <v>28.090940758209967</v>
      </c>
    </row>
    <row r="63" spans="2:7" x14ac:dyDescent="0.2">
      <c r="B63" s="37" t="s">
        <v>98</v>
      </c>
      <c r="C63" s="38"/>
      <c r="D63" s="38"/>
      <c r="E63" s="38"/>
      <c r="F63" s="38"/>
      <c r="G63" s="38"/>
    </row>
    <row r="64" spans="2:7" x14ac:dyDescent="0.2">
      <c r="B64" s="37" t="s">
        <v>99</v>
      </c>
      <c r="C64" s="41">
        <f>C26/C44</f>
        <v>1.5395573669049503</v>
      </c>
      <c r="D64" s="41">
        <f>D26/D44</f>
        <v>1.5565049031073566</v>
      </c>
      <c r="E64" s="41">
        <f>E26/E44</f>
        <v>1.5452059219723699</v>
      </c>
      <c r="F64" s="41">
        <f>F26/F44</f>
        <v>1.5527378610422351</v>
      </c>
      <c r="G64" s="41">
        <f>G26/G44</f>
        <v>1.5819419392284564</v>
      </c>
    </row>
    <row r="65" spans="2:7" x14ac:dyDescent="0.2">
      <c r="B65" s="37" t="s">
        <v>100</v>
      </c>
      <c r="C65" s="42" t="s">
        <v>101</v>
      </c>
      <c r="D65" s="42" t="s">
        <v>101</v>
      </c>
      <c r="E65" s="42" t="s">
        <v>101</v>
      </c>
      <c r="F65" s="42" t="s">
        <v>101</v>
      </c>
      <c r="G65" s="43">
        <v>6.5214342233501554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4"/>
  <sheetViews>
    <sheetView showGridLines="0" zoomScale="75" workbookViewId="0">
      <selection activeCell="A14" sqref="A14"/>
    </sheetView>
  </sheetViews>
  <sheetFormatPr baseColWidth="10" defaultRowHeight="16" x14ac:dyDescent="0.2"/>
  <sheetData>
    <row r="14" spans="1:1" ht="49" x14ac:dyDescent="0.45">
      <c r="A14" s="44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4"/>
  <sheetViews>
    <sheetView showGridLines="0" workbookViewId="0">
      <selection activeCell="B16" sqref="B16"/>
    </sheetView>
  </sheetViews>
  <sheetFormatPr baseColWidth="10" defaultRowHeight="16" x14ac:dyDescent="0.2"/>
  <sheetData>
    <row r="14" spans="1:1" ht="49" x14ac:dyDescent="0.45">
      <c r="A14" s="44" t="s">
        <v>355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6"/>
  <sheetViews>
    <sheetView showGridLines="0" topLeftCell="D1" zoomScale="124" zoomScaleNormal="90" zoomScalePageLayoutView="90" workbookViewId="0">
      <selection activeCell="E16" sqref="E16"/>
    </sheetView>
  </sheetViews>
  <sheetFormatPr baseColWidth="10" defaultRowHeight="16" x14ac:dyDescent="0.2"/>
  <cols>
    <col min="1" max="1" width="2" customWidth="1"/>
    <col min="2" max="2" width="31" customWidth="1"/>
    <col min="8" max="9" width="12.1640625" bestFit="1" customWidth="1"/>
  </cols>
  <sheetData>
    <row r="1" spans="2:23" x14ac:dyDescent="0.2">
      <c r="B1" s="70" t="s">
        <v>131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2:23" x14ac:dyDescent="0.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2:23" x14ac:dyDescent="0.2">
      <c r="B3" s="10"/>
      <c r="C3" s="45"/>
      <c r="D3" s="45"/>
      <c r="E3" s="45"/>
      <c r="F3" s="45"/>
      <c r="G3" s="45"/>
      <c r="H3" s="45"/>
      <c r="I3" s="46" t="s">
        <v>104</v>
      </c>
      <c r="J3" s="45"/>
      <c r="K3" s="45"/>
      <c r="L3" s="45"/>
      <c r="M3" s="45"/>
      <c r="N3" s="45"/>
      <c r="O3" s="45"/>
      <c r="P3" s="45"/>
      <c r="Q3" s="45"/>
    </row>
    <row r="4" spans="2:23" x14ac:dyDescent="0.2">
      <c r="B4" s="47" t="s">
        <v>105</v>
      </c>
      <c r="C4" s="48">
        <v>2014</v>
      </c>
      <c r="D4" s="48">
        <v>2015</v>
      </c>
      <c r="E4" s="48">
        <v>2016</v>
      </c>
      <c r="F4" s="48">
        <v>2017</v>
      </c>
      <c r="G4" s="48">
        <v>2018</v>
      </c>
      <c r="H4" s="49">
        <v>2019</v>
      </c>
      <c r="I4" s="49">
        <v>2020</v>
      </c>
      <c r="J4" s="49">
        <v>2021</v>
      </c>
      <c r="K4" s="49">
        <v>2022</v>
      </c>
      <c r="L4" s="49">
        <v>2023</v>
      </c>
      <c r="M4" s="49">
        <v>2024</v>
      </c>
      <c r="N4" s="49">
        <v>2025</v>
      </c>
      <c r="O4" s="49">
        <v>2026</v>
      </c>
      <c r="P4" s="49">
        <v>2027</v>
      </c>
      <c r="Q4" s="49">
        <v>2028</v>
      </c>
    </row>
    <row r="5" spans="2:23" x14ac:dyDescent="0.2">
      <c r="B5" s="10" t="s">
        <v>116</v>
      </c>
      <c r="C5" s="14">
        <v>16762514</v>
      </c>
      <c r="D5" s="14">
        <v>16531291</v>
      </c>
      <c r="E5" s="14">
        <v>17234242</v>
      </c>
      <c r="F5" s="14">
        <v>18514954</v>
      </c>
      <c r="G5" s="14">
        <v>19361988</v>
      </c>
      <c r="H5" s="307">
        <f>FORECAST(H4,C5:G5,C4:G4)</f>
        <v>19835781.099999905</v>
      </c>
      <c r="I5" s="307">
        <f t="shared" ref="I5:Q5" si="0">FORECAST(I4,D5:H5,D4:H4)</f>
        <v>20916669.079999924</v>
      </c>
      <c r="J5" s="307">
        <f t="shared" si="0"/>
        <v>21778431.213999987</v>
      </c>
      <c r="K5" s="307">
        <f t="shared" si="0"/>
        <v>22506055.331199646</v>
      </c>
      <c r="L5" s="307">
        <f t="shared" si="0"/>
        <v>23349020.377959728</v>
      </c>
      <c r="M5" s="307">
        <f t="shared" si="0"/>
        <v>24261950.862767696</v>
      </c>
      <c r="N5" s="307">
        <f t="shared" si="0"/>
        <v>25040771.192034006</v>
      </c>
      <c r="O5" s="307">
        <f t="shared" si="0"/>
        <v>25871418.441883087</v>
      </c>
      <c r="P5" s="307">
        <f t="shared" si="0"/>
        <v>26732586.351801157</v>
      </c>
      <c r="Q5" s="307">
        <f t="shared" si="0"/>
        <v>27564129.303328514</v>
      </c>
      <c r="S5" s="74"/>
      <c r="T5" s="74"/>
      <c r="U5" s="74"/>
      <c r="V5" s="74"/>
      <c r="W5" s="74"/>
    </row>
    <row r="6" spans="2:23" x14ac:dyDescent="0.2">
      <c r="B6" s="10" t="s">
        <v>117</v>
      </c>
      <c r="C6" s="14">
        <v>19378588</v>
      </c>
      <c r="D6" s="14">
        <v>17397568</v>
      </c>
      <c r="E6" s="14">
        <v>17425472</v>
      </c>
      <c r="F6" s="14">
        <v>16433085</v>
      </c>
      <c r="G6" s="14">
        <v>16208343</v>
      </c>
      <c r="H6" s="307">
        <f t="shared" ref="H6:Q6" si="1">FORECAST(H5,C6:G6,C5:G5)</f>
        <v>15671719.632067621</v>
      </c>
      <c r="I6" s="307">
        <f t="shared" si="1"/>
        <v>15226327.96359648</v>
      </c>
      <c r="J6" s="307">
        <f t="shared" si="1"/>
        <v>14646034.167119779</v>
      </c>
      <c r="K6" s="307">
        <f t="shared" si="1"/>
        <v>14283004.579584658</v>
      </c>
      <c r="L6" s="307">
        <f t="shared" si="1"/>
        <v>13760643.674081173</v>
      </c>
      <c r="M6" s="307">
        <f t="shared" si="1"/>
        <v>13293381.103598451</v>
      </c>
      <c r="N6" s="307">
        <f t="shared" si="1"/>
        <v>12816600.014787277</v>
      </c>
      <c r="O6" s="307">
        <f t="shared" si="1"/>
        <v>12365261.93084174</v>
      </c>
      <c r="P6" s="307">
        <f t="shared" si="1"/>
        <v>11870410.527530946</v>
      </c>
      <c r="Q6" s="307">
        <f t="shared" si="1"/>
        <v>11409340.138955934</v>
      </c>
      <c r="S6" s="74"/>
      <c r="T6" s="74"/>
      <c r="U6" s="74"/>
      <c r="V6" s="74"/>
    </row>
    <row r="7" spans="2:23" x14ac:dyDescent="0.2">
      <c r="B7" s="10" t="s">
        <v>118</v>
      </c>
      <c r="C7" s="14">
        <v>15105251</v>
      </c>
      <c r="D7" s="14">
        <v>14003430</v>
      </c>
      <c r="E7" s="14">
        <v>11709670</v>
      </c>
      <c r="F7" s="14">
        <v>11158338</v>
      </c>
      <c r="G7" s="14">
        <v>7980042</v>
      </c>
      <c r="H7" s="307">
        <f t="shared" ref="H7:Q7" si="2">FORECAST(H6,C7:G7,C6:G6)</f>
        <v>8813254.3152654618</v>
      </c>
      <c r="I7" s="307">
        <f t="shared" si="2"/>
        <v>7045232.2154015526</v>
      </c>
      <c r="J7" s="307">
        <f t="shared" si="2"/>
        <v>6101203.4763625115</v>
      </c>
      <c r="K7" s="307">
        <f t="shared" si="2"/>
        <v>5139143.8828251734</v>
      </c>
      <c r="L7" s="307">
        <f t="shared" si="2"/>
        <v>4563010.2053663135</v>
      </c>
      <c r="M7" s="307">
        <f t="shared" si="2"/>
        <v>3233934.4283621423</v>
      </c>
      <c r="N7" s="307">
        <f t="shared" si="2"/>
        <v>2479953.1381757408</v>
      </c>
      <c r="O7" s="307">
        <f t="shared" si="2"/>
        <v>1567672.513651181</v>
      </c>
      <c r="P7" s="307">
        <f t="shared" si="2"/>
        <v>635208.5557015799</v>
      </c>
      <c r="Q7" s="307">
        <f t="shared" si="2"/>
        <v>-358453.83873184025</v>
      </c>
      <c r="S7" s="74"/>
      <c r="T7" s="74"/>
      <c r="U7" s="74"/>
      <c r="V7" s="74"/>
    </row>
    <row r="8" spans="2:23" x14ac:dyDescent="0.2">
      <c r="B8" s="10" t="s">
        <v>119</v>
      </c>
      <c r="C8" s="10"/>
      <c r="D8" s="14">
        <v>1832387</v>
      </c>
      <c r="E8" s="14">
        <v>2773053</v>
      </c>
      <c r="F8" s="14">
        <v>3338574</v>
      </c>
      <c r="G8" s="14">
        <v>4287637</v>
      </c>
      <c r="H8" s="307">
        <f t="shared" ref="H8:Q8" si="3">FORECAST(H7,C8:G8,C7:G7)</f>
        <v>4038128.4358828948</v>
      </c>
      <c r="I8" s="307">
        <f t="shared" si="3"/>
        <v>4760345.3334882874</v>
      </c>
      <c r="J8" s="307">
        <f t="shared" si="3"/>
        <v>5083822.8432361446</v>
      </c>
      <c r="K8" s="307">
        <f t="shared" si="3"/>
        <v>5371496.5671177376</v>
      </c>
      <c r="L8" s="307">
        <f t="shared" si="3"/>
        <v>5628594.6206295304</v>
      </c>
      <c r="M8" s="307">
        <f t="shared" si="3"/>
        <v>6112395.7171943327</v>
      </c>
      <c r="N8" s="307">
        <f t="shared" si="3"/>
        <v>6361157.107196223</v>
      </c>
      <c r="O8" s="307">
        <f t="shared" si="3"/>
        <v>6696203.1005530171</v>
      </c>
      <c r="P8" s="307">
        <f t="shared" si="3"/>
        <v>7044789.1079224944</v>
      </c>
      <c r="Q8" s="307">
        <f t="shared" si="3"/>
        <v>7393064.5340747796</v>
      </c>
      <c r="S8" s="74"/>
      <c r="T8" s="74"/>
      <c r="U8" s="74"/>
      <c r="V8" s="74"/>
    </row>
    <row r="9" spans="2:23" x14ac:dyDescent="0.2">
      <c r="B9" s="10" t="s">
        <v>120</v>
      </c>
      <c r="C9" s="10"/>
      <c r="D9" s="10"/>
      <c r="E9" s="14"/>
      <c r="F9" s="14">
        <v>2361729.9999999972</v>
      </c>
      <c r="G9" s="14">
        <v>2405661.9999999935</v>
      </c>
      <c r="H9" s="307">
        <f t="shared" ref="H9:Q9" si="4">FORECAST(H8,C9:G9,C8:G8)</f>
        <v>2394112.2817633837</v>
      </c>
      <c r="I9" s="307">
        <f t="shared" si="4"/>
        <v>2427543.6058647316</v>
      </c>
      <c r="J9" s="307">
        <f t="shared" si="4"/>
        <v>2442517.3367532417</v>
      </c>
      <c r="K9" s="307">
        <f t="shared" si="4"/>
        <v>2455833.7151575889</v>
      </c>
      <c r="L9" s="307">
        <f t="shared" si="4"/>
        <v>2467734.7498485199</v>
      </c>
      <c r="M9" s="307">
        <f t="shared" si="4"/>
        <v>2490129.8382402109</v>
      </c>
      <c r="N9" s="307">
        <f t="shared" si="4"/>
        <v>2501644.9698864371</v>
      </c>
      <c r="O9" s="307">
        <f t="shared" si="4"/>
        <v>2517154.2043420523</v>
      </c>
      <c r="P9" s="307">
        <f t="shared" si="4"/>
        <v>2533290.2042448558</v>
      </c>
      <c r="Q9" s="307">
        <f t="shared" si="4"/>
        <v>2549411.8273844379</v>
      </c>
      <c r="S9" s="74"/>
      <c r="T9" s="74"/>
      <c r="U9" s="74"/>
      <c r="V9" s="74"/>
    </row>
    <row r="10" spans="2:23" x14ac:dyDescent="0.2">
      <c r="B10" s="10" t="s">
        <v>121</v>
      </c>
      <c r="C10" s="14">
        <v>6466119</v>
      </c>
      <c r="D10" s="14">
        <v>6138129</v>
      </c>
      <c r="E10" s="14">
        <v>5754566</v>
      </c>
      <c r="F10" s="14">
        <v>7641361</v>
      </c>
      <c r="G10" s="14">
        <v>7982104</v>
      </c>
      <c r="H10" s="307">
        <f t="shared" ref="H10:Q10" si="5">FORECAST(H9,C10:G10,C9:G9)</f>
        <v>7892522.7006943114</v>
      </c>
      <c r="I10" s="307">
        <f t="shared" si="5"/>
        <v>8151820.9267770424</v>
      </c>
      <c r="J10" s="307">
        <f t="shared" si="5"/>
        <v>8267959.3676434755</v>
      </c>
      <c r="K10" s="307">
        <f t="shared" si="5"/>
        <v>8371243.1408983432</v>
      </c>
      <c r="L10" s="307">
        <f t="shared" si="5"/>
        <v>8463549.3018673938</v>
      </c>
      <c r="M10" s="307">
        <f t="shared" si="5"/>
        <v>8637248.8740209602</v>
      </c>
      <c r="N10" s="307">
        <f t="shared" si="5"/>
        <v>8726561.9146867692</v>
      </c>
      <c r="O10" s="307">
        <f t="shared" si="5"/>
        <v>8846853.7993291728</v>
      </c>
      <c r="P10" s="307">
        <f t="shared" si="5"/>
        <v>8972006.968201099</v>
      </c>
      <c r="Q10" s="307">
        <f t="shared" si="5"/>
        <v>9097048.6288004573</v>
      </c>
      <c r="S10" s="74"/>
      <c r="T10" s="74"/>
      <c r="U10" s="74"/>
      <c r="V10" s="74"/>
    </row>
    <row r="11" spans="2:23" x14ac:dyDescent="0.2">
      <c r="B11" s="51" t="s">
        <v>122</v>
      </c>
      <c r="C11" s="31">
        <v>3318605</v>
      </c>
      <c r="D11" s="31">
        <v>2435156</v>
      </c>
      <c r="E11" s="31">
        <v>2409183</v>
      </c>
      <c r="F11" s="31">
        <v>3641055</v>
      </c>
      <c r="G11" s="31">
        <v>4395994</v>
      </c>
      <c r="H11" s="307">
        <f t="shared" ref="H11:Q11" si="6">FORECAST(H10,C11:G11,C10:G10)</f>
        <v>4140488.5399098652</v>
      </c>
      <c r="I11" s="307">
        <f t="shared" si="6"/>
        <v>4335530.4377370216</v>
      </c>
      <c r="J11" s="307">
        <f t="shared" si="6"/>
        <v>4425911.3169839736</v>
      </c>
      <c r="K11" s="307">
        <f t="shared" si="6"/>
        <v>4652390.4628521567</v>
      </c>
      <c r="L11" s="307">
        <f t="shared" si="6"/>
        <v>4655860.3944222834</v>
      </c>
      <c r="M11" s="307">
        <f t="shared" si="6"/>
        <v>4835696.6345223663</v>
      </c>
      <c r="N11" s="307">
        <f t="shared" si="6"/>
        <v>4946195.6162475832</v>
      </c>
      <c r="O11" s="307">
        <f t="shared" si="6"/>
        <v>5067119.4117552405</v>
      </c>
      <c r="P11" s="307">
        <f t="shared" si="6"/>
        <v>5167308.3132357104</v>
      </c>
      <c r="Q11" s="307">
        <f t="shared" si="6"/>
        <v>5310418.3585889731</v>
      </c>
      <c r="S11" s="74"/>
      <c r="T11" s="74"/>
      <c r="U11" s="74"/>
      <c r="V11" s="74"/>
    </row>
    <row r="12" spans="2:23" x14ac:dyDescent="0.2">
      <c r="B12" s="20" t="s">
        <v>123</v>
      </c>
      <c r="C12" s="89">
        <v>-1990310</v>
      </c>
      <c r="D12" s="89">
        <v>-1828953</v>
      </c>
      <c r="E12" s="89">
        <v>-1939153</v>
      </c>
      <c r="F12" s="89">
        <v>-1692813</v>
      </c>
      <c r="G12" s="277">
        <v>-1280106</v>
      </c>
      <c r="H12" s="307">
        <f t="shared" ref="H12:Q12" si="7">FORECAST(H11,C12:G12,C11:G11)</f>
        <v>-1502892.3063248121</v>
      </c>
      <c r="I12" s="307">
        <f t="shared" si="7"/>
        <v>-1403155.5032242157</v>
      </c>
      <c r="J12" s="307">
        <f t="shared" si="7"/>
        <v>-1370357.4281941371</v>
      </c>
      <c r="K12" s="307">
        <f t="shared" si="7"/>
        <v>-1234044.4503944498</v>
      </c>
      <c r="L12" s="307">
        <f t="shared" si="7"/>
        <v>-1218417.731494159</v>
      </c>
      <c r="M12" s="307">
        <f t="shared" si="7"/>
        <v>-1131828.9955510409</v>
      </c>
      <c r="N12" s="307">
        <f t="shared" si="7"/>
        <v>-1066321.9931299835</v>
      </c>
      <c r="O12" s="307">
        <f t="shared" si="7"/>
        <v>-994199.19818865554</v>
      </c>
      <c r="P12" s="307">
        <f t="shared" si="7"/>
        <v>-941516.0330316429</v>
      </c>
      <c r="Q12" s="307">
        <f t="shared" si="7"/>
        <v>-864039.27141749393</v>
      </c>
      <c r="S12" s="74"/>
      <c r="T12" s="74"/>
      <c r="U12" s="74"/>
      <c r="V12" s="74"/>
    </row>
    <row r="13" spans="2:23" ht="17" thickBot="1" x14ac:dyDescent="0.25">
      <c r="B13" s="34" t="s">
        <v>124</v>
      </c>
      <c r="C13" s="53">
        <f>SUM(C5:C12)</f>
        <v>59040767</v>
      </c>
      <c r="D13" s="53">
        <f>SUM(D5:D12)</f>
        <v>56509008</v>
      </c>
      <c r="E13" s="53">
        <f>SUM(E5:E12)</f>
        <v>55367033</v>
      </c>
      <c r="F13" s="53">
        <f>SUM(F5:F12)</f>
        <v>61396284</v>
      </c>
      <c r="G13" s="53">
        <f t="shared" ref="G13:Q13" si="8">SUM(G5:G12)</f>
        <v>61341663.999999993</v>
      </c>
      <c r="H13" s="54">
        <f t="shared" si="8"/>
        <v>61283114.699258633</v>
      </c>
      <c r="I13" s="54">
        <f t="shared" si="8"/>
        <v>61460314.059640817</v>
      </c>
      <c r="J13" s="54">
        <f t="shared" si="8"/>
        <v>61375522.293904975</v>
      </c>
      <c r="K13" s="54">
        <f t="shared" si="8"/>
        <v>61545123.229240857</v>
      </c>
      <c r="L13" s="54">
        <f t="shared" si="8"/>
        <v>61669995.592680797</v>
      </c>
      <c r="M13" s="54">
        <f t="shared" si="8"/>
        <v>61732908.463155113</v>
      </c>
      <c r="N13" s="54">
        <f t="shared" si="8"/>
        <v>61806561.959884048</v>
      </c>
      <c r="O13" s="54">
        <f t="shared" si="8"/>
        <v>61937484.204166844</v>
      </c>
      <c r="P13" s="54">
        <f t="shared" si="8"/>
        <v>62014083.995606191</v>
      </c>
      <c r="Q13" s="54">
        <f t="shared" si="8"/>
        <v>62100919.680983767</v>
      </c>
    </row>
    <row r="14" spans="2:23" x14ac:dyDescent="0.2">
      <c r="B14" s="55"/>
      <c r="C14" s="55"/>
      <c r="D14" s="55"/>
      <c r="E14" s="55"/>
      <c r="F14" s="55"/>
      <c r="G14" s="55"/>
      <c r="H14" s="56"/>
      <c r="I14" s="56"/>
      <c r="J14" s="56"/>
      <c r="K14" s="56"/>
      <c r="L14" s="55"/>
      <c r="M14" s="55"/>
      <c r="N14" s="55"/>
      <c r="O14" s="55"/>
      <c r="P14" s="55"/>
      <c r="Q14" s="55"/>
    </row>
    <row r="15" spans="2:23" x14ac:dyDescent="0.2">
      <c r="B15" s="57" t="s">
        <v>125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</row>
    <row r="16" spans="2:23" x14ac:dyDescent="0.2">
      <c r="B16" s="55" t="s">
        <v>116</v>
      </c>
      <c r="C16" s="58"/>
      <c r="D16" s="58"/>
      <c r="E16" s="58"/>
      <c r="F16" s="58"/>
      <c r="G16" s="58"/>
      <c r="H16" s="58">
        <f>CHOOSE(Drivers!$C$3,'Divisional Sales Revenue'!H26,'Divisional Sales Revenue'!H36,'Divisional Sales Revenue'!H46)</f>
        <v>1</v>
      </c>
      <c r="I16" s="58">
        <f>CHOOSE(Drivers!$C$3,'Divisional Sales Revenue'!I26,'Divisional Sales Revenue'!I36,'Divisional Sales Revenue'!I46)</f>
        <v>1</v>
      </c>
      <c r="J16" s="58">
        <f>CHOOSE(Drivers!$C$3,'Divisional Sales Revenue'!J26,'Divisional Sales Revenue'!J36,'Divisional Sales Revenue'!J46)</f>
        <v>1</v>
      </c>
      <c r="K16" s="58">
        <f>CHOOSE(Drivers!$C$3,'Divisional Sales Revenue'!K26,'Divisional Sales Revenue'!K36,'Divisional Sales Revenue'!K46)</f>
        <v>1</v>
      </c>
      <c r="L16" s="58">
        <f>CHOOSE(Drivers!$C$3,'Divisional Sales Revenue'!L26,'Divisional Sales Revenue'!L36,'Divisional Sales Revenue'!L46)</f>
        <v>1</v>
      </c>
      <c r="M16" s="58">
        <f>CHOOSE(Drivers!$C$3,'Divisional Sales Revenue'!M26,'Divisional Sales Revenue'!M36,'Divisional Sales Revenue'!M46)</f>
        <v>1</v>
      </c>
      <c r="N16" s="58">
        <f>CHOOSE(Drivers!$C$3,'Divisional Sales Revenue'!N26,'Divisional Sales Revenue'!N36,'Divisional Sales Revenue'!N46)</f>
        <v>1</v>
      </c>
      <c r="O16" s="58">
        <f>CHOOSE(Drivers!$C$3,'Divisional Sales Revenue'!O26,'Divisional Sales Revenue'!O36,'Divisional Sales Revenue'!O46)</f>
        <v>1</v>
      </c>
      <c r="P16" s="58">
        <f>CHOOSE(Drivers!$C$3,'Divisional Sales Revenue'!P26,'Divisional Sales Revenue'!P36,'Divisional Sales Revenue'!P46)</f>
        <v>1</v>
      </c>
      <c r="Q16" s="58">
        <f>CHOOSE(Drivers!$C$3,'Divisional Sales Revenue'!Q26,'Divisional Sales Revenue'!Q36,'Divisional Sales Revenue'!Q46)</f>
        <v>1</v>
      </c>
    </row>
    <row r="17" spans="2:17" x14ac:dyDescent="0.2">
      <c r="B17" s="55" t="s">
        <v>117</v>
      </c>
      <c r="C17" s="58"/>
      <c r="D17" s="58"/>
      <c r="E17" s="58"/>
      <c r="F17" s="58"/>
      <c r="G17" s="58"/>
      <c r="H17" s="58">
        <f>CHOOSE(Drivers!$C$3,'Divisional Sales Revenue'!H27,'Divisional Sales Revenue'!H37,'Divisional Sales Revenue'!H47)</f>
        <v>1</v>
      </c>
      <c r="I17" s="58">
        <f>CHOOSE(Drivers!$C$3,'Divisional Sales Revenue'!I27,'Divisional Sales Revenue'!I37,'Divisional Sales Revenue'!I47)</f>
        <v>1</v>
      </c>
      <c r="J17" s="58">
        <f>CHOOSE(Drivers!$C$3,'Divisional Sales Revenue'!J27,'Divisional Sales Revenue'!J37,'Divisional Sales Revenue'!J47)</f>
        <v>1</v>
      </c>
      <c r="K17" s="58">
        <f>CHOOSE(Drivers!$C$3,'Divisional Sales Revenue'!K27,'Divisional Sales Revenue'!K37,'Divisional Sales Revenue'!K47)</f>
        <v>1</v>
      </c>
      <c r="L17" s="58">
        <f>CHOOSE(Drivers!$C$3,'Divisional Sales Revenue'!L27,'Divisional Sales Revenue'!L37,'Divisional Sales Revenue'!L47)</f>
        <v>1</v>
      </c>
      <c r="M17" s="58">
        <f>CHOOSE(Drivers!$C$3,'Divisional Sales Revenue'!M27,'Divisional Sales Revenue'!M37,'Divisional Sales Revenue'!M47)</f>
        <v>1</v>
      </c>
      <c r="N17" s="58">
        <f>CHOOSE(Drivers!$C$3,'Divisional Sales Revenue'!N27,'Divisional Sales Revenue'!N37,'Divisional Sales Revenue'!N47)</f>
        <v>1</v>
      </c>
      <c r="O17" s="58">
        <f>CHOOSE(Drivers!$C$3,'Divisional Sales Revenue'!O27,'Divisional Sales Revenue'!O37,'Divisional Sales Revenue'!O47)</f>
        <v>1</v>
      </c>
      <c r="P17" s="58">
        <f>CHOOSE(Drivers!$C$3,'Divisional Sales Revenue'!P27,'Divisional Sales Revenue'!P37,'Divisional Sales Revenue'!P47)</f>
        <v>1</v>
      </c>
      <c r="Q17" s="58">
        <f>CHOOSE(Drivers!$C$3,'Divisional Sales Revenue'!Q27,'Divisional Sales Revenue'!Q37,'Divisional Sales Revenue'!Q47)</f>
        <v>1</v>
      </c>
    </row>
    <row r="18" spans="2:17" x14ac:dyDescent="0.2">
      <c r="B18" s="55" t="s">
        <v>118</v>
      </c>
      <c r="C18" s="58"/>
      <c r="D18" s="58"/>
      <c r="E18" s="58"/>
      <c r="F18" s="58"/>
      <c r="G18" s="58"/>
      <c r="H18" s="58">
        <f>CHOOSE(Drivers!$C$3,'Divisional Sales Revenue'!H28,'Divisional Sales Revenue'!H38,'Divisional Sales Revenue'!H48)</f>
        <v>1</v>
      </c>
      <c r="I18" s="58">
        <f>CHOOSE(Drivers!$C$3,'Divisional Sales Revenue'!I28,'Divisional Sales Revenue'!I38,'Divisional Sales Revenue'!I48)</f>
        <v>1</v>
      </c>
      <c r="J18" s="58">
        <f>CHOOSE(Drivers!$C$3,'Divisional Sales Revenue'!J28,'Divisional Sales Revenue'!J38,'Divisional Sales Revenue'!J48)</f>
        <v>1</v>
      </c>
      <c r="K18" s="58">
        <f>CHOOSE(Drivers!$C$3,'Divisional Sales Revenue'!K28,'Divisional Sales Revenue'!K38,'Divisional Sales Revenue'!K48)</f>
        <v>1</v>
      </c>
      <c r="L18" s="58">
        <f>CHOOSE(Drivers!$C$3,'Divisional Sales Revenue'!L28,'Divisional Sales Revenue'!L38,'Divisional Sales Revenue'!L48)</f>
        <v>1</v>
      </c>
      <c r="M18" s="58">
        <f>CHOOSE(Drivers!$C$3,'Divisional Sales Revenue'!M28,'Divisional Sales Revenue'!M38,'Divisional Sales Revenue'!M48)</f>
        <v>1</v>
      </c>
      <c r="N18" s="58">
        <f>CHOOSE(Drivers!$C$3,'Divisional Sales Revenue'!N28,'Divisional Sales Revenue'!N38,'Divisional Sales Revenue'!N48)</f>
        <v>1</v>
      </c>
      <c r="O18" s="58">
        <f>CHOOSE(Drivers!$C$3,'Divisional Sales Revenue'!O28,'Divisional Sales Revenue'!O38,'Divisional Sales Revenue'!O48)</f>
        <v>1</v>
      </c>
      <c r="P18" s="58">
        <f>CHOOSE(Drivers!$C$3,'Divisional Sales Revenue'!P28,'Divisional Sales Revenue'!P38,'Divisional Sales Revenue'!P48)</f>
        <v>1</v>
      </c>
      <c r="Q18" s="58">
        <f>CHOOSE(Drivers!$C$3,'Divisional Sales Revenue'!Q28,'Divisional Sales Revenue'!Q38,'Divisional Sales Revenue'!Q48)</f>
        <v>1</v>
      </c>
    </row>
    <row r="19" spans="2:17" x14ac:dyDescent="0.2">
      <c r="B19" s="55" t="s">
        <v>119</v>
      </c>
      <c r="C19" s="58"/>
      <c r="D19" s="58"/>
      <c r="E19" s="58"/>
      <c r="F19" s="58"/>
      <c r="G19" s="58"/>
      <c r="H19" s="58">
        <f>CHOOSE(Drivers!$C$3,'Divisional Sales Revenue'!H29,'Divisional Sales Revenue'!H39,'Divisional Sales Revenue'!H49)</f>
        <v>1</v>
      </c>
      <c r="I19" s="58">
        <f>CHOOSE(Drivers!$C$3,'Divisional Sales Revenue'!I29,'Divisional Sales Revenue'!I39,'Divisional Sales Revenue'!I49)</f>
        <v>1</v>
      </c>
      <c r="J19" s="58">
        <f>CHOOSE(Drivers!$C$3,'Divisional Sales Revenue'!J29,'Divisional Sales Revenue'!J39,'Divisional Sales Revenue'!J49)</f>
        <v>1</v>
      </c>
      <c r="K19" s="58">
        <f>CHOOSE(Drivers!$C$3,'Divisional Sales Revenue'!K29,'Divisional Sales Revenue'!K39,'Divisional Sales Revenue'!K49)</f>
        <v>1</v>
      </c>
      <c r="L19" s="58">
        <f>CHOOSE(Drivers!$C$3,'Divisional Sales Revenue'!L29,'Divisional Sales Revenue'!L39,'Divisional Sales Revenue'!L49)</f>
        <v>1</v>
      </c>
      <c r="M19" s="58">
        <f>CHOOSE(Drivers!$C$3,'Divisional Sales Revenue'!M29,'Divisional Sales Revenue'!M39,'Divisional Sales Revenue'!M49)</f>
        <v>1</v>
      </c>
      <c r="N19" s="58">
        <f>CHOOSE(Drivers!$C$3,'Divisional Sales Revenue'!N29,'Divisional Sales Revenue'!N39,'Divisional Sales Revenue'!N49)</f>
        <v>1</v>
      </c>
      <c r="O19" s="58">
        <f>CHOOSE(Drivers!$C$3,'Divisional Sales Revenue'!O29,'Divisional Sales Revenue'!O39,'Divisional Sales Revenue'!O49)</f>
        <v>1</v>
      </c>
      <c r="P19" s="58">
        <f>CHOOSE(Drivers!$C$3,'Divisional Sales Revenue'!P29,'Divisional Sales Revenue'!P39,'Divisional Sales Revenue'!P49)</f>
        <v>1</v>
      </c>
      <c r="Q19" s="58">
        <f>CHOOSE(Drivers!$C$3,'Divisional Sales Revenue'!Q29,'Divisional Sales Revenue'!Q39,'Divisional Sales Revenue'!Q49)</f>
        <v>1</v>
      </c>
    </row>
    <row r="20" spans="2:17" x14ac:dyDescent="0.2">
      <c r="B20" s="55" t="s">
        <v>120</v>
      </c>
      <c r="C20" s="58"/>
      <c r="D20" s="58"/>
      <c r="E20" s="58"/>
      <c r="F20" s="58"/>
      <c r="G20" s="58"/>
      <c r="H20" s="58">
        <f>CHOOSE(Drivers!$C$3,'Divisional Sales Revenue'!H30,'Divisional Sales Revenue'!H40,'Divisional Sales Revenue'!H50)</f>
        <v>1</v>
      </c>
      <c r="I20" s="58">
        <f>CHOOSE(Drivers!$C$3,'Divisional Sales Revenue'!I30,'Divisional Sales Revenue'!I40,'Divisional Sales Revenue'!I50)</f>
        <v>1</v>
      </c>
      <c r="J20" s="58">
        <f>CHOOSE(Drivers!$C$3,'Divisional Sales Revenue'!J30,'Divisional Sales Revenue'!J40,'Divisional Sales Revenue'!J50)</f>
        <v>1</v>
      </c>
      <c r="K20" s="58">
        <f>CHOOSE(Drivers!$C$3,'Divisional Sales Revenue'!K30,'Divisional Sales Revenue'!K40,'Divisional Sales Revenue'!K50)</f>
        <v>1</v>
      </c>
      <c r="L20" s="58">
        <f>CHOOSE(Drivers!$C$3,'Divisional Sales Revenue'!L30,'Divisional Sales Revenue'!L40,'Divisional Sales Revenue'!L50)</f>
        <v>1</v>
      </c>
      <c r="M20" s="58">
        <f>CHOOSE(Drivers!$C$3,'Divisional Sales Revenue'!M30,'Divisional Sales Revenue'!M40,'Divisional Sales Revenue'!M50)</f>
        <v>1</v>
      </c>
      <c r="N20" s="58">
        <f>CHOOSE(Drivers!$C$3,'Divisional Sales Revenue'!N30,'Divisional Sales Revenue'!N40,'Divisional Sales Revenue'!N50)</f>
        <v>1</v>
      </c>
      <c r="O20" s="58">
        <f>CHOOSE(Drivers!$C$3,'Divisional Sales Revenue'!O30,'Divisional Sales Revenue'!O40,'Divisional Sales Revenue'!O50)</f>
        <v>1</v>
      </c>
      <c r="P20" s="58">
        <f>CHOOSE(Drivers!$C$3,'Divisional Sales Revenue'!P30,'Divisional Sales Revenue'!P40,'Divisional Sales Revenue'!P50)</f>
        <v>1</v>
      </c>
      <c r="Q20" s="58">
        <f>CHOOSE(Drivers!$C$3,'Divisional Sales Revenue'!Q30,'Divisional Sales Revenue'!Q40,'Divisional Sales Revenue'!Q50)</f>
        <v>1</v>
      </c>
    </row>
    <row r="21" spans="2:17" x14ac:dyDescent="0.2">
      <c r="B21" s="55" t="s">
        <v>121</v>
      </c>
      <c r="C21" s="58"/>
      <c r="D21" s="58"/>
      <c r="E21" s="58"/>
      <c r="F21" s="58"/>
      <c r="G21" s="58"/>
      <c r="H21" s="58">
        <f>CHOOSE(Drivers!$C$3,'Divisional Sales Revenue'!H31,'Divisional Sales Revenue'!H41,'Divisional Sales Revenue'!H51)</f>
        <v>1</v>
      </c>
      <c r="I21" s="58">
        <f>CHOOSE(Drivers!$C$3,'Divisional Sales Revenue'!I31,'Divisional Sales Revenue'!I41,'Divisional Sales Revenue'!I51)</f>
        <v>1</v>
      </c>
      <c r="J21" s="58">
        <f>CHOOSE(Drivers!$C$3,'Divisional Sales Revenue'!J31,'Divisional Sales Revenue'!J41,'Divisional Sales Revenue'!J51)</f>
        <v>1</v>
      </c>
      <c r="K21" s="58">
        <f>CHOOSE(Drivers!$C$3,'Divisional Sales Revenue'!K31,'Divisional Sales Revenue'!K41,'Divisional Sales Revenue'!K51)</f>
        <v>1</v>
      </c>
      <c r="L21" s="58">
        <f>CHOOSE(Drivers!$C$3,'Divisional Sales Revenue'!L31,'Divisional Sales Revenue'!L41,'Divisional Sales Revenue'!L51)</f>
        <v>1</v>
      </c>
      <c r="M21" s="58">
        <f>CHOOSE(Drivers!$C$3,'Divisional Sales Revenue'!M31,'Divisional Sales Revenue'!M41,'Divisional Sales Revenue'!M51)</f>
        <v>1</v>
      </c>
      <c r="N21" s="58">
        <f>CHOOSE(Drivers!$C$3,'Divisional Sales Revenue'!N31,'Divisional Sales Revenue'!N41,'Divisional Sales Revenue'!N51)</f>
        <v>1</v>
      </c>
      <c r="O21" s="58">
        <f>CHOOSE(Drivers!$C$3,'Divisional Sales Revenue'!O31,'Divisional Sales Revenue'!O41,'Divisional Sales Revenue'!O51)</f>
        <v>1</v>
      </c>
      <c r="P21" s="58">
        <f>CHOOSE(Drivers!$C$3,'Divisional Sales Revenue'!P31,'Divisional Sales Revenue'!P41,'Divisional Sales Revenue'!P51)</f>
        <v>1</v>
      </c>
      <c r="Q21" s="58">
        <f>CHOOSE(Drivers!$C$3,'Divisional Sales Revenue'!Q31,'Divisional Sales Revenue'!Q41,'Divisional Sales Revenue'!Q51)</f>
        <v>1</v>
      </c>
    </row>
    <row r="22" spans="2:17" x14ac:dyDescent="0.2">
      <c r="B22" s="59" t="s">
        <v>122</v>
      </c>
      <c r="C22" s="58"/>
      <c r="D22" s="58"/>
      <c r="E22" s="58"/>
      <c r="F22" s="58"/>
      <c r="G22" s="58"/>
      <c r="H22" s="58">
        <f>CHOOSE(Drivers!$C$3,'Divisional Sales Revenue'!H32,'Divisional Sales Revenue'!H42,'Divisional Sales Revenue'!H52)</f>
        <v>1</v>
      </c>
      <c r="I22" s="58">
        <f>CHOOSE(Drivers!$C$3,'Divisional Sales Revenue'!I32,'Divisional Sales Revenue'!I42,'Divisional Sales Revenue'!I52)</f>
        <v>1</v>
      </c>
      <c r="J22" s="58">
        <f>CHOOSE(Drivers!$C$3,'Divisional Sales Revenue'!J32,'Divisional Sales Revenue'!J42,'Divisional Sales Revenue'!J52)</f>
        <v>1</v>
      </c>
      <c r="K22" s="58">
        <f>CHOOSE(Drivers!$C$3,'Divisional Sales Revenue'!K32,'Divisional Sales Revenue'!K42,'Divisional Sales Revenue'!K52)</f>
        <v>1</v>
      </c>
      <c r="L22" s="58">
        <f>CHOOSE(Drivers!$C$3,'Divisional Sales Revenue'!L32,'Divisional Sales Revenue'!L42,'Divisional Sales Revenue'!L52)</f>
        <v>1</v>
      </c>
      <c r="M22" s="58">
        <f>CHOOSE(Drivers!$C$3,'Divisional Sales Revenue'!M32,'Divisional Sales Revenue'!M42,'Divisional Sales Revenue'!M52)</f>
        <v>1</v>
      </c>
      <c r="N22" s="58">
        <f>CHOOSE(Drivers!$C$3,'Divisional Sales Revenue'!N32,'Divisional Sales Revenue'!N42,'Divisional Sales Revenue'!N52)</f>
        <v>1</v>
      </c>
      <c r="O22" s="58">
        <f>CHOOSE(Drivers!$C$3,'Divisional Sales Revenue'!O32,'Divisional Sales Revenue'!O42,'Divisional Sales Revenue'!O52)</f>
        <v>1</v>
      </c>
      <c r="P22" s="58">
        <f>CHOOSE(Drivers!$C$3,'Divisional Sales Revenue'!P32,'Divisional Sales Revenue'!P42,'Divisional Sales Revenue'!P52)</f>
        <v>1</v>
      </c>
      <c r="Q22" s="58">
        <f>CHOOSE(Drivers!$C$3,'Divisional Sales Revenue'!Q32,'Divisional Sales Revenue'!Q42,'Divisional Sales Revenue'!Q52)</f>
        <v>1</v>
      </c>
    </row>
    <row r="23" spans="2:17" x14ac:dyDescent="0.2">
      <c r="B23" s="59" t="s">
        <v>123</v>
      </c>
      <c r="C23" s="58"/>
      <c r="D23" s="58"/>
      <c r="E23" s="58"/>
      <c r="F23" s="58"/>
      <c r="G23" s="58"/>
      <c r="H23" s="58">
        <f>CHOOSE(Drivers!$C$3,'Divisional Sales Revenue'!H33,'Divisional Sales Revenue'!H43,'Divisional Sales Revenue'!H53)</f>
        <v>1</v>
      </c>
      <c r="I23" s="58">
        <f>CHOOSE(Drivers!$C$3,'Divisional Sales Revenue'!I33,'Divisional Sales Revenue'!I43,'Divisional Sales Revenue'!I53)</f>
        <v>1</v>
      </c>
      <c r="J23" s="58">
        <f>CHOOSE(Drivers!$C$3,'Divisional Sales Revenue'!J33,'Divisional Sales Revenue'!J43,'Divisional Sales Revenue'!J53)</f>
        <v>1</v>
      </c>
      <c r="K23" s="58">
        <f>CHOOSE(Drivers!$C$3,'Divisional Sales Revenue'!K33,'Divisional Sales Revenue'!K43,'Divisional Sales Revenue'!K53)</f>
        <v>1</v>
      </c>
      <c r="L23" s="58">
        <f>CHOOSE(Drivers!$C$3,'Divisional Sales Revenue'!L33,'Divisional Sales Revenue'!L43,'Divisional Sales Revenue'!L53)</f>
        <v>1</v>
      </c>
      <c r="M23" s="58">
        <f>CHOOSE(Drivers!$C$3,'Divisional Sales Revenue'!M33,'Divisional Sales Revenue'!M43,'Divisional Sales Revenue'!M53)</f>
        <v>1</v>
      </c>
      <c r="N23" s="58">
        <f>CHOOSE(Drivers!$C$3,'Divisional Sales Revenue'!N33,'Divisional Sales Revenue'!N43,'Divisional Sales Revenue'!N53)</f>
        <v>1</v>
      </c>
      <c r="O23" s="58">
        <f>CHOOSE(Drivers!$C$3,'Divisional Sales Revenue'!O33,'Divisional Sales Revenue'!O43,'Divisional Sales Revenue'!O53)</f>
        <v>1</v>
      </c>
      <c r="P23" s="58">
        <f>CHOOSE(Drivers!$C$3,'Divisional Sales Revenue'!P33,'Divisional Sales Revenue'!P43,'Divisional Sales Revenue'!P53)</f>
        <v>1</v>
      </c>
      <c r="Q23" s="58">
        <f>CHOOSE(Drivers!$C$3,'Divisional Sales Revenue'!Q33,'Divisional Sales Revenue'!Q43,'Divisional Sales Revenue'!Q53)</f>
        <v>1</v>
      </c>
    </row>
    <row r="24" spans="2:17" x14ac:dyDescent="0.2">
      <c r="B24" s="60"/>
      <c r="C24" s="60"/>
      <c r="D24" s="60"/>
      <c r="E24" s="60"/>
      <c r="F24" s="60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</row>
    <row r="25" spans="2:17" x14ac:dyDescent="0.2">
      <c r="B25" s="57" t="s">
        <v>126</v>
      </c>
      <c r="C25" s="60"/>
      <c r="D25" s="60"/>
      <c r="E25" s="60"/>
      <c r="F25" s="60"/>
      <c r="G25" s="60"/>
      <c r="H25" s="62"/>
      <c r="I25" s="62"/>
      <c r="J25" s="62"/>
      <c r="K25" s="62"/>
      <c r="L25" s="62"/>
      <c r="M25" s="62"/>
      <c r="N25" s="62"/>
      <c r="O25" s="62"/>
      <c r="P25" s="62"/>
      <c r="Q25" s="62"/>
    </row>
    <row r="26" spans="2:17" x14ac:dyDescent="0.2">
      <c r="B26" s="55" t="s">
        <v>116</v>
      </c>
      <c r="C26" s="58"/>
      <c r="D26" s="58"/>
      <c r="E26" s="58"/>
      <c r="F26" s="58"/>
      <c r="G26" s="58"/>
      <c r="H26" s="58">
        <v>1.02</v>
      </c>
      <c r="I26" s="58">
        <v>1.02</v>
      </c>
      <c r="J26" s="58">
        <v>1.02</v>
      </c>
      <c r="K26" s="58">
        <v>1.02</v>
      </c>
      <c r="L26" s="58">
        <v>1.02</v>
      </c>
      <c r="M26" s="58">
        <v>1.02</v>
      </c>
      <c r="N26" s="63">
        <v>1.02</v>
      </c>
      <c r="O26" s="63">
        <v>1.02</v>
      </c>
      <c r="P26" s="63">
        <v>1.02</v>
      </c>
      <c r="Q26" s="63">
        <v>1.02</v>
      </c>
    </row>
    <row r="27" spans="2:17" x14ac:dyDescent="0.2">
      <c r="B27" s="55" t="s">
        <v>117</v>
      </c>
      <c r="C27" s="58"/>
      <c r="D27" s="58"/>
      <c r="E27" s="58"/>
      <c r="F27" s="58"/>
      <c r="G27" s="58"/>
      <c r="H27" s="58">
        <v>1.02</v>
      </c>
      <c r="I27" s="58">
        <v>1.02</v>
      </c>
      <c r="J27" s="58">
        <v>1.02</v>
      </c>
      <c r="K27" s="58">
        <v>1.02</v>
      </c>
      <c r="L27" s="58">
        <v>1.02</v>
      </c>
      <c r="M27" s="58">
        <v>1.02</v>
      </c>
      <c r="N27" s="63">
        <v>1.02</v>
      </c>
      <c r="O27" s="63">
        <v>1.02</v>
      </c>
      <c r="P27" s="63">
        <v>1.02</v>
      </c>
      <c r="Q27" s="63">
        <v>1.02</v>
      </c>
    </row>
    <row r="28" spans="2:17" x14ac:dyDescent="0.2">
      <c r="B28" s="55" t="s">
        <v>118</v>
      </c>
      <c r="C28" s="58"/>
      <c r="D28" s="58"/>
      <c r="E28" s="58"/>
      <c r="F28" s="58"/>
      <c r="G28" s="58"/>
      <c r="H28" s="58">
        <v>1.02</v>
      </c>
      <c r="I28" s="58">
        <v>1.02</v>
      </c>
      <c r="J28" s="58">
        <v>1.02</v>
      </c>
      <c r="K28" s="58">
        <v>1.02</v>
      </c>
      <c r="L28" s="58">
        <v>1.02</v>
      </c>
      <c r="M28" s="58">
        <v>1.02</v>
      </c>
      <c r="N28" s="63">
        <v>1.02</v>
      </c>
      <c r="O28" s="63">
        <v>1.02</v>
      </c>
      <c r="P28" s="63">
        <v>1.02</v>
      </c>
      <c r="Q28" s="63">
        <v>1.02</v>
      </c>
    </row>
    <row r="29" spans="2:17" x14ac:dyDescent="0.2">
      <c r="B29" s="55" t="s">
        <v>119</v>
      </c>
      <c r="C29" s="58"/>
      <c r="D29" s="58"/>
      <c r="E29" s="58"/>
      <c r="F29" s="58"/>
      <c r="G29" s="58"/>
      <c r="H29" s="58">
        <v>1.02</v>
      </c>
      <c r="I29" s="58">
        <v>1.02</v>
      </c>
      <c r="J29" s="58">
        <v>1.02</v>
      </c>
      <c r="K29" s="58">
        <v>1.02</v>
      </c>
      <c r="L29" s="58">
        <v>1.02</v>
      </c>
      <c r="M29" s="58">
        <v>1.02</v>
      </c>
      <c r="N29" s="63">
        <v>1.02</v>
      </c>
      <c r="O29" s="63">
        <v>1.02</v>
      </c>
      <c r="P29" s="63">
        <v>1.02</v>
      </c>
      <c r="Q29" s="63">
        <v>1.02</v>
      </c>
    </row>
    <row r="30" spans="2:17" x14ac:dyDescent="0.2">
      <c r="B30" s="55" t="s">
        <v>120</v>
      </c>
      <c r="C30" s="58"/>
      <c r="D30" s="58"/>
      <c r="E30" s="58"/>
      <c r="F30" s="58"/>
      <c r="G30" s="58"/>
      <c r="H30" s="58">
        <v>1.02</v>
      </c>
      <c r="I30" s="58">
        <v>1.02</v>
      </c>
      <c r="J30" s="58">
        <v>1.02</v>
      </c>
      <c r="K30" s="58">
        <v>1.02</v>
      </c>
      <c r="L30" s="58">
        <v>1.02</v>
      </c>
      <c r="M30" s="58">
        <v>1.02</v>
      </c>
      <c r="N30" s="63">
        <v>1.02</v>
      </c>
      <c r="O30" s="63">
        <v>1.02</v>
      </c>
      <c r="P30" s="63">
        <v>1.02</v>
      </c>
      <c r="Q30" s="63">
        <v>1.02</v>
      </c>
    </row>
    <row r="31" spans="2:17" x14ac:dyDescent="0.2">
      <c r="B31" s="55" t="s">
        <v>121</v>
      </c>
      <c r="C31" s="58"/>
      <c r="D31" s="58"/>
      <c r="E31" s="58"/>
      <c r="F31" s="58"/>
      <c r="G31" s="58"/>
      <c r="H31" s="58">
        <v>1.02</v>
      </c>
      <c r="I31" s="58">
        <v>1.02</v>
      </c>
      <c r="J31" s="58">
        <v>1.02</v>
      </c>
      <c r="K31" s="58">
        <v>1.02</v>
      </c>
      <c r="L31" s="58">
        <v>1.02</v>
      </c>
      <c r="M31" s="58">
        <v>1.02</v>
      </c>
      <c r="N31" s="63">
        <v>1.02</v>
      </c>
      <c r="O31" s="63">
        <v>1.02</v>
      </c>
      <c r="P31" s="63">
        <v>1.02</v>
      </c>
      <c r="Q31" s="63">
        <v>1.02</v>
      </c>
    </row>
    <row r="32" spans="2:17" x14ac:dyDescent="0.2">
      <c r="B32" s="59" t="s">
        <v>122</v>
      </c>
      <c r="C32" s="58"/>
      <c r="D32" s="58"/>
      <c r="E32" s="58"/>
      <c r="F32" s="58"/>
      <c r="G32" s="58"/>
      <c r="H32" s="58">
        <v>1.02</v>
      </c>
      <c r="I32" s="58">
        <v>1.02</v>
      </c>
      <c r="J32" s="58">
        <v>1.02</v>
      </c>
      <c r="K32" s="58">
        <v>1.02</v>
      </c>
      <c r="L32" s="58">
        <v>1.02</v>
      </c>
      <c r="M32" s="58">
        <v>1.02</v>
      </c>
      <c r="N32" s="63">
        <v>1.02</v>
      </c>
      <c r="O32" s="63">
        <v>1.02</v>
      </c>
      <c r="P32" s="63">
        <v>1.02</v>
      </c>
      <c r="Q32" s="63">
        <v>1.02</v>
      </c>
    </row>
    <row r="33" spans="2:17" x14ac:dyDescent="0.2">
      <c r="B33" s="59" t="s">
        <v>123</v>
      </c>
      <c r="C33" s="58"/>
      <c r="D33" s="58"/>
      <c r="E33" s="58"/>
      <c r="F33" s="58"/>
      <c r="G33" s="58"/>
      <c r="H33" s="58">
        <v>1.02</v>
      </c>
      <c r="I33" s="58">
        <v>1.02</v>
      </c>
      <c r="J33" s="58">
        <v>1.02</v>
      </c>
      <c r="K33" s="58">
        <v>1.02</v>
      </c>
      <c r="L33" s="58">
        <v>1.02</v>
      </c>
      <c r="M33" s="58">
        <v>1.02</v>
      </c>
      <c r="N33" s="63">
        <v>1.02</v>
      </c>
      <c r="O33" s="63">
        <v>1.02</v>
      </c>
      <c r="P33" s="63">
        <v>1.02</v>
      </c>
      <c r="Q33" s="63">
        <v>1.02</v>
      </c>
    </row>
    <row r="34" spans="2:17" x14ac:dyDescent="0.2">
      <c r="B34" s="60"/>
      <c r="C34" s="60"/>
      <c r="D34" s="60"/>
      <c r="E34" s="60"/>
      <c r="F34" s="60"/>
      <c r="G34" s="60"/>
      <c r="H34" s="64"/>
      <c r="I34" s="64"/>
      <c r="J34" s="64"/>
      <c r="K34" s="64"/>
      <c r="L34" s="64"/>
      <c r="M34" s="64"/>
      <c r="N34" s="64"/>
      <c r="O34" s="64"/>
      <c r="P34" s="64"/>
      <c r="Q34" s="64"/>
    </row>
    <row r="35" spans="2:17" x14ac:dyDescent="0.2">
      <c r="B35" s="57" t="s">
        <v>127</v>
      </c>
      <c r="C35" s="60"/>
      <c r="D35" s="60"/>
      <c r="E35" s="60"/>
      <c r="F35" s="60"/>
      <c r="G35" s="60"/>
      <c r="H35" s="65"/>
      <c r="I35" s="65"/>
      <c r="J35" s="65"/>
      <c r="K35" s="65"/>
      <c r="L35" s="65"/>
      <c r="M35" s="65"/>
      <c r="N35" s="65"/>
      <c r="O35" s="65"/>
      <c r="P35" s="65"/>
      <c r="Q35" s="65"/>
    </row>
    <row r="36" spans="2:17" x14ac:dyDescent="0.2">
      <c r="B36" s="55" t="s">
        <v>116</v>
      </c>
      <c r="C36" s="58"/>
      <c r="D36" s="58"/>
      <c r="E36" s="58"/>
      <c r="F36" s="58"/>
      <c r="G36" s="58"/>
      <c r="H36" s="58">
        <v>1</v>
      </c>
      <c r="I36" s="58">
        <v>1</v>
      </c>
      <c r="J36" s="58">
        <v>1</v>
      </c>
      <c r="K36" s="58">
        <v>1</v>
      </c>
      <c r="L36" s="58">
        <v>1</v>
      </c>
      <c r="M36" s="58">
        <v>1</v>
      </c>
      <c r="N36" s="58">
        <v>1</v>
      </c>
      <c r="O36" s="58">
        <v>1</v>
      </c>
      <c r="P36" s="58">
        <v>1</v>
      </c>
      <c r="Q36" s="58">
        <v>1</v>
      </c>
    </row>
    <row r="37" spans="2:17" x14ac:dyDescent="0.2">
      <c r="B37" s="55" t="s">
        <v>117</v>
      </c>
      <c r="C37" s="58"/>
      <c r="D37" s="58"/>
      <c r="E37" s="58"/>
      <c r="F37" s="58"/>
      <c r="G37" s="58"/>
      <c r="H37" s="58">
        <v>1</v>
      </c>
      <c r="I37" s="58">
        <v>1</v>
      </c>
      <c r="J37" s="58">
        <v>1</v>
      </c>
      <c r="K37" s="58">
        <v>1</v>
      </c>
      <c r="L37" s="58">
        <v>1</v>
      </c>
      <c r="M37" s="58">
        <v>1</v>
      </c>
      <c r="N37" s="58">
        <v>1</v>
      </c>
      <c r="O37" s="58">
        <v>1</v>
      </c>
      <c r="P37" s="58">
        <v>1</v>
      </c>
      <c r="Q37" s="58">
        <v>1</v>
      </c>
    </row>
    <row r="38" spans="2:17" x14ac:dyDescent="0.2">
      <c r="B38" s="55" t="s">
        <v>118</v>
      </c>
      <c r="C38" s="58"/>
      <c r="D38" s="58"/>
      <c r="E38" s="58"/>
      <c r="F38" s="58"/>
      <c r="G38" s="58"/>
      <c r="H38" s="58">
        <v>1</v>
      </c>
      <c r="I38" s="58">
        <v>1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  <c r="Q38" s="58">
        <v>1</v>
      </c>
    </row>
    <row r="39" spans="2:17" x14ac:dyDescent="0.2">
      <c r="B39" s="55" t="s">
        <v>119</v>
      </c>
      <c r="C39" s="58"/>
      <c r="D39" s="58"/>
      <c r="E39" s="58"/>
      <c r="F39" s="58"/>
      <c r="G39" s="58"/>
      <c r="H39" s="58">
        <v>1</v>
      </c>
      <c r="I39" s="58">
        <v>1</v>
      </c>
      <c r="J39" s="58">
        <v>1</v>
      </c>
      <c r="K39" s="58">
        <v>1</v>
      </c>
      <c r="L39" s="58">
        <v>1</v>
      </c>
      <c r="M39" s="58">
        <v>1</v>
      </c>
      <c r="N39" s="58">
        <v>1</v>
      </c>
      <c r="O39" s="58">
        <v>1</v>
      </c>
      <c r="P39" s="58">
        <v>1</v>
      </c>
      <c r="Q39" s="58">
        <v>1</v>
      </c>
    </row>
    <row r="40" spans="2:17" x14ac:dyDescent="0.2">
      <c r="B40" s="55" t="s">
        <v>120</v>
      </c>
      <c r="C40" s="58"/>
      <c r="D40" s="58"/>
      <c r="E40" s="58"/>
      <c r="F40" s="58"/>
      <c r="G40" s="58"/>
      <c r="H40" s="58">
        <v>1</v>
      </c>
      <c r="I40" s="58">
        <v>1</v>
      </c>
      <c r="J40" s="58">
        <v>1</v>
      </c>
      <c r="K40" s="58">
        <v>1</v>
      </c>
      <c r="L40" s="58">
        <v>1</v>
      </c>
      <c r="M40" s="58">
        <v>1</v>
      </c>
      <c r="N40" s="58">
        <v>1</v>
      </c>
      <c r="O40" s="58">
        <v>1</v>
      </c>
      <c r="P40" s="58">
        <v>1</v>
      </c>
      <c r="Q40" s="58">
        <v>1</v>
      </c>
    </row>
    <row r="41" spans="2:17" x14ac:dyDescent="0.2">
      <c r="B41" s="55" t="s">
        <v>121</v>
      </c>
      <c r="C41" s="58"/>
      <c r="D41" s="58"/>
      <c r="E41" s="58"/>
      <c r="F41" s="58"/>
      <c r="G41" s="58"/>
      <c r="H41" s="58">
        <v>1</v>
      </c>
      <c r="I41" s="58">
        <v>1</v>
      </c>
      <c r="J41" s="58">
        <v>1</v>
      </c>
      <c r="K41" s="58">
        <v>1</v>
      </c>
      <c r="L41" s="58">
        <v>1</v>
      </c>
      <c r="M41" s="58">
        <v>1</v>
      </c>
      <c r="N41" s="58">
        <v>1</v>
      </c>
      <c r="O41" s="58">
        <v>1</v>
      </c>
      <c r="P41" s="58">
        <v>1</v>
      </c>
      <c r="Q41" s="58">
        <v>1</v>
      </c>
    </row>
    <row r="42" spans="2:17" x14ac:dyDescent="0.2">
      <c r="B42" s="59" t="s">
        <v>122</v>
      </c>
      <c r="C42" s="58"/>
      <c r="D42" s="58"/>
      <c r="E42" s="58"/>
      <c r="F42" s="58"/>
      <c r="G42" s="58"/>
      <c r="H42" s="58">
        <v>1</v>
      </c>
      <c r="I42" s="58">
        <v>1</v>
      </c>
      <c r="J42" s="58">
        <v>1</v>
      </c>
      <c r="K42" s="58">
        <v>1</v>
      </c>
      <c r="L42" s="58">
        <v>1</v>
      </c>
      <c r="M42" s="58">
        <v>1</v>
      </c>
      <c r="N42" s="58">
        <v>1</v>
      </c>
      <c r="O42" s="58">
        <v>1</v>
      </c>
      <c r="P42" s="58">
        <v>1</v>
      </c>
      <c r="Q42" s="58">
        <v>1</v>
      </c>
    </row>
    <row r="43" spans="2:17" x14ac:dyDescent="0.2">
      <c r="B43" s="59" t="s">
        <v>123</v>
      </c>
      <c r="C43" s="58"/>
      <c r="D43" s="58"/>
      <c r="E43" s="58"/>
      <c r="F43" s="58"/>
      <c r="G43" s="58"/>
      <c r="H43" s="58">
        <v>1</v>
      </c>
      <c r="I43" s="58">
        <v>1</v>
      </c>
      <c r="J43" s="58">
        <v>1</v>
      </c>
      <c r="K43" s="58">
        <v>1</v>
      </c>
      <c r="L43" s="58">
        <v>1</v>
      </c>
      <c r="M43" s="58">
        <v>1</v>
      </c>
      <c r="N43" s="58">
        <v>1</v>
      </c>
      <c r="O43" s="58">
        <v>1</v>
      </c>
      <c r="P43" s="58">
        <v>1</v>
      </c>
      <c r="Q43" s="58">
        <v>1</v>
      </c>
    </row>
    <row r="44" spans="2:17" x14ac:dyDescent="0.2">
      <c r="B44" s="60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60"/>
      <c r="P44" s="60"/>
      <c r="Q44" s="60"/>
    </row>
    <row r="45" spans="2:17" x14ac:dyDescent="0.2">
      <c r="B45" s="57" t="s">
        <v>128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</row>
    <row r="46" spans="2:17" x14ac:dyDescent="0.2">
      <c r="B46" s="55" t="s">
        <v>116</v>
      </c>
      <c r="C46" s="58"/>
      <c r="D46" s="58"/>
      <c r="E46" s="58"/>
      <c r="F46" s="58"/>
      <c r="G46" s="58"/>
      <c r="H46" s="58">
        <v>0.98</v>
      </c>
      <c r="I46" s="58">
        <v>0.98</v>
      </c>
      <c r="J46" s="58">
        <v>0.98</v>
      </c>
      <c r="K46" s="58">
        <v>0.98</v>
      </c>
      <c r="L46" s="58">
        <v>0.98</v>
      </c>
      <c r="M46" s="58">
        <v>0.98</v>
      </c>
      <c r="N46" s="58">
        <v>0.98</v>
      </c>
      <c r="O46" s="58">
        <v>0.98</v>
      </c>
      <c r="P46" s="58">
        <v>0.98</v>
      </c>
      <c r="Q46" s="58">
        <v>0.98</v>
      </c>
    </row>
    <row r="47" spans="2:17" x14ac:dyDescent="0.2">
      <c r="B47" s="55" t="s">
        <v>117</v>
      </c>
      <c r="C47" s="58"/>
      <c r="D47" s="58"/>
      <c r="E47" s="58"/>
      <c r="F47" s="58"/>
      <c r="G47" s="58"/>
      <c r="H47" s="58">
        <v>0.98</v>
      </c>
      <c r="I47" s="58">
        <v>0.98</v>
      </c>
      <c r="J47" s="58">
        <v>0.98</v>
      </c>
      <c r="K47" s="58">
        <v>0.98</v>
      </c>
      <c r="L47" s="58">
        <v>0.98</v>
      </c>
      <c r="M47" s="58">
        <v>0.98</v>
      </c>
      <c r="N47" s="58">
        <v>0.98</v>
      </c>
      <c r="O47" s="58">
        <v>0.98</v>
      </c>
      <c r="P47" s="58">
        <v>0.98</v>
      </c>
      <c r="Q47" s="58">
        <v>0.98</v>
      </c>
    </row>
    <row r="48" spans="2:17" x14ac:dyDescent="0.2">
      <c r="B48" s="55" t="s">
        <v>118</v>
      </c>
      <c r="C48" s="58"/>
      <c r="D48" s="58"/>
      <c r="E48" s="58"/>
      <c r="F48" s="58"/>
      <c r="G48" s="58"/>
      <c r="H48" s="58">
        <v>0.98</v>
      </c>
      <c r="I48" s="58">
        <v>0.98</v>
      </c>
      <c r="J48" s="58">
        <v>0.98</v>
      </c>
      <c r="K48" s="58">
        <v>0.98</v>
      </c>
      <c r="L48" s="58">
        <v>0.98</v>
      </c>
      <c r="M48" s="58">
        <v>0.98</v>
      </c>
      <c r="N48" s="58">
        <v>0.98</v>
      </c>
      <c r="O48" s="58">
        <v>0.98</v>
      </c>
      <c r="P48" s="58">
        <v>0.98</v>
      </c>
      <c r="Q48" s="58">
        <v>0.98</v>
      </c>
    </row>
    <row r="49" spans="2:17" x14ac:dyDescent="0.2">
      <c r="B49" s="55" t="s">
        <v>119</v>
      </c>
      <c r="C49" s="58"/>
      <c r="D49" s="58"/>
      <c r="E49" s="58"/>
      <c r="F49" s="58"/>
      <c r="G49" s="58"/>
      <c r="H49" s="58">
        <v>0.98</v>
      </c>
      <c r="I49" s="58">
        <v>0.98</v>
      </c>
      <c r="J49" s="58">
        <v>0.98</v>
      </c>
      <c r="K49" s="58">
        <v>0.98</v>
      </c>
      <c r="L49" s="58">
        <v>0.98</v>
      </c>
      <c r="M49" s="58">
        <v>0.98</v>
      </c>
      <c r="N49" s="58">
        <v>0.98</v>
      </c>
      <c r="O49" s="58">
        <v>0.98</v>
      </c>
      <c r="P49" s="58">
        <v>0.98</v>
      </c>
      <c r="Q49" s="58">
        <v>0.98</v>
      </c>
    </row>
    <row r="50" spans="2:17" x14ac:dyDescent="0.2">
      <c r="B50" s="55" t="s">
        <v>120</v>
      </c>
      <c r="C50" s="58"/>
      <c r="D50" s="58"/>
      <c r="E50" s="58"/>
      <c r="F50" s="58"/>
      <c r="G50" s="58"/>
      <c r="H50" s="58">
        <v>0.98</v>
      </c>
      <c r="I50" s="58">
        <v>0.98</v>
      </c>
      <c r="J50" s="58">
        <v>0.98</v>
      </c>
      <c r="K50" s="58">
        <v>0.98</v>
      </c>
      <c r="L50" s="58">
        <v>0.98</v>
      </c>
      <c r="M50" s="58">
        <v>0.98</v>
      </c>
      <c r="N50" s="58">
        <v>0.98</v>
      </c>
      <c r="O50" s="58">
        <v>0.98</v>
      </c>
      <c r="P50" s="58">
        <v>0.98</v>
      </c>
      <c r="Q50" s="58">
        <v>0.98</v>
      </c>
    </row>
    <row r="51" spans="2:17" x14ac:dyDescent="0.2">
      <c r="B51" s="55" t="s">
        <v>121</v>
      </c>
      <c r="C51" s="58"/>
      <c r="D51" s="58"/>
      <c r="E51" s="58"/>
      <c r="F51" s="58"/>
      <c r="G51" s="58"/>
      <c r="H51" s="58">
        <v>0.98</v>
      </c>
      <c r="I51" s="58">
        <v>0.98</v>
      </c>
      <c r="J51" s="58">
        <v>0.98</v>
      </c>
      <c r="K51" s="58">
        <v>0.98</v>
      </c>
      <c r="L51" s="58">
        <v>0.98</v>
      </c>
      <c r="M51" s="58">
        <v>0.98</v>
      </c>
      <c r="N51" s="58">
        <v>0.98</v>
      </c>
      <c r="O51" s="58">
        <v>0.98</v>
      </c>
      <c r="P51" s="58">
        <v>0.98</v>
      </c>
      <c r="Q51" s="58">
        <v>0.98</v>
      </c>
    </row>
    <row r="52" spans="2:17" x14ac:dyDescent="0.2">
      <c r="B52" s="59" t="s">
        <v>122</v>
      </c>
      <c r="C52" s="58"/>
      <c r="D52" s="58"/>
      <c r="E52" s="58"/>
      <c r="F52" s="58"/>
      <c r="G52" s="58"/>
      <c r="H52" s="58">
        <v>0.98</v>
      </c>
      <c r="I52" s="58">
        <v>0.98</v>
      </c>
      <c r="J52" s="58">
        <v>0.98</v>
      </c>
      <c r="K52" s="58">
        <v>0.98</v>
      </c>
      <c r="L52" s="58">
        <v>0.98</v>
      </c>
      <c r="M52" s="58">
        <v>0.98</v>
      </c>
      <c r="N52" s="58">
        <v>0.98</v>
      </c>
      <c r="O52" s="58">
        <v>0.98</v>
      </c>
      <c r="P52" s="58">
        <v>0.98</v>
      </c>
      <c r="Q52" s="58">
        <v>0.98</v>
      </c>
    </row>
    <row r="53" spans="2:17" x14ac:dyDescent="0.2">
      <c r="B53" s="59" t="s">
        <v>123</v>
      </c>
      <c r="C53" s="58"/>
      <c r="D53" s="58"/>
      <c r="E53" s="58"/>
      <c r="F53" s="58"/>
      <c r="G53" s="58"/>
      <c r="H53" s="58">
        <v>0.98</v>
      </c>
      <c r="I53" s="58">
        <v>0.98</v>
      </c>
      <c r="J53" s="58">
        <v>0.98</v>
      </c>
      <c r="K53" s="58">
        <v>0.98</v>
      </c>
      <c r="L53" s="58">
        <v>0.98</v>
      </c>
      <c r="M53" s="58">
        <v>0.98</v>
      </c>
      <c r="N53" s="58">
        <v>0.98</v>
      </c>
      <c r="O53" s="58">
        <v>0.98</v>
      </c>
      <c r="P53" s="58">
        <v>0.98</v>
      </c>
      <c r="Q53" s="58">
        <v>0.98</v>
      </c>
    </row>
    <row r="54" spans="2:17" x14ac:dyDescent="0.2"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</row>
    <row r="56" spans="2:17" x14ac:dyDescent="0.2">
      <c r="B56" s="45"/>
      <c r="C56" s="45"/>
      <c r="D56" s="45"/>
      <c r="E56" s="45"/>
      <c r="F56" s="45"/>
      <c r="G56" s="45"/>
      <c r="H56" s="66"/>
      <c r="I56" s="46" t="s">
        <v>129</v>
      </c>
      <c r="J56" s="45"/>
      <c r="K56" s="45"/>
      <c r="L56" s="45"/>
      <c r="M56" s="45"/>
      <c r="N56" s="45"/>
      <c r="O56" s="45"/>
      <c r="P56" s="45"/>
      <c r="Q56" s="45"/>
    </row>
    <row r="57" spans="2:17" x14ac:dyDescent="0.2">
      <c r="B57" s="47" t="s">
        <v>105</v>
      </c>
      <c r="C57" s="48" t="s">
        <v>16</v>
      </c>
      <c r="D57" s="48" t="s">
        <v>17</v>
      </c>
      <c r="E57" s="48" t="s">
        <v>18</v>
      </c>
      <c r="F57" s="48" t="s">
        <v>19</v>
      </c>
      <c r="G57" s="48" t="s">
        <v>20</v>
      </c>
      <c r="H57" s="49" t="s">
        <v>106</v>
      </c>
      <c r="I57" s="49" t="s">
        <v>107</v>
      </c>
      <c r="J57" s="49" t="s">
        <v>108</v>
      </c>
      <c r="K57" s="49" t="s">
        <v>109</v>
      </c>
      <c r="L57" s="49" t="s">
        <v>110</v>
      </c>
      <c r="M57" s="49" t="s">
        <v>111</v>
      </c>
      <c r="N57" s="49" t="s">
        <v>112</v>
      </c>
      <c r="O57" s="49" t="s">
        <v>113</v>
      </c>
      <c r="P57" s="49" t="s">
        <v>114</v>
      </c>
      <c r="Q57" s="49" t="s">
        <v>115</v>
      </c>
    </row>
    <row r="58" spans="2:17" x14ac:dyDescent="0.2">
      <c r="B58" s="10" t="s">
        <v>116</v>
      </c>
      <c r="C58" s="67">
        <f>C5/C$13</f>
        <v>0.28391423166978846</v>
      </c>
      <c r="D58" s="67">
        <f t="shared" ref="D58:Q58" si="9">D5/D$13</f>
        <v>0.29254258011395279</v>
      </c>
      <c r="E58" s="67">
        <f t="shared" si="9"/>
        <v>0.31127263041167474</v>
      </c>
      <c r="F58" s="67">
        <f t="shared" si="9"/>
        <v>0.30156473313596632</v>
      </c>
      <c r="G58" s="67">
        <f t="shared" si="9"/>
        <v>0.31564171457755047</v>
      </c>
      <c r="H58" s="67">
        <f t="shared" si="9"/>
        <v>0.32367449333053999</v>
      </c>
      <c r="I58" s="67">
        <f t="shared" si="9"/>
        <v>0.34032805396507543</v>
      </c>
      <c r="J58" s="67">
        <f t="shared" si="9"/>
        <v>0.35483903680218032</v>
      </c>
      <c r="K58" s="67">
        <f t="shared" si="9"/>
        <v>0.36568381295411456</v>
      </c>
      <c r="L58" s="67">
        <f t="shared" si="9"/>
        <v>0.37861232441422243</v>
      </c>
      <c r="M58" s="67">
        <f t="shared" si="9"/>
        <v>0.39301486786821788</v>
      </c>
      <c r="N58" s="67">
        <f t="shared" si="9"/>
        <v>0.40514745357114157</v>
      </c>
      <c r="O58" s="67">
        <f t="shared" si="9"/>
        <v>0.41770211971481058</v>
      </c>
      <c r="P58" s="67">
        <f t="shared" si="9"/>
        <v>0.43107282458119045</v>
      </c>
      <c r="Q58" s="67">
        <f t="shared" si="9"/>
        <v>0.44386024305158661</v>
      </c>
    </row>
    <row r="59" spans="2:17" x14ac:dyDescent="0.2">
      <c r="B59" s="10" t="s">
        <v>117</v>
      </c>
      <c r="C59" s="67">
        <f t="shared" ref="C59:Q65" si="10">C6/C$13</f>
        <v>0.32822385251194314</v>
      </c>
      <c r="D59" s="67">
        <f t="shared" si="10"/>
        <v>0.3078724722968062</v>
      </c>
      <c r="E59" s="67">
        <f t="shared" si="10"/>
        <v>0.31472649076211107</v>
      </c>
      <c r="F59" s="67">
        <f t="shared" si="10"/>
        <v>0.26765601970308173</v>
      </c>
      <c r="G59" s="67">
        <f t="shared" si="10"/>
        <v>0.26423057255179777</v>
      </c>
      <c r="H59" s="67">
        <f t="shared" si="10"/>
        <v>0.25572655223180435</v>
      </c>
      <c r="I59" s="67">
        <f t="shared" si="10"/>
        <v>0.2477424366693102</v>
      </c>
      <c r="J59" s="67">
        <f t="shared" si="10"/>
        <v>0.23862989054472347</v>
      </c>
      <c r="K59" s="67">
        <f t="shared" si="10"/>
        <v>0.23207370186560328</v>
      </c>
      <c r="L59" s="67">
        <f t="shared" si="10"/>
        <v>0.22313352776879933</v>
      </c>
      <c r="M59" s="67">
        <f t="shared" si="10"/>
        <v>0.21533702905853722</v>
      </c>
      <c r="N59" s="67">
        <f t="shared" si="10"/>
        <v>0.20736633147635644</v>
      </c>
      <c r="O59" s="67">
        <f t="shared" si="10"/>
        <v>0.19964101044339588</v>
      </c>
      <c r="P59" s="67">
        <f t="shared" si="10"/>
        <v>0.19141475230645971</v>
      </c>
      <c r="Q59" s="67">
        <f t="shared" si="10"/>
        <v>0.18372256316921576</v>
      </c>
    </row>
    <row r="60" spans="2:17" x14ac:dyDescent="0.2">
      <c r="B60" s="10" t="s">
        <v>118</v>
      </c>
      <c r="C60" s="67">
        <f t="shared" si="10"/>
        <v>0.25584442356583886</v>
      </c>
      <c r="D60" s="67">
        <f t="shared" si="10"/>
        <v>0.24780880952643869</v>
      </c>
      <c r="E60" s="67">
        <f t="shared" si="10"/>
        <v>0.21149173733040744</v>
      </c>
      <c r="F60" s="67">
        <f t="shared" si="10"/>
        <v>0.1817428885435477</v>
      </c>
      <c r="G60" s="67">
        <f t="shared" si="10"/>
        <v>0.13009171058678815</v>
      </c>
      <c r="H60" s="67">
        <f t="shared" si="10"/>
        <v>0.1438121146177983</v>
      </c>
      <c r="I60" s="67">
        <f t="shared" si="10"/>
        <v>0.11463059249200859</v>
      </c>
      <c r="J60" s="67">
        <f t="shared" si="10"/>
        <v>9.9407764664650428E-2</v>
      </c>
      <c r="K60" s="67">
        <f t="shared" si="10"/>
        <v>8.3502048792446021E-2</v>
      </c>
      <c r="L60" s="67">
        <f t="shared" si="10"/>
        <v>7.399076587428631E-2</v>
      </c>
      <c r="M60" s="67">
        <f t="shared" si="10"/>
        <v>5.2385907433671219E-2</v>
      </c>
      <c r="N60" s="67">
        <f t="shared" si="10"/>
        <v>4.0124431120847182E-2</v>
      </c>
      <c r="O60" s="67">
        <f t="shared" si="10"/>
        <v>2.5310561670273908E-2</v>
      </c>
      <c r="P60" s="67">
        <f t="shared" si="10"/>
        <v>1.0242972479390095E-2</v>
      </c>
      <c r="Q60" s="67">
        <f t="shared" si="10"/>
        <v>-5.7721180390441816E-3</v>
      </c>
    </row>
    <row r="61" spans="2:17" x14ac:dyDescent="0.2">
      <c r="B61" s="10" t="s">
        <v>119</v>
      </c>
      <c r="C61" s="67">
        <f t="shared" si="10"/>
        <v>0</v>
      </c>
      <c r="D61" s="67">
        <f t="shared" si="10"/>
        <v>3.2426458450659758E-2</v>
      </c>
      <c r="E61" s="67">
        <f t="shared" si="10"/>
        <v>5.0084912442391487E-2</v>
      </c>
      <c r="F61" s="67">
        <f t="shared" si="10"/>
        <v>5.4377460368774111E-2</v>
      </c>
      <c r="G61" s="67">
        <f t="shared" si="10"/>
        <v>6.9897631078283118E-2</v>
      </c>
      <c r="H61" s="67">
        <f t="shared" si="10"/>
        <v>6.5893002594591452E-2</v>
      </c>
      <c r="I61" s="67">
        <f t="shared" si="10"/>
        <v>7.7453970197237668E-2</v>
      </c>
      <c r="J61" s="67">
        <f t="shared" si="10"/>
        <v>8.2831439199679197E-2</v>
      </c>
      <c r="K61" s="67">
        <f t="shared" si="10"/>
        <v>8.7277371224202413E-2</v>
      </c>
      <c r="L61" s="67">
        <f t="shared" si="10"/>
        <v>9.1269580393768521E-2</v>
      </c>
      <c r="M61" s="67">
        <f t="shared" si="10"/>
        <v>9.9013571033065392E-2</v>
      </c>
      <c r="N61" s="67">
        <f t="shared" si="10"/>
        <v>0.10292041662703992</v>
      </c>
      <c r="O61" s="67">
        <f t="shared" si="10"/>
        <v>0.10811228752010774</v>
      </c>
      <c r="P61" s="67">
        <f t="shared" si="10"/>
        <v>0.11359982529809889</v>
      </c>
      <c r="Q61" s="67">
        <f t="shared" si="10"/>
        <v>0.1190491956005387</v>
      </c>
    </row>
    <row r="62" spans="2:17" x14ac:dyDescent="0.2">
      <c r="B62" s="10" t="s">
        <v>120</v>
      </c>
      <c r="C62" s="67">
        <f t="shared" si="10"/>
        <v>0</v>
      </c>
      <c r="D62" s="67">
        <f t="shared" si="10"/>
        <v>0</v>
      </c>
      <c r="E62" s="67">
        <f t="shared" si="10"/>
        <v>0</v>
      </c>
      <c r="F62" s="67">
        <f t="shared" si="10"/>
        <v>3.8466986047559444E-2</v>
      </c>
      <c r="G62" s="67">
        <f t="shared" si="10"/>
        <v>3.9217423250859217E-2</v>
      </c>
      <c r="H62" s="67">
        <f t="shared" si="10"/>
        <v>3.9066426266228048E-2</v>
      </c>
      <c r="I62" s="67">
        <f t="shared" si="10"/>
        <v>3.9497741640386899E-2</v>
      </c>
      <c r="J62" s="67">
        <f t="shared" si="10"/>
        <v>3.9796277823216195E-2</v>
      </c>
      <c r="K62" s="67">
        <f t="shared" si="10"/>
        <v>3.9902978275146127E-2</v>
      </c>
      <c r="L62" s="67">
        <f t="shared" si="10"/>
        <v>4.0015160146069463E-2</v>
      </c>
      <c r="M62" s="67">
        <f t="shared" si="10"/>
        <v>4.0337154043639932E-2</v>
      </c>
      <c r="N62" s="67">
        <f t="shared" si="10"/>
        <v>4.0475394368483818E-2</v>
      </c>
      <c r="O62" s="67">
        <f t="shared" si="10"/>
        <v>4.064023969789704E-2</v>
      </c>
      <c r="P62" s="67">
        <f t="shared" si="10"/>
        <v>4.0850239833008645E-2</v>
      </c>
      <c r="Q62" s="67">
        <f t="shared" si="10"/>
        <v>4.1052722576105517E-2</v>
      </c>
    </row>
    <row r="63" spans="2:17" x14ac:dyDescent="0.2">
      <c r="B63" s="10" t="s">
        <v>121</v>
      </c>
      <c r="C63" s="67">
        <f t="shared" si="10"/>
        <v>0.10951956298264215</v>
      </c>
      <c r="D63" s="67">
        <f t="shared" si="10"/>
        <v>0.10862213330660485</v>
      </c>
      <c r="E63" s="67">
        <f t="shared" si="10"/>
        <v>0.10393488124964183</v>
      </c>
      <c r="F63" s="67">
        <f t="shared" si="10"/>
        <v>0.12445966599542083</v>
      </c>
      <c r="G63" s="67">
        <f t="shared" si="10"/>
        <v>0.1301253255862117</v>
      </c>
      <c r="H63" s="67">
        <f t="shared" si="10"/>
        <v>0.12878788454905002</v>
      </c>
      <c r="I63" s="67">
        <f t="shared" si="10"/>
        <v>0.13263552345122337</v>
      </c>
      <c r="J63" s="67">
        <f t="shared" si="10"/>
        <v>0.13471102254822753</v>
      </c>
      <c r="K63" s="67">
        <f t="shared" si="10"/>
        <v>0.13601797675694735</v>
      </c>
      <c r="L63" s="67">
        <f t="shared" si="10"/>
        <v>0.1372393369016533</v>
      </c>
      <c r="M63" s="67">
        <f t="shared" si="10"/>
        <v>0.13991320171114319</v>
      </c>
      <c r="N63" s="67">
        <f t="shared" si="10"/>
        <v>0.14119151167720348</v>
      </c>
      <c r="O63" s="67">
        <f t="shared" si="10"/>
        <v>0.14283521381280129</v>
      </c>
      <c r="P63" s="67">
        <f t="shared" si="10"/>
        <v>0.14467692482302538</v>
      </c>
      <c r="Q63" s="67">
        <f t="shared" si="10"/>
        <v>0.14648814664150794</v>
      </c>
    </row>
    <row r="64" spans="2:17" x14ac:dyDescent="0.2">
      <c r="B64" s="51" t="s">
        <v>122</v>
      </c>
      <c r="C64" s="67">
        <f t="shared" si="10"/>
        <v>5.6208704063753098E-2</v>
      </c>
      <c r="D64" s="67">
        <f t="shared" si="10"/>
        <v>4.3093235683769215E-2</v>
      </c>
      <c r="E64" s="67">
        <f t="shared" si="10"/>
        <v>4.3512951109372248E-2</v>
      </c>
      <c r="F64" s="67">
        <f t="shared" si="10"/>
        <v>5.9304159189829793E-2</v>
      </c>
      <c r="G64" s="67">
        <f t="shared" si="10"/>
        <v>7.1664081365644089E-2</v>
      </c>
      <c r="H64" s="67">
        <f t="shared" si="10"/>
        <v>6.7563284931403039E-2</v>
      </c>
      <c r="I64" s="67">
        <f t="shared" si="10"/>
        <v>7.0541950591561278E-2</v>
      </c>
      <c r="J64" s="67">
        <f t="shared" si="10"/>
        <v>7.21119943515902E-2</v>
      </c>
      <c r="K64" s="67">
        <f t="shared" si="10"/>
        <v>7.559316187446917E-2</v>
      </c>
      <c r="L64" s="67">
        <f t="shared" si="10"/>
        <v>7.5496363339692799E-2</v>
      </c>
      <c r="M64" s="67">
        <f t="shared" si="10"/>
        <v>7.8332558029539798E-2</v>
      </c>
      <c r="N64" s="67">
        <f t="shared" si="10"/>
        <v>8.0027030454435308E-2</v>
      </c>
      <c r="O64" s="67">
        <f t="shared" si="10"/>
        <v>8.1810223273717508E-2</v>
      </c>
      <c r="P64" s="67">
        <f t="shared" si="10"/>
        <v>8.3324754318741909E-2</v>
      </c>
      <c r="Q64" s="67">
        <f t="shared" si="10"/>
        <v>8.5512716814322848E-2</v>
      </c>
    </row>
    <row r="65" spans="2:17" x14ac:dyDescent="0.2">
      <c r="B65" s="15" t="s">
        <v>123</v>
      </c>
      <c r="C65" s="68">
        <f t="shared" si="10"/>
        <v>-3.371077479396567E-2</v>
      </c>
      <c r="D65" s="68">
        <f t="shared" si="10"/>
        <v>-3.2365689378231519E-2</v>
      </c>
      <c r="E65" s="68">
        <f t="shared" si="10"/>
        <v>-3.5023603305598838E-2</v>
      </c>
      <c r="F65" s="68">
        <f t="shared" si="10"/>
        <v>-2.7571912984179953E-2</v>
      </c>
      <c r="G65" s="68">
        <f t="shared" si="10"/>
        <v>-2.0868458997134479E-2</v>
      </c>
      <c r="H65" s="68">
        <f t="shared" si="10"/>
        <v>-2.4523758521415251E-2</v>
      </c>
      <c r="I65" s="68">
        <f t="shared" si="10"/>
        <v>-2.2830269006803315E-2</v>
      </c>
      <c r="J65" s="68">
        <f t="shared" si="10"/>
        <v>-2.2327425934267339E-2</v>
      </c>
      <c r="K65" s="68">
        <f t="shared" si="10"/>
        <v>-2.0051051742928996E-2</v>
      </c>
      <c r="L65" s="68">
        <f t="shared" si="10"/>
        <v>-1.975705883849236E-2</v>
      </c>
      <c r="M65" s="68">
        <f t="shared" si="10"/>
        <v>-1.8334289177814548E-2</v>
      </c>
      <c r="N65" s="68">
        <f t="shared" si="10"/>
        <v>-1.72525692955076E-2</v>
      </c>
      <c r="O65" s="68">
        <f t="shared" si="10"/>
        <v>-1.6051656133004039E-2</v>
      </c>
      <c r="P65" s="68">
        <f t="shared" si="10"/>
        <v>-1.5182293639914942E-2</v>
      </c>
      <c r="Q65" s="68">
        <f t="shared" si="10"/>
        <v>-1.3913469814233295E-2</v>
      </c>
    </row>
    <row r="66" spans="2:17" x14ac:dyDescent="0.2">
      <c r="B66" s="10" t="s">
        <v>130</v>
      </c>
      <c r="C66" s="69">
        <f>SUM(C58:C65)</f>
        <v>1</v>
      </c>
      <c r="D66" s="69">
        <f t="shared" ref="D66:Q66" si="11">SUM(D58:D65)</f>
        <v>0.99999999999999989</v>
      </c>
      <c r="E66" s="69">
        <f t="shared" si="11"/>
        <v>1</v>
      </c>
      <c r="F66" s="69">
        <f t="shared" si="11"/>
        <v>1</v>
      </c>
      <c r="G66" s="69">
        <f t="shared" si="11"/>
        <v>1.0000000000000002</v>
      </c>
      <c r="H66" s="69">
        <f t="shared" si="11"/>
        <v>0.99999999999999978</v>
      </c>
      <c r="I66" s="69">
        <f t="shared" si="11"/>
        <v>1</v>
      </c>
      <c r="J66" s="69">
        <f t="shared" si="11"/>
        <v>0.99999999999999989</v>
      </c>
      <c r="K66" s="69">
        <f t="shared" si="11"/>
        <v>0.99999999999999989</v>
      </c>
      <c r="L66" s="69">
        <f t="shared" si="11"/>
        <v>0.99999999999999978</v>
      </c>
      <c r="M66" s="69">
        <f t="shared" si="11"/>
        <v>1</v>
      </c>
      <c r="N66" s="69">
        <f t="shared" si="11"/>
        <v>1</v>
      </c>
      <c r="O66" s="69">
        <f t="shared" si="11"/>
        <v>0.99999999999999967</v>
      </c>
      <c r="P66" s="69">
        <f t="shared" si="11"/>
        <v>1.0000000000000002</v>
      </c>
      <c r="Q66" s="69">
        <f t="shared" si="11"/>
        <v>0.99999999999999989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"/>
  <sheetViews>
    <sheetView showGridLines="0" topLeftCell="A4" workbookViewId="0">
      <selection activeCell="B1" sqref="B1"/>
    </sheetView>
  </sheetViews>
  <sheetFormatPr baseColWidth="10" defaultRowHeight="16" x14ac:dyDescent="0.2"/>
  <cols>
    <col min="1" max="1" width="3.1640625" customWidth="1"/>
  </cols>
  <sheetData>
    <row r="1" spans="2:2" x14ac:dyDescent="0.2">
      <c r="B1" s="70" t="s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Cover</vt:lpstr>
      <vt:lpstr>Drivers</vt:lpstr>
      <vt:lpstr>Input--&gt;</vt:lpstr>
      <vt:lpstr>P&amp;L Input</vt:lpstr>
      <vt:lpstr>Balance Sheet Input</vt:lpstr>
      <vt:lpstr>Workings--&gt;</vt:lpstr>
      <vt:lpstr>Income Statement Items--&gt;</vt:lpstr>
      <vt:lpstr>Divisional Sales Revenue</vt:lpstr>
      <vt:lpstr>Sales Revenue Development</vt:lpstr>
      <vt:lpstr>Sales Comparables</vt:lpstr>
      <vt:lpstr>COGS</vt:lpstr>
      <vt:lpstr>GP%</vt:lpstr>
      <vt:lpstr>GP</vt:lpstr>
      <vt:lpstr>Operating Expenses--&gt;</vt:lpstr>
      <vt:lpstr>Opex Comparables</vt:lpstr>
      <vt:lpstr>Expenses by Nature</vt:lpstr>
      <vt:lpstr>Gen Opex</vt:lpstr>
      <vt:lpstr>Balance Sheet--&gt;</vt:lpstr>
      <vt:lpstr>PP&amp;E--&gt;</vt:lpstr>
      <vt:lpstr>PP&amp;E</vt:lpstr>
      <vt:lpstr>PP&amp;E Comparables</vt:lpstr>
      <vt:lpstr>Working Capital--&gt;</vt:lpstr>
      <vt:lpstr>WC Comparables</vt:lpstr>
      <vt:lpstr>Working Capital</vt:lpstr>
      <vt:lpstr>Working Capital Development</vt:lpstr>
      <vt:lpstr>Financing--&gt;</vt:lpstr>
      <vt:lpstr>Financing</vt:lpstr>
      <vt:lpstr>WACC</vt:lpstr>
      <vt:lpstr>Output--&gt;</vt:lpstr>
      <vt:lpstr>P&amp;L</vt:lpstr>
      <vt:lpstr>BSO</vt:lpstr>
      <vt:lpstr>Cash Flow</vt:lpstr>
      <vt:lpstr>DCF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2019-06-26T16:41:34Z</dcterms:created>
  <dcterms:modified xsi:type="dcterms:W3CDTF">2019-07-28T14:03:00Z</dcterms:modified>
</cp:coreProperties>
</file>