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Nyles/Desktop/"/>
    </mc:Choice>
  </mc:AlternateContent>
  <bookViews>
    <workbookView xWindow="0" yWindow="460" windowWidth="25600" windowHeight="12540" tabRatio="500" activeTab="1"/>
  </bookViews>
  <sheets>
    <sheet name="Cover" sheetId="3" r:id="rId1"/>
    <sheet name="Netflix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11" i="1" l="1"/>
  <c r="C17" i="1"/>
  <c r="H10" i="1"/>
  <c r="G10" i="1"/>
  <c r="F10" i="1"/>
  <c r="E10" i="1"/>
  <c r="D10" i="1"/>
  <c r="C22" i="1"/>
  <c r="C10" i="1"/>
  <c r="M8" i="1"/>
  <c r="M9" i="1"/>
  <c r="D5" i="1"/>
  <c r="E5" i="1"/>
  <c r="F5" i="1"/>
  <c r="G5" i="1"/>
  <c r="H5" i="1"/>
  <c r="H9" i="1"/>
  <c r="G9" i="1"/>
  <c r="F9" i="1"/>
  <c r="E9" i="1"/>
  <c r="D9" i="1"/>
  <c r="C20" i="1"/>
  <c r="C46" i="1"/>
  <c r="D33" i="1"/>
  <c r="E33" i="1"/>
  <c r="F33" i="1"/>
  <c r="G33" i="1"/>
  <c r="H33" i="1"/>
  <c r="C43" i="1"/>
  <c r="D36" i="1"/>
  <c r="D34" i="1"/>
  <c r="D37" i="1"/>
  <c r="D12" i="1"/>
  <c r="D11" i="1"/>
  <c r="D13" i="1"/>
  <c r="D14" i="1"/>
  <c r="D15" i="1"/>
  <c r="D25" i="1"/>
  <c r="D26" i="1"/>
  <c r="D28" i="1"/>
  <c r="D27" i="1"/>
  <c r="D29" i="1"/>
  <c r="D40" i="1"/>
  <c r="E34" i="1"/>
  <c r="E36" i="1"/>
  <c r="E37" i="1"/>
  <c r="E12" i="1"/>
  <c r="E11" i="1"/>
  <c r="E13" i="1"/>
  <c r="E14" i="1"/>
  <c r="E15" i="1"/>
  <c r="E25" i="1"/>
  <c r="E26" i="1"/>
  <c r="E28" i="1"/>
  <c r="E27" i="1"/>
  <c r="E29" i="1"/>
  <c r="E40" i="1"/>
  <c r="F34" i="1"/>
  <c r="F36" i="1"/>
  <c r="F37" i="1"/>
  <c r="F12" i="1"/>
  <c r="F11" i="1"/>
  <c r="F13" i="1"/>
  <c r="F14" i="1"/>
  <c r="F15" i="1"/>
  <c r="F25" i="1"/>
  <c r="F26" i="1"/>
  <c r="F28" i="1"/>
  <c r="F27" i="1"/>
  <c r="F29" i="1"/>
  <c r="F40" i="1"/>
  <c r="G34" i="1"/>
  <c r="G36" i="1"/>
  <c r="G37" i="1"/>
  <c r="G12" i="1"/>
  <c r="G11" i="1"/>
  <c r="G13" i="1"/>
  <c r="G14" i="1"/>
  <c r="G15" i="1"/>
  <c r="G25" i="1"/>
  <c r="G26" i="1"/>
  <c r="G28" i="1"/>
  <c r="G27" i="1"/>
  <c r="G29" i="1"/>
  <c r="G40" i="1"/>
  <c r="H34" i="1"/>
  <c r="H36" i="1"/>
  <c r="H37" i="1"/>
  <c r="H12" i="1"/>
  <c r="H11" i="1"/>
  <c r="H13" i="1"/>
  <c r="H14" i="1"/>
  <c r="H15" i="1"/>
  <c r="H25" i="1"/>
  <c r="H26" i="1"/>
  <c r="H28" i="1"/>
  <c r="H27" i="1"/>
  <c r="H29" i="1"/>
  <c r="H40" i="1"/>
  <c r="C44" i="1"/>
  <c r="C47" i="1"/>
  <c r="C48" i="1"/>
  <c r="H49" i="1"/>
  <c r="M27" i="1"/>
  <c r="M28" i="1"/>
  <c r="M29" i="1"/>
  <c r="M24" i="1"/>
  <c r="M25" i="1"/>
  <c r="M31" i="1"/>
  <c r="D49" i="1"/>
  <c r="C50" i="1"/>
  <c r="D6" i="1"/>
  <c r="D7" i="1"/>
  <c r="D8" i="1"/>
  <c r="E6" i="1"/>
  <c r="E7" i="1"/>
  <c r="E8" i="1"/>
  <c r="F6" i="1"/>
  <c r="F7" i="1"/>
  <c r="F8" i="1"/>
  <c r="G8" i="1"/>
  <c r="G6" i="1"/>
  <c r="G7" i="1"/>
  <c r="H8" i="1"/>
  <c r="H6" i="1"/>
  <c r="H7" i="1"/>
  <c r="C53" i="1"/>
  <c r="K47" i="1"/>
  <c r="C21" i="1"/>
  <c r="C30" i="1"/>
  <c r="D30" i="1"/>
  <c r="C27" i="1"/>
  <c r="C29" i="1"/>
  <c r="C7" i="1"/>
  <c r="C19" i="1"/>
  <c r="C18" i="1"/>
  <c r="C15" i="1"/>
</calcChain>
</file>

<file path=xl/sharedStrings.xml><?xml version="1.0" encoding="utf-8"?>
<sst xmlns="http://schemas.openxmlformats.org/spreadsheetml/2006/main" count="79" uniqueCount="71">
  <si>
    <t>LBO Model- Netflix</t>
  </si>
  <si>
    <t>Income Statement Calculation (in 1000's usd)</t>
  </si>
  <si>
    <t>Revenues</t>
  </si>
  <si>
    <t>Cogs</t>
  </si>
  <si>
    <t>Gross Profit</t>
  </si>
  <si>
    <t>EBITDA</t>
  </si>
  <si>
    <t>D&amp;A</t>
  </si>
  <si>
    <t>EBIT</t>
  </si>
  <si>
    <t>Interest expenses</t>
  </si>
  <si>
    <t>EBT</t>
  </si>
  <si>
    <t>Taxes</t>
  </si>
  <si>
    <t>Net Income</t>
  </si>
  <si>
    <t>Operating expenses</t>
  </si>
  <si>
    <t>KPI's</t>
  </si>
  <si>
    <t>Revenue growth %</t>
  </si>
  <si>
    <t>Cogs %</t>
  </si>
  <si>
    <t>EBITDA %</t>
  </si>
  <si>
    <t>Add-back D&amp;A</t>
  </si>
  <si>
    <t>Change in Working Capital</t>
  </si>
  <si>
    <t>CAPEX</t>
  </si>
  <si>
    <t>Cash available for reimbursement</t>
  </si>
  <si>
    <t>Term A Outstanding</t>
  </si>
  <si>
    <t>Term B Outstanding</t>
  </si>
  <si>
    <t>Interest Rate Term A</t>
  </si>
  <si>
    <t>Interest Rate Term B</t>
  </si>
  <si>
    <t>Term A payment</t>
  </si>
  <si>
    <t>Term B payment</t>
  </si>
  <si>
    <t>Term A</t>
  </si>
  <si>
    <t>Term B</t>
  </si>
  <si>
    <t>Implied Enterprise Value at exit</t>
  </si>
  <si>
    <t>Net Debt at exit</t>
  </si>
  <si>
    <t>Implied Value at exit</t>
  </si>
  <si>
    <t>Investor Cash Flows</t>
  </si>
  <si>
    <t>IRR Equity</t>
  </si>
  <si>
    <t>Sensitivity Analysis:</t>
  </si>
  <si>
    <t>Cash-on-cash ratio</t>
  </si>
  <si>
    <t>Share price</t>
  </si>
  <si>
    <t xml:space="preserve">Shares outstanding </t>
  </si>
  <si>
    <t>Market Cap</t>
  </si>
  <si>
    <t>Existing net debt</t>
  </si>
  <si>
    <t>Enterprise Value</t>
  </si>
  <si>
    <t>Current EBITDA</t>
  </si>
  <si>
    <t>Tax rate</t>
  </si>
  <si>
    <t>Debt Facilities</t>
  </si>
  <si>
    <t>Financial Sponsors</t>
  </si>
  <si>
    <t>Acquisition premium</t>
  </si>
  <si>
    <t>Equity Value with premium</t>
  </si>
  <si>
    <t>Enterprise Value at acquisition:</t>
  </si>
  <si>
    <t>Maximum amount of debt:</t>
  </si>
  <si>
    <t>Total Debt</t>
  </si>
  <si>
    <t>Equity needed</t>
  </si>
  <si>
    <t>Lenders Covenants</t>
  </si>
  <si>
    <t>Disney LBO Model</t>
  </si>
  <si>
    <t>EBITDA multiples</t>
  </si>
  <si>
    <t>Interest Rate</t>
  </si>
  <si>
    <t>No dividends distributed before 2023</t>
  </si>
  <si>
    <t>Minimum term A payment of 500m per year</t>
  </si>
  <si>
    <t>Forecast Period (5 year holding)</t>
  </si>
  <si>
    <t xml:space="preserve">Opex% (EBT in this case. Netflix Statements) </t>
  </si>
  <si>
    <t>Real Ope% (not used in income statement calculation)</t>
  </si>
  <si>
    <t>Debt Structure in (1000's)</t>
  </si>
  <si>
    <t>Cash Flow Calculation ( in 1000's)</t>
  </si>
  <si>
    <t>EV / EBITDA multiple (listed multiple on the side)</t>
  </si>
  <si>
    <t xml:space="preserve"> </t>
  </si>
  <si>
    <t>Proceeds at exit of investment/ initial investment</t>
  </si>
  <si>
    <t>Revenue Growth Rate</t>
  </si>
  <si>
    <t>EBIDTA Multiple</t>
  </si>
  <si>
    <t>"Is Netflix worth it?"</t>
  </si>
  <si>
    <t>Company Data (in usd)</t>
  </si>
  <si>
    <t>Outstanding at the end of 2023 (in 1000's usd)</t>
  </si>
  <si>
    <t>D&amp;A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</si>
</sst>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#,##0;[Red]#,##0"/>
    <numFmt numFmtId="165" formatCode="0.0%"/>
    <numFmt numFmtId="166" formatCode="#,##0.0;[Red]#,##0.0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sz val="9"/>
      <color theme="1"/>
      <name val="Arial"/>
    </font>
    <font>
      <b/>
      <sz val="9"/>
      <color theme="1"/>
      <name val="Arial"/>
    </font>
    <font>
      <sz val="9"/>
      <color theme="0"/>
      <name val="Arial"/>
    </font>
    <font>
      <b/>
      <sz val="9"/>
      <color theme="0"/>
      <name val="Arial"/>
    </font>
    <font>
      <b/>
      <i/>
      <sz val="9"/>
      <color theme="1"/>
      <name val="Arial"/>
      <family val="2"/>
      <charset val="204"/>
    </font>
    <font>
      <i/>
      <sz val="9"/>
      <color theme="1"/>
      <name val="Arial"/>
      <family val="2"/>
      <charset val="204"/>
    </font>
    <font>
      <b/>
      <sz val="40"/>
      <color theme="3"/>
      <name val="Arial"/>
    </font>
    <font>
      <b/>
      <sz val="12"/>
      <color rgb="FF00206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2" xfId="0" applyFont="1" applyBorder="1"/>
    <xf numFmtId="0" fontId="3" fillId="0" borderId="1" xfId="0" applyFont="1" applyBorder="1"/>
    <xf numFmtId="0" fontId="4" fillId="2" borderId="0" xfId="0" applyFont="1" applyFill="1"/>
    <xf numFmtId="0" fontId="3" fillId="2" borderId="0" xfId="0" applyFont="1" applyFill="1"/>
    <xf numFmtId="0" fontId="6" fillId="3" borderId="0" xfId="0" applyFont="1" applyFill="1"/>
    <xf numFmtId="0" fontId="3" fillId="4" borderId="0" xfId="0" applyFont="1" applyFill="1"/>
    <xf numFmtId="9" fontId="3" fillId="4" borderId="0" xfId="2" applyFont="1" applyFill="1"/>
    <xf numFmtId="9" fontId="3" fillId="4" borderId="0" xfId="0" applyNumberFormat="1" applyFont="1" applyFill="1"/>
    <xf numFmtId="0" fontId="3" fillId="4" borderId="0" xfId="0" applyFont="1" applyFill="1" applyBorder="1"/>
    <xf numFmtId="3" fontId="3" fillId="4" borderId="0" xfId="0" applyNumberFormat="1" applyFont="1" applyFill="1"/>
    <xf numFmtId="0" fontId="4" fillId="4" borderId="3" xfId="0" applyFont="1" applyFill="1" applyBorder="1"/>
    <xf numFmtId="0" fontId="4" fillId="4" borderId="0" xfId="0" applyFont="1" applyFill="1"/>
    <xf numFmtId="0" fontId="7" fillId="4" borderId="2" xfId="0" applyFont="1" applyFill="1" applyBorder="1"/>
    <xf numFmtId="0" fontId="3" fillId="4" borderId="2" xfId="0" applyFont="1" applyFill="1" applyBorder="1"/>
    <xf numFmtId="0" fontId="9" fillId="0" borderId="0" xfId="0" applyFont="1"/>
    <xf numFmtId="164" fontId="3" fillId="4" borderId="0" xfId="1" applyNumberFormat="1" applyFont="1" applyFill="1" applyBorder="1" applyAlignment="1">
      <alignment horizontal="right"/>
    </xf>
    <xf numFmtId="164" fontId="3" fillId="4" borderId="0" xfId="0" applyNumberFormat="1" applyFont="1" applyFill="1" applyAlignment="1">
      <alignment horizontal="right"/>
    </xf>
    <xf numFmtId="164" fontId="3" fillId="4" borderId="0" xfId="1" applyNumberFormat="1" applyFont="1" applyFill="1" applyAlignment="1">
      <alignment horizontal="right"/>
    </xf>
    <xf numFmtId="164" fontId="3" fillId="4" borderId="0" xfId="0" applyNumberFormat="1" applyFont="1" applyFill="1"/>
    <xf numFmtId="164" fontId="3" fillId="4" borderId="2" xfId="0" applyNumberFormat="1" applyFont="1" applyFill="1" applyBorder="1"/>
    <xf numFmtId="164" fontId="8" fillId="4" borderId="0" xfId="0" applyNumberFormat="1" applyFont="1" applyFill="1" applyBorder="1" applyAlignment="1">
      <alignment horizontal="right"/>
    </xf>
    <xf numFmtId="164" fontId="8" fillId="4" borderId="0" xfId="0" applyNumberFormat="1" applyFont="1" applyFill="1" applyAlignment="1">
      <alignment horizontal="right"/>
    </xf>
    <xf numFmtId="164" fontId="4" fillId="4" borderId="3" xfId="0" applyNumberFormat="1" applyFont="1" applyFill="1" applyBorder="1"/>
    <xf numFmtId="164" fontId="4" fillId="4" borderId="0" xfId="0" applyNumberFormat="1" applyFont="1" applyFill="1"/>
    <xf numFmtId="164" fontId="3" fillId="4" borderId="0" xfId="0" applyNumberFormat="1" applyFont="1" applyFill="1" applyBorder="1"/>
    <xf numFmtId="165" fontId="3" fillId="4" borderId="0" xfId="2" applyNumberFormat="1" applyFont="1" applyFill="1"/>
    <xf numFmtId="3" fontId="3" fillId="0" borderId="0" xfId="0" applyNumberFormat="1" applyFont="1"/>
    <xf numFmtId="3" fontId="3" fillId="0" borderId="1" xfId="0" applyNumberFormat="1" applyFont="1" applyBorder="1"/>
    <xf numFmtId="3" fontId="4" fillId="0" borderId="2" xfId="0" applyNumberFormat="1" applyFont="1" applyBorder="1"/>
    <xf numFmtId="9" fontId="3" fillId="2" borderId="0" xfId="2" applyFont="1" applyFill="1"/>
    <xf numFmtId="3" fontId="3" fillId="0" borderId="1" xfId="1" applyNumberFormat="1" applyFont="1" applyBorder="1"/>
    <xf numFmtId="3" fontId="3" fillId="0" borderId="2" xfId="0" applyNumberFormat="1" applyFont="1" applyBorder="1"/>
    <xf numFmtId="166" fontId="3" fillId="4" borderId="0" xfId="0" applyNumberFormat="1" applyFont="1" applyFill="1"/>
    <xf numFmtId="9" fontId="3" fillId="4" borderId="0" xfId="2" applyFont="1" applyFill="1" applyBorder="1" applyAlignment="1">
      <alignment horizontal="right"/>
    </xf>
    <xf numFmtId="0" fontId="4" fillId="4" borderId="2" xfId="0" applyFont="1" applyFill="1" applyBorder="1"/>
    <xf numFmtId="3" fontId="3" fillId="4" borderId="1" xfId="0" applyNumberFormat="1" applyFont="1" applyFill="1" applyBorder="1"/>
    <xf numFmtId="3" fontId="5" fillId="0" borderId="0" xfId="0" applyNumberFormat="1" applyFont="1"/>
    <xf numFmtId="3" fontId="3" fillId="2" borderId="0" xfId="0" applyNumberFormat="1" applyFont="1" applyFill="1"/>
    <xf numFmtId="3" fontId="5" fillId="3" borderId="0" xfId="0" applyNumberFormat="1" applyFont="1" applyFill="1"/>
    <xf numFmtId="9" fontId="3" fillId="0" borderId="0" xfId="0" applyNumberFormat="1" applyFont="1"/>
    <xf numFmtId="9" fontId="5" fillId="0" borderId="0" xfId="0" applyNumberFormat="1" applyFont="1"/>
    <xf numFmtId="165" fontId="3" fillId="0" borderId="4" xfId="2" applyNumberFormat="1" applyFont="1" applyBorder="1"/>
    <xf numFmtId="165" fontId="5" fillId="3" borderId="0" xfId="2" applyNumberFormat="1" applyFont="1" applyFill="1"/>
    <xf numFmtId="0" fontId="10" fillId="0" borderId="0" xfId="0" applyFont="1"/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2" fontId="3" fillId="0" borderId="0" xfId="0" applyNumberFormat="1" applyFont="1"/>
    <xf numFmtId="9" fontId="3" fillId="2" borderId="0" xfId="0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5</xdr:row>
      <xdr:rowOff>177800</xdr:rowOff>
    </xdr:from>
    <xdr:to>
      <xdr:col>13</xdr:col>
      <xdr:colOff>508000</xdr:colOff>
      <xdr:row>16</xdr:row>
      <xdr:rowOff>39116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57800" y="1193800"/>
          <a:ext cx="5308600" cy="29728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B11"/>
  <sheetViews>
    <sheetView showGridLines="0" topLeftCell="A2" workbookViewId="0">
      <selection activeCell="H19" sqref="H19"/>
    </sheetView>
  </sheetViews>
  <sheetFormatPr baseColWidth="10" defaultRowHeight="16" x14ac:dyDescent="0.2"/>
  <cols>
    <col min="1" max="1" width="2" customWidth="1"/>
  </cols>
  <sheetData>
    <row r="10" spans="2:2" ht="52" customHeight="1" x14ac:dyDescent="0.45">
      <c r="B10" s="18" t="s">
        <v>52</v>
      </c>
    </row>
    <row r="11" spans="2:2" ht="49" x14ac:dyDescent="0.45">
      <c r="B11" s="18" t="s">
        <v>67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11"/>
  <sheetViews>
    <sheetView showGridLines="0" tabSelected="1" topLeftCell="A34" zoomScale="124" workbookViewId="0">
      <selection activeCell="L47" sqref="L47"/>
    </sheetView>
  </sheetViews>
  <sheetFormatPr baseColWidth="10" defaultRowHeight="16" x14ac:dyDescent="0.2"/>
  <cols>
    <col min="1" max="1" width="1.83203125" customWidth="1"/>
    <col min="2" max="2" width="41.1640625" customWidth="1"/>
    <col min="3" max="3" width="16" customWidth="1"/>
    <col min="10" max="10" width="14.33203125" customWidth="1"/>
    <col min="12" max="12" width="36.83203125" customWidth="1"/>
    <col min="13" max="13" width="12.6640625" bestFit="1" customWidth="1"/>
  </cols>
  <sheetData>
    <row r="1" spans="2:23" x14ac:dyDescent="0.2">
      <c r="B1" s="47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x14ac:dyDescent="0.2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2">
      <c r="C3" s="2"/>
      <c r="D3" s="48" t="s">
        <v>57</v>
      </c>
      <c r="E3" s="49"/>
      <c r="F3" s="49"/>
      <c r="G3" s="49"/>
      <c r="H3" s="49"/>
      <c r="I3" s="2"/>
      <c r="J3" s="2"/>
      <c r="K3" s="2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</row>
    <row r="4" spans="2:23" ht="20" customHeight="1" thickBot="1" x14ac:dyDescent="0.25">
      <c r="B4" s="4" t="s">
        <v>1</v>
      </c>
      <c r="C4" s="4">
        <v>2018</v>
      </c>
      <c r="D4" s="38">
        <v>2019</v>
      </c>
      <c r="E4" s="38">
        <v>2020</v>
      </c>
      <c r="F4" s="38">
        <v>2021</v>
      </c>
      <c r="G4" s="38">
        <v>2022</v>
      </c>
      <c r="H4" s="38">
        <v>2023</v>
      </c>
      <c r="I4" s="2"/>
      <c r="J4" s="2"/>
      <c r="K4" s="2"/>
      <c r="L4" s="16" t="s">
        <v>68</v>
      </c>
      <c r="M4" s="17"/>
      <c r="N4" s="2"/>
      <c r="O4" s="2"/>
      <c r="P4" s="2"/>
      <c r="Q4" s="2"/>
      <c r="R4" s="2"/>
      <c r="S4" s="1"/>
      <c r="T4" s="1"/>
      <c r="U4" s="1"/>
      <c r="V4" s="1"/>
      <c r="W4" s="1"/>
    </row>
    <row r="5" spans="2:23" x14ac:dyDescent="0.2">
      <c r="B5" s="2" t="s">
        <v>2</v>
      </c>
      <c r="C5" s="30">
        <v>15794341</v>
      </c>
      <c r="D5" s="13">
        <f>C5*(1+D17)</f>
        <v>20532643.300000001</v>
      </c>
      <c r="E5" s="13">
        <f t="shared" ref="E5:H5" si="0">D5*(1+E17)</f>
        <v>26692436.290000003</v>
      </c>
      <c r="F5" s="13">
        <f t="shared" si="0"/>
        <v>34700167.177000009</v>
      </c>
      <c r="G5" s="13">
        <f t="shared" si="0"/>
        <v>43375208.971250013</v>
      </c>
      <c r="H5" s="13">
        <f t="shared" si="0"/>
        <v>54219011.214062512</v>
      </c>
      <c r="I5" s="2"/>
      <c r="J5" s="2"/>
      <c r="K5" s="2"/>
      <c r="L5" s="12" t="s">
        <v>36</v>
      </c>
      <c r="M5" s="19">
        <v>313.56</v>
      </c>
      <c r="N5" s="2"/>
      <c r="O5" s="2"/>
      <c r="P5" s="2"/>
      <c r="Q5" s="2"/>
      <c r="R5" s="2"/>
      <c r="S5" s="1"/>
      <c r="T5" s="1"/>
      <c r="U5" s="1"/>
      <c r="V5" s="1"/>
      <c r="W5" s="1"/>
    </row>
    <row r="6" spans="2:23" x14ac:dyDescent="0.2">
      <c r="B6" s="2" t="s">
        <v>3</v>
      </c>
      <c r="C6" s="30">
        <v>-9967538</v>
      </c>
      <c r="D6" s="13">
        <f>D5*D18</f>
        <v>-12524912.413000001</v>
      </c>
      <c r="E6" s="13">
        <f t="shared" ref="E6:H6" si="1">E5*E18</f>
        <v>-16282386.136900002</v>
      </c>
      <c r="F6" s="13">
        <f t="shared" si="1"/>
        <v>-21167101.977970004</v>
      </c>
      <c r="G6" s="13">
        <f t="shared" si="1"/>
        <v>-26458877.472462509</v>
      </c>
      <c r="H6" s="13">
        <f t="shared" si="1"/>
        <v>-33073596.840578131</v>
      </c>
      <c r="I6" s="2"/>
      <c r="J6" s="2"/>
      <c r="K6" s="2"/>
      <c r="L6" s="9" t="s">
        <v>37</v>
      </c>
      <c r="M6" s="20">
        <v>451000000</v>
      </c>
      <c r="N6" s="2"/>
      <c r="O6" s="2"/>
      <c r="P6" s="2"/>
      <c r="Q6" s="2"/>
      <c r="R6" s="2"/>
      <c r="S6" s="1"/>
      <c r="T6" s="1"/>
      <c r="U6" s="1"/>
      <c r="V6" s="1"/>
      <c r="W6" s="1"/>
    </row>
    <row r="7" spans="2:23" x14ac:dyDescent="0.2">
      <c r="B7" s="2" t="s">
        <v>4</v>
      </c>
      <c r="C7" s="30">
        <f>C5+C6</f>
        <v>5826803</v>
      </c>
      <c r="D7" s="13">
        <f>D5+D6</f>
        <v>8007730.8870000001</v>
      </c>
      <c r="E7" s="13">
        <f t="shared" ref="E7:H7" si="2">E5+E6</f>
        <v>10410050.153100001</v>
      </c>
      <c r="F7" s="13">
        <f t="shared" si="2"/>
        <v>13533065.199030004</v>
      </c>
      <c r="G7" s="13">
        <f t="shared" si="2"/>
        <v>16916331.498787504</v>
      </c>
      <c r="H7" s="13">
        <f t="shared" si="2"/>
        <v>21145414.373484381</v>
      </c>
      <c r="I7" s="2"/>
      <c r="J7" s="2"/>
      <c r="K7" s="2"/>
      <c r="L7" s="9" t="s">
        <v>38</v>
      </c>
      <c r="M7" s="21">
        <v>141416000000</v>
      </c>
      <c r="N7" s="2"/>
      <c r="O7" s="2"/>
      <c r="P7" s="2"/>
      <c r="Q7" s="2"/>
      <c r="R7" s="2"/>
      <c r="S7" s="1"/>
      <c r="T7" s="1"/>
      <c r="U7" s="1"/>
      <c r="V7" s="1"/>
      <c r="W7" s="1"/>
    </row>
    <row r="8" spans="2:23" x14ac:dyDescent="0.2">
      <c r="B8" s="2" t="s">
        <v>12</v>
      </c>
      <c r="C8" s="30">
        <v>-14189115</v>
      </c>
      <c r="D8" s="13">
        <f>D21*D5</f>
        <v>-14372850.310000001</v>
      </c>
      <c r="E8" s="13">
        <f>E21*E5</f>
        <v>-21353949.032000005</v>
      </c>
      <c r="F8" s="13">
        <f>F21*F5</f>
        <v>-27760133.741600007</v>
      </c>
      <c r="G8" s="13">
        <f>G21*G5</f>
        <v>-32531406.728437509</v>
      </c>
      <c r="H8" s="13">
        <f>H21*H5</f>
        <v>-40664258.410546884</v>
      </c>
      <c r="I8" s="2"/>
      <c r="J8" s="2"/>
      <c r="K8" s="2"/>
      <c r="L8" s="9" t="s">
        <v>39</v>
      </c>
      <c r="M8" s="22">
        <f>10360058000-3794483000</f>
        <v>6565575000</v>
      </c>
      <c r="N8" s="2"/>
      <c r="O8" s="2"/>
      <c r="P8" s="2"/>
      <c r="Q8" s="2"/>
      <c r="R8" s="2"/>
      <c r="S8" s="1"/>
      <c r="T8" s="1"/>
      <c r="U8" s="1"/>
      <c r="V8" s="1"/>
      <c r="W8" s="1"/>
    </row>
    <row r="9" spans="2:23" x14ac:dyDescent="0.2">
      <c r="B9" s="2" t="s">
        <v>5</v>
      </c>
      <c r="C9" s="30">
        <v>9261684</v>
      </c>
      <c r="D9" s="13">
        <f>D20*D5</f>
        <v>12114259.547</v>
      </c>
      <c r="E9" s="13">
        <f t="shared" ref="E9:H9" si="3">E20*E5</f>
        <v>15748537.4111</v>
      </c>
      <c r="F9" s="13">
        <f t="shared" si="3"/>
        <v>20473098.634430002</v>
      </c>
      <c r="G9" s="13">
        <f t="shared" si="3"/>
        <v>25591373.293037508</v>
      </c>
      <c r="H9" s="13">
        <f t="shared" si="3"/>
        <v>31989216.61629688</v>
      </c>
      <c r="I9" s="2"/>
      <c r="J9" s="2"/>
      <c r="K9" s="2"/>
      <c r="L9" s="9" t="s">
        <v>40</v>
      </c>
      <c r="M9" s="22">
        <f>M7+M8</f>
        <v>147981575000</v>
      </c>
      <c r="N9" s="2"/>
      <c r="O9" s="2"/>
      <c r="P9" s="2"/>
      <c r="Q9" s="2"/>
      <c r="R9" s="2"/>
      <c r="S9" s="1"/>
      <c r="T9" s="1"/>
      <c r="U9" s="1"/>
      <c r="V9" s="1"/>
      <c r="W9" s="1"/>
    </row>
    <row r="10" spans="2:23" x14ac:dyDescent="0.2">
      <c r="B10" s="2" t="s">
        <v>6</v>
      </c>
      <c r="C10" s="30">
        <f>C9-C11</f>
        <v>7656458</v>
      </c>
      <c r="D10" s="30">
        <f>D22*D5</f>
        <v>9855668.784</v>
      </c>
      <c r="E10" s="30">
        <f t="shared" ref="E10:H10" si="4">E22*E5</f>
        <v>12812369.419200001</v>
      </c>
      <c r="F10" s="30">
        <f t="shared" si="4"/>
        <v>16656080.244960003</v>
      </c>
      <c r="G10" s="30">
        <f t="shared" si="4"/>
        <v>20820100.306200005</v>
      </c>
      <c r="H10" s="30">
        <f t="shared" si="4"/>
        <v>26025125.382750005</v>
      </c>
      <c r="I10" s="2"/>
      <c r="J10" s="2"/>
      <c r="K10" s="2"/>
      <c r="L10" s="9" t="s">
        <v>41</v>
      </c>
      <c r="M10" s="22">
        <v>9261684000</v>
      </c>
      <c r="N10" s="2"/>
      <c r="O10" s="2"/>
      <c r="P10" s="2"/>
      <c r="Q10" s="2"/>
      <c r="R10" s="2"/>
      <c r="S10" s="1"/>
      <c r="T10" s="1"/>
      <c r="U10" s="1"/>
      <c r="V10" s="1"/>
      <c r="W10" s="1"/>
    </row>
    <row r="11" spans="2:23" x14ac:dyDescent="0.2">
      <c r="B11" s="2" t="s">
        <v>7</v>
      </c>
      <c r="C11" s="30">
        <v>1605226</v>
      </c>
      <c r="D11" s="13">
        <f>-D19*D5</f>
        <v>1642611.4640000002</v>
      </c>
      <c r="E11" s="13">
        <f t="shared" ref="E11:H11" si="5">-E19*E5</f>
        <v>2135394.9032000001</v>
      </c>
      <c r="F11" s="13">
        <f t="shared" si="5"/>
        <v>2776013.3741600006</v>
      </c>
      <c r="G11" s="13">
        <f t="shared" si="5"/>
        <v>3470016.7177000009</v>
      </c>
      <c r="H11" s="13">
        <f t="shared" si="5"/>
        <v>4337520.8971250011</v>
      </c>
      <c r="I11" s="2"/>
      <c r="J11" s="2"/>
      <c r="K11" s="2"/>
      <c r="L11" s="9" t="s">
        <v>62</v>
      </c>
      <c r="M11" s="22">
        <f>M9/M10</f>
        <v>15.977825954761574</v>
      </c>
      <c r="N11" s="2">
        <v>75.83</v>
      </c>
      <c r="O11" s="2"/>
      <c r="P11" s="2"/>
      <c r="Q11" s="2"/>
      <c r="R11" s="2"/>
      <c r="S11" s="1"/>
      <c r="T11" s="1"/>
      <c r="U11" s="1"/>
      <c r="V11" s="1"/>
      <c r="W11" s="1"/>
    </row>
    <row r="12" spans="2:23" x14ac:dyDescent="0.2">
      <c r="B12" s="2" t="s">
        <v>8</v>
      </c>
      <c r="C12" s="30">
        <v>-420493</v>
      </c>
      <c r="D12" s="13">
        <f>D36+D37</f>
        <v>5209131.6052100006</v>
      </c>
      <c r="E12" s="13">
        <f>E36+E37</f>
        <v>7068603.5019910987</v>
      </c>
      <c r="F12" s="13">
        <f t="shared" ref="F12:H12" si="6">F36+F37</f>
        <v>9509501.295450205</v>
      </c>
      <c r="G12" s="13">
        <f t="shared" si="6"/>
        <v>12707888.799399368</v>
      </c>
      <c r="H12" s="13">
        <f t="shared" si="6"/>
        <v>16765326.794268427</v>
      </c>
      <c r="I12" s="2"/>
      <c r="J12" s="2"/>
      <c r="K12" s="2"/>
      <c r="L12" s="9" t="s">
        <v>42</v>
      </c>
      <c r="M12" s="29">
        <v>8.9999999999999993E-3</v>
      </c>
      <c r="N12" s="2"/>
      <c r="O12" s="2"/>
      <c r="P12" s="2"/>
      <c r="Q12" s="2"/>
      <c r="R12" s="2"/>
      <c r="S12" s="1"/>
      <c r="T12" s="1"/>
      <c r="U12" s="1"/>
      <c r="V12" s="1"/>
      <c r="W12" s="1"/>
    </row>
    <row r="13" spans="2:23" x14ac:dyDescent="0.2">
      <c r="B13" s="2" t="s">
        <v>9</v>
      </c>
      <c r="C13" s="30">
        <v>1226458</v>
      </c>
      <c r="D13" s="13">
        <f>D11+D12</f>
        <v>6851743.0692100003</v>
      </c>
      <c r="E13" s="13">
        <f t="shared" ref="E13:H13" si="7">E11+E12</f>
        <v>9203998.4051910993</v>
      </c>
      <c r="F13" s="13">
        <f t="shared" si="7"/>
        <v>12285514.669610206</v>
      </c>
      <c r="G13" s="13">
        <f t="shared" si="7"/>
        <v>16177905.517099369</v>
      </c>
      <c r="H13" s="13">
        <f t="shared" si="7"/>
        <v>21102847.691393428</v>
      </c>
      <c r="I13" s="2"/>
      <c r="J13" s="30"/>
      <c r="K13" s="2" t="s">
        <v>63</v>
      </c>
      <c r="L13" s="9"/>
      <c r="M13" s="22"/>
      <c r="N13" s="2"/>
      <c r="O13" s="2"/>
      <c r="P13" s="2"/>
      <c r="Q13" s="2"/>
      <c r="R13" s="2"/>
      <c r="S13" s="1"/>
      <c r="T13" s="1"/>
      <c r="U13" s="1"/>
      <c r="V13" s="1"/>
      <c r="W13" s="1"/>
    </row>
    <row r="14" spans="2:23" ht="17" thickBot="1" x14ac:dyDescent="0.25">
      <c r="B14" s="5" t="s">
        <v>10</v>
      </c>
      <c r="C14" s="31">
        <v>-15216</v>
      </c>
      <c r="D14" s="39">
        <f>-$M$12*D13</f>
        <v>-61665.68762289</v>
      </c>
      <c r="E14" s="39">
        <f t="shared" ref="E14:H14" si="8">-$M$12*E13</f>
        <v>-82835.985646719884</v>
      </c>
      <c r="F14" s="39">
        <f t="shared" si="8"/>
        <v>-110569.63202649185</v>
      </c>
      <c r="G14" s="39">
        <f t="shared" si="8"/>
        <v>-145601.1496538943</v>
      </c>
      <c r="H14" s="39">
        <f t="shared" si="8"/>
        <v>-189925.62922254083</v>
      </c>
      <c r="I14" s="2"/>
      <c r="J14" s="2"/>
      <c r="K14" s="2"/>
      <c r="L14" s="16" t="s">
        <v>43</v>
      </c>
      <c r="M14" s="23"/>
      <c r="N14" s="2"/>
      <c r="O14" s="2"/>
      <c r="P14" s="2"/>
      <c r="Q14" s="2"/>
      <c r="R14" s="2"/>
      <c r="S14" s="1"/>
      <c r="T14" s="1"/>
      <c r="U14" s="1"/>
      <c r="V14" s="1"/>
      <c r="W14" s="1"/>
    </row>
    <row r="15" spans="2:23" ht="17" thickBot="1" x14ac:dyDescent="0.25">
      <c r="B15" s="4" t="s">
        <v>11</v>
      </c>
      <c r="C15" s="32">
        <f>C13+C14</f>
        <v>1211242</v>
      </c>
      <c r="D15" s="32">
        <f t="shared" ref="D15:H15" si="9">D13+D14</f>
        <v>6790077.3815871105</v>
      </c>
      <c r="E15" s="32">
        <f t="shared" si="9"/>
        <v>9121162.4195443802</v>
      </c>
      <c r="F15" s="32">
        <f t="shared" si="9"/>
        <v>12174945.037583714</v>
      </c>
      <c r="G15" s="32">
        <f t="shared" si="9"/>
        <v>16032304.367445474</v>
      </c>
      <c r="H15" s="32">
        <f t="shared" si="9"/>
        <v>20912922.062170886</v>
      </c>
      <c r="I15" s="2"/>
      <c r="J15" s="2"/>
      <c r="K15" s="2"/>
      <c r="L15" s="12"/>
      <c r="M15" s="24" t="s">
        <v>53</v>
      </c>
      <c r="N15" s="2"/>
      <c r="O15" s="2"/>
      <c r="P15" s="2"/>
      <c r="Q15" s="2"/>
      <c r="R15" s="2"/>
      <c r="S15" s="1"/>
      <c r="T15" s="1"/>
      <c r="U15" s="1"/>
      <c r="V15" s="1"/>
      <c r="W15" s="1"/>
    </row>
    <row r="16" spans="2:23" x14ac:dyDescent="0.2">
      <c r="B16" s="6" t="s">
        <v>13</v>
      </c>
      <c r="C16" s="7"/>
      <c r="D16" s="7"/>
      <c r="E16" s="7"/>
      <c r="F16" s="7"/>
      <c r="G16" s="7"/>
      <c r="H16" s="7"/>
      <c r="I16" s="2"/>
      <c r="J16" s="2"/>
      <c r="K16" s="2"/>
      <c r="L16" s="9" t="s">
        <v>27</v>
      </c>
      <c r="M16" s="36">
        <v>3</v>
      </c>
      <c r="N16" s="2"/>
      <c r="O16" s="2"/>
      <c r="P16" s="2"/>
      <c r="Q16" s="2"/>
      <c r="R16" s="2"/>
      <c r="S16" s="1"/>
      <c r="T16" s="1"/>
      <c r="U16" s="1"/>
      <c r="V16" s="1"/>
      <c r="W16" s="1"/>
    </row>
    <row r="17" spans="2:23" x14ac:dyDescent="0.2">
      <c r="B17" s="7" t="s">
        <v>14</v>
      </c>
      <c r="C17" s="33">
        <f>(15794340/11692710)-1</f>
        <v>0.3507852328502119</v>
      </c>
      <c r="D17" s="33">
        <v>0.3</v>
      </c>
      <c r="E17" s="33">
        <v>0.3</v>
      </c>
      <c r="F17" s="33">
        <v>0.3</v>
      </c>
      <c r="G17" s="33">
        <v>0.25</v>
      </c>
      <c r="H17" s="33">
        <v>0.25</v>
      </c>
      <c r="I17" s="2"/>
      <c r="J17" s="2"/>
      <c r="K17" s="2"/>
      <c r="L17" s="9" t="s">
        <v>28</v>
      </c>
      <c r="M17" s="36">
        <v>4</v>
      </c>
      <c r="N17" s="2"/>
      <c r="O17" s="2"/>
      <c r="P17" s="2"/>
      <c r="Q17" s="2"/>
      <c r="R17" s="2"/>
      <c r="S17" s="1"/>
      <c r="T17" s="1"/>
      <c r="U17" s="1"/>
      <c r="V17" s="1"/>
      <c r="W17" s="1"/>
    </row>
    <row r="18" spans="2:23" x14ac:dyDescent="0.2">
      <c r="B18" s="7" t="s">
        <v>15</v>
      </c>
      <c r="C18" s="33">
        <f>C6/C5</f>
        <v>-0.63108286695848848</v>
      </c>
      <c r="D18" s="33">
        <v>-0.61</v>
      </c>
      <c r="E18" s="33">
        <v>-0.61</v>
      </c>
      <c r="F18" s="33">
        <v>-0.61</v>
      </c>
      <c r="G18" s="33">
        <v>-0.61</v>
      </c>
      <c r="H18" s="33">
        <v>-0.61</v>
      </c>
      <c r="I18" s="2"/>
      <c r="J18" s="2"/>
      <c r="K18" s="2"/>
      <c r="L18" s="9"/>
      <c r="M18" s="25" t="s">
        <v>54</v>
      </c>
      <c r="N18" s="2"/>
      <c r="O18" s="2"/>
      <c r="P18" s="2"/>
      <c r="Q18" s="2"/>
      <c r="R18" s="2"/>
      <c r="S18" s="1"/>
      <c r="T18" s="1"/>
      <c r="U18" s="1"/>
      <c r="V18" s="1"/>
      <c r="W18" s="1"/>
    </row>
    <row r="19" spans="2:23" x14ac:dyDescent="0.2">
      <c r="B19" s="7" t="s">
        <v>58</v>
      </c>
      <c r="C19" s="33">
        <f>-C11/C5</f>
        <v>-0.10163298361102878</v>
      </c>
      <c r="D19" s="33">
        <v>-0.08</v>
      </c>
      <c r="E19" s="33">
        <v>-0.08</v>
      </c>
      <c r="F19" s="33">
        <v>-0.08</v>
      </c>
      <c r="G19" s="33">
        <v>-0.08</v>
      </c>
      <c r="H19" s="33">
        <v>-0.08</v>
      </c>
      <c r="I19" s="2"/>
      <c r="J19" s="2"/>
      <c r="K19" s="2"/>
      <c r="L19" s="9" t="s">
        <v>27</v>
      </c>
      <c r="M19" s="10">
        <v>0.05</v>
      </c>
      <c r="N19" s="2"/>
      <c r="O19" s="2"/>
      <c r="P19" s="2"/>
      <c r="Q19" s="2"/>
      <c r="R19" s="2"/>
      <c r="S19" s="1"/>
      <c r="T19" s="1"/>
      <c r="U19" s="1"/>
      <c r="V19" s="1"/>
      <c r="W19" s="1"/>
    </row>
    <row r="20" spans="2:23" x14ac:dyDescent="0.2">
      <c r="B20" s="7" t="s">
        <v>16</v>
      </c>
      <c r="C20" s="33">
        <f>C9/C5</f>
        <v>0.58639255667583723</v>
      </c>
      <c r="D20" s="33">
        <v>0.59</v>
      </c>
      <c r="E20" s="33">
        <v>0.59</v>
      </c>
      <c r="F20" s="33">
        <v>0.59</v>
      </c>
      <c r="G20" s="33">
        <v>0.59</v>
      </c>
      <c r="H20" s="33">
        <v>0.59</v>
      </c>
      <c r="I20" s="2"/>
      <c r="J20" s="2"/>
      <c r="K20" s="2"/>
      <c r="L20" s="9" t="s">
        <v>28</v>
      </c>
      <c r="M20" s="10">
        <v>7.0000000000000007E-2</v>
      </c>
      <c r="N20" s="2"/>
      <c r="O20" s="2"/>
      <c r="P20" s="2"/>
      <c r="Q20" s="2"/>
      <c r="R20" s="2"/>
      <c r="S20" s="1"/>
      <c r="T20" s="1"/>
      <c r="U20" s="1"/>
      <c r="V20" s="1"/>
      <c r="W20" s="1"/>
    </row>
    <row r="21" spans="2:23" x14ac:dyDescent="0.2">
      <c r="B21" s="7" t="s">
        <v>59</v>
      </c>
      <c r="C21" s="33">
        <f>C8/C5</f>
        <v>-0.89836701638897121</v>
      </c>
      <c r="D21" s="51">
        <v>-0.7</v>
      </c>
      <c r="E21" s="51">
        <v>-0.8</v>
      </c>
      <c r="F21" s="51">
        <v>-0.8</v>
      </c>
      <c r="G21" s="51">
        <v>-0.75</v>
      </c>
      <c r="H21" s="51">
        <v>-0.75</v>
      </c>
      <c r="I21" s="2"/>
      <c r="J21" s="2"/>
      <c r="K21" s="2"/>
      <c r="L21" s="9"/>
      <c r="M21" s="22"/>
      <c r="N21" s="2"/>
      <c r="O21" s="2"/>
      <c r="P21" s="2"/>
      <c r="Q21" s="2"/>
      <c r="R21" s="2"/>
      <c r="S21" s="1"/>
      <c r="T21" s="1"/>
      <c r="U21" s="1"/>
      <c r="V21" s="1"/>
      <c r="W21" s="1"/>
    </row>
    <row r="22" spans="2:23" ht="17" thickBot="1" x14ac:dyDescent="0.25">
      <c r="B22" s="7" t="s">
        <v>70</v>
      </c>
      <c r="C22" s="33">
        <f>C10/C5</f>
        <v>0.48475957306480849</v>
      </c>
      <c r="D22" s="33">
        <v>0.48</v>
      </c>
      <c r="E22" s="33">
        <v>0.48</v>
      </c>
      <c r="F22" s="33">
        <v>0.48</v>
      </c>
      <c r="G22" s="33">
        <v>0.48</v>
      </c>
      <c r="H22" s="33">
        <v>0.48</v>
      </c>
      <c r="I22" s="2"/>
      <c r="J22" s="2"/>
      <c r="K22" s="2"/>
      <c r="L22" s="16" t="s">
        <v>44</v>
      </c>
      <c r="M22" s="23"/>
      <c r="N22" s="2"/>
      <c r="O22" s="2"/>
      <c r="P22" s="2"/>
      <c r="Q22" s="2"/>
      <c r="R22" s="2"/>
      <c r="S22" s="1"/>
      <c r="T22" s="1"/>
      <c r="U22" s="1"/>
      <c r="V22" s="1"/>
      <c r="W22" s="1"/>
    </row>
    <row r="23" spans="2:23" x14ac:dyDescent="0.2">
      <c r="B23" s="9"/>
      <c r="C23" s="10"/>
      <c r="D23" s="11"/>
      <c r="E23" s="11"/>
      <c r="F23" s="11"/>
      <c r="G23" s="11"/>
      <c r="H23" s="11"/>
      <c r="I23" s="2"/>
      <c r="J23" s="2"/>
      <c r="K23" s="2"/>
      <c r="L23" s="12" t="s">
        <v>45</v>
      </c>
      <c r="M23" s="37">
        <v>0.3</v>
      </c>
      <c r="N23" s="2"/>
      <c r="O23" s="2"/>
      <c r="P23" s="2"/>
      <c r="Q23" s="2"/>
      <c r="R23" s="2"/>
      <c r="S23" s="1"/>
      <c r="T23" s="1"/>
      <c r="U23" s="1"/>
      <c r="V23" s="1"/>
      <c r="W23" s="1"/>
    </row>
    <row r="24" spans="2:23" ht="17" thickBot="1" x14ac:dyDescent="0.25">
      <c r="B24" s="4" t="s">
        <v>61</v>
      </c>
      <c r="C24" s="35"/>
      <c r="D24" s="35"/>
      <c r="E24" s="35"/>
      <c r="F24" s="35"/>
      <c r="G24" s="35"/>
      <c r="H24" s="35"/>
      <c r="I24" s="2"/>
      <c r="J24" s="2"/>
      <c r="K24" s="2"/>
      <c r="L24" s="12" t="s">
        <v>46</v>
      </c>
      <c r="M24" s="21">
        <f>M7*(1+M23)</f>
        <v>183840800000</v>
      </c>
      <c r="N24" s="2"/>
      <c r="O24" s="2"/>
      <c r="P24" s="2"/>
      <c r="Q24" s="2"/>
      <c r="R24" s="2"/>
      <c r="S24" s="1"/>
      <c r="T24" s="1"/>
      <c r="U24" s="1"/>
      <c r="V24" s="1"/>
      <c r="W24" s="1"/>
    </row>
    <row r="25" spans="2:23" x14ac:dyDescent="0.2">
      <c r="B25" s="2" t="s">
        <v>11</v>
      </c>
      <c r="C25" s="30">
        <v>1211242</v>
      </c>
      <c r="D25" s="30">
        <f>D15</f>
        <v>6790077.3815871105</v>
      </c>
      <c r="E25" s="30">
        <f>E15</f>
        <v>9121162.4195443802</v>
      </c>
      <c r="F25" s="30">
        <f>F15</f>
        <v>12174945.037583714</v>
      </c>
      <c r="G25" s="30">
        <f>G15</f>
        <v>16032304.367445474</v>
      </c>
      <c r="H25" s="30">
        <f>H15</f>
        <v>20912922.062170886</v>
      </c>
      <c r="I25" s="2"/>
      <c r="J25" s="2"/>
      <c r="K25" s="2"/>
      <c r="L25" s="9" t="s">
        <v>47</v>
      </c>
      <c r="M25" s="21">
        <f>M24+M8</f>
        <v>190406375000</v>
      </c>
      <c r="N25" s="2"/>
      <c r="O25" s="2"/>
      <c r="P25" s="2"/>
      <c r="Q25" s="2"/>
      <c r="R25" s="2"/>
      <c r="S25" s="1"/>
      <c r="T25" s="1"/>
      <c r="U25" s="1"/>
      <c r="V25" s="1"/>
      <c r="W25" s="1"/>
    </row>
    <row r="26" spans="2:23" x14ac:dyDescent="0.2">
      <c r="B26" s="2" t="s">
        <v>17</v>
      </c>
      <c r="C26" s="30">
        <v>7656457</v>
      </c>
      <c r="D26" s="30">
        <f>D10</f>
        <v>9855668.784</v>
      </c>
      <c r="E26" s="30">
        <f>E10</f>
        <v>12812369.419200001</v>
      </c>
      <c r="F26" s="30">
        <f>F10</f>
        <v>16656080.244960003</v>
      </c>
      <c r="G26" s="30">
        <f>G10</f>
        <v>20820100.306200005</v>
      </c>
      <c r="H26" s="30">
        <f>H10</f>
        <v>26025125.382750005</v>
      </c>
      <c r="I26" s="2"/>
      <c r="J26" s="2"/>
      <c r="K26" s="2"/>
      <c r="L26" s="9" t="s">
        <v>48</v>
      </c>
      <c r="M26" s="22"/>
      <c r="N26" s="2"/>
      <c r="O26" s="2"/>
      <c r="P26" s="2"/>
      <c r="Q26" s="2"/>
      <c r="R26" s="2"/>
      <c r="S26" s="1"/>
      <c r="T26" s="1"/>
      <c r="U26" s="1"/>
      <c r="V26" s="1"/>
      <c r="W26" s="1"/>
    </row>
    <row r="27" spans="2:23" x14ac:dyDescent="0.2">
      <c r="B27" s="2" t="s">
        <v>18</v>
      </c>
      <c r="C27" s="30">
        <f>C30-D30</f>
        <v>1003153</v>
      </c>
      <c r="D27" s="30">
        <f>1%*D5</f>
        <v>205326.43300000002</v>
      </c>
      <c r="E27" s="30">
        <f>1%*E5</f>
        <v>266924.36290000001</v>
      </c>
      <c r="F27" s="30">
        <f>1%*F5</f>
        <v>347001.67177000007</v>
      </c>
      <c r="G27" s="30">
        <f>1%*G5</f>
        <v>433752.08971250011</v>
      </c>
      <c r="H27" s="30">
        <f>1%*H5</f>
        <v>542190.11214062513</v>
      </c>
      <c r="I27" s="2"/>
      <c r="J27" s="2"/>
      <c r="K27" s="2"/>
      <c r="L27" s="9" t="s">
        <v>27</v>
      </c>
      <c r="M27" s="22">
        <f>M16*M10</f>
        <v>27785052000</v>
      </c>
      <c r="N27" s="2"/>
      <c r="O27" s="2"/>
      <c r="P27" s="2"/>
      <c r="Q27" s="2"/>
      <c r="R27" s="2"/>
      <c r="S27" s="1"/>
      <c r="T27" s="1"/>
      <c r="U27" s="1"/>
      <c r="V27" s="1"/>
      <c r="W27" s="1"/>
    </row>
    <row r="28" spans="2:23" x14ac:dyDescent="0.2">
      <c r="B28" s="5" t="s">
        <v>19</v>
      </c>
      <c r="C28" s="34">
        <v>-173946</v>
      </c>
      <c r="D28" s="31">
        <f>D10</f>
        <v>9855668.784</v>
      </c>
      <c r="E28" s="31">
        <f>E10</f>
        <v>12812369.419200001</v>
      </c>
      <c r="F28" s="31">
        <f>F10</f>
        <v>16656080.244960003</v>
      </c>
      <c r="G28" s="31">
        <f>G10</f>
        <v>20820100.306200005</v>
      </c>
      <c r="H28" s="31">
        <f>H10</f>
        <v>26025125.382750005</v>
      </c>
      <c r="I28" s="2"/>
      <c r="J28" s="2"/>
      <c r="K28" s="2"/>
      <c r="L28" s="9" t="s">
        <v>28</v>
      </c>
      <c r="M28" s="22">
        <f>M17*M10</f>
        <v>37046736000</v>
      </c>
      <c r="N28" s="2"/>
      <c r="O28" s="2"/>
      <c r="P28" s="2"/>
      <c r="Q28" s="2"/>
      <c r="R28" s="2"/>
      <c r="S28" s="1"/>
      <c r="T28" s="1"/>
      <c r="U28" s="1"/>
      <c r="V28" s="1"/>
      <c r="W28" s="1"/>
    </row>
    <row r="29" spans="2:23" ht="17" thickBot="1" x14ac:dyDescent="0.25">
      <c r="B29" s="4" t="s">
        <v>20</v>
      </c>
      <c r="C29" s="35">
        <f>SUM(C25:C28)</f>
        <v>9696906</v>
      </c>
      <c r="D29" s="35">
        <f t="shared" ref="D29:H29" si="10">SUM(D25:D28)</f>
        <v>26706741.382587112</v>
      </c>
      <c r="E29" s="35">
        <f t="shared" si="10"/>
        <v>35012825.620844379</v>
      </c>
      <c r="F29" s="35">
        <f t="shared" si="10"/>
        <v>45834107.19927372</v>
      </c>
      <c r="G29" s="35">
        <f t="shared" si="10"/>
        <v>58106257.069557987</v>
      </c>
      <c r="H29" s="35">
        <f t="shared" si="10"/>
        <v>73505362.939811528</v>
      </c>
      <c r="I29" s="2"/>
      <c r="J29" s="2"/>
      <c r="K29" s="2"/>
      <c r="L29" s="14" t="s">
        <v>49</v>
      </c>
      <c r="M29" s="26">
        <f>M27+M28</f>
        <v>64831788000</v>
      </c>
      <c r="N29" s="2"/>
      <c r="O29" s="2"/>
      <c r="P29" s="2"/>
      <c r="Q29" s="2"/>
      <c r="R29" s="2"/>
      <c r="S29" s="1"/>
      <c r="T29" s="1"/>
      <c r="U29" s="1"/>
      <c r="V29" s="1"/>
      <c r="W29" s="1"/>
    </row>
    <row r="30" spans="2:23" x14ac:dyDescent="0.2">
      <c r="B30" s="2"/>
      <c r="C30" s="40">
        <f>9694135-6487320</f>
        <v>3206815</v>
      </c>
      <c r="D30" s="40">
        <f>7669974-5466312</f>
        <v>2203662</v>
      </c>
      <c r="E30" s="30"/>
      <c r="F30" s="30"/>
      <c r="G30" s="30"/>
      <c r="H30" s="30"/>
      <c r="I30" s="2"/>
      <c r="J30" s="2"/>
      <c r="K30" s="2"/>
      <c r="L30" s="9"/>
      <c r="M30" s="22"/>
      <c r="N30" s="2"/>
      <c r="O30" s="2"/>
      <c r="P30" s="2"/>
      <c r="Q30" s="2"/>
      <c r="R30" s="2"/>
      <c r="S30" s="1"/>
      <c r="T30" s="1"/>
      <c r="U30" s="1"/>
      <c r="V30" s="1"/>
      <c r="W30" s="1"/>
    </row>
    <row r="31" spans="2:23" x14ac:dyDescent="0.2">
      <c r="B31" s="2"/>
      <c r="C31" s="30"/>
      <c r="D31" s="30"/>
      <c r="E31" s="30"/>
      <c r="F31" s="30"/>
      <c r="G31" s="30"/>
      <c r="H31" s="30"/>
      <c r="I31" s="2"/>
      <c r="J31" s="2"/>
      <c r="K31" s="2"/>
      <c r="L31" s="15" t="s">
        <v>50</v>
      </c>
      <c r="M31" s="27">
        <f>M25-M29</f>
        <v>125574587000</v>
      </c>
      <c r="N31" s="2"/>
      <c r="O31" s="2"/>
      <c r="P31" s="2"/>
      <c r="Q31" s="2"/>
      <c r="R31" s="2"/>
      <c r="S31" s="1"/>
      <c r="T31" s="1"/>
      <c r="U31" s="1"/>
      <c r="V31" s="1"/>
      <c r="W31" s="1"/>
    </row>
    <row r="32" spans="2:23" ht="17" thickBot="1" x14ac:dyDescent="0.25">
      <c r="B32" s="4" t="s">
        <v>60</v>
      </c>
      <c r="C32" s="35"/>
      <c r="D32" s="35"/>
      <c r="E32" s="35"/>
      <c r="F32" s="35"/>
      <c r="G32" s="35"/>
      <c r="H32" s="35"/>
      <c r="I32" s="2"/>
      <c r="J32" s="2"/>
      <c r="K32" s="2"/>
      <c r="L32" s="9"/>
      <c r="M32" s="22"/>
      <c r="N32" s="2"/>
      <c r="O32" s="2"/>
      <c r="P32" s="2"/>
      <c r="Q32" s="2"/>
      <c r="R32" s="2"/>
      <c r="S32" s="1"/>
      <c r="T32" s="1"/>
      <c r="U32" s="1"/>
      <c r="V32" s="1"/>
      <c r="W32" s="1"/>
    </row>
    <row r="33" spans="2:23" ht="17" thickBot="1" x14ac:dyDescent="0.25">
      <c r="B33" s="2" t="s">
        <v>21</v>
      </c>
      <c r="D33" s="30">
        <f>-$M$16*D9</f>
        <v>-36342778.641000003</v>
      </c>
      <c r="E33" s="30">
        <f>D33+D39</f>
        <v>-36842778.641000003</v>
      </c>
      <c r="F33" s="30">
        <f t="shared" ref="F33:H33" si="11">E33+E39</f>
        <v>-37342778.641000003</v>
      </c>
      <c r="G33" s="30">
        <f t="shared" si="11"/>
        <v>-37842778.641000003</v>
      </c>
      <c r="H33" s="30">
        <f t="shared" si="11"/>
        <v>-38342778.641000003</v>
      </c>
      <c r="I33" s="2"/>
      <c r="J33" s="2"/>
      <c r="K33" s="2"/>
      <c r="L33" s="16" t="s">
        <v>51</v>
      </c>
      <c r="M33" s="23"/>
      <c r="N33" s="2"/>
      <c r="O33" s="2"/>
      <c r="P33" s="2"/>
      <c r="Q33" s="2"/>
      <c r="R33" s="2"/>
      <c r="S33" s="1"/>
      <c r="T33" s="1"/>
      <c r="U33" s="1"/>
      <c r="V33" s="1"/>
      <c r="W33" s="1"/>
    </row>
    <row r="34" spans="2:23" x14ac:dyDescent="0.2">
      <c r="B34" s="2" t="s">
        <v>22</v>
      </c>
      <c r="D34" s="30">
        <f>-$M$17*D9</f>
        <v>-48457038.188000001</v>
      </c>
      <c r="E34" s="30">
        <f>D34+D40</f>
        <v>-74663779.570587113</v>
      </c>
      <c r="F34" s="30">
        <f t="shared" ref="F34:H34" si="12">E34+E40</f>
        <v>-109176605.19143149</v>
      </c>
      <c r="G34" s="30">
        <f t="shared" si="12"/>
        <v>-154510712.39070523</v>
      </c>
      <c r="H34" s="30">
        <f t="shared" si="12"/>
        <v>-212116969.46026322</v>
      </c>
      <c r="I34" s="2"/>
      <c r="J34" s="2"/>
      <c r="K34" s="2"/>
      <c r="L34" s="12" t="s">
        <v>55</v>
      </c>
      <c r="M34" s="28"/>
      <c r="N34" s="2"/>
      <c r="O34" s="2"/>
      <c r="P34" s="2"/>
      <c r="Q34" s="2"/>
      <c r="R34" s="2"/>
      <c r="S34" s="1"/>
      <c r="T34" s="1"/>
      <c r="U34" s="1"/>
      <c r="V34" s="1"/>
      <c r="W34" s="1"/>
    </row>
    <row r="35" spans="2:23" x14ac:dyDescent="0.2">
      <c r="B35" s="2"/>
      <c r="D35" s="30"/>
      <c r="E35" s="30" t="s">
        <v>63</v>
      </c>
      <c r="F35" s="30"/>
      <c r="G35" s="30"/>
      <c r="H35" s="30"/>
      <c r="I35" s="2"/>
      <c r="J35" s="2"/>
      <c r="K35" s="2"/>
      <c r="L35" s="9" t="s">
        <v>56</v>
      </c>
      <c r="M35" s="22"/>
      <c r="N35" s="2"/>
      <c r="O35" s="2"/>
      <c r="P35" s="2"/>
      <c r="Q35" s="2"/>
      <c r="R35" s="2"/>
      <c r="S35" s="1"/>
      <c r="T35" s="1"/>
      <c r="U35" s="1"/>
      <c r="V35" s="1"/>
      <c r="W35" s="1"/>
    </row>
    <row r="36" spans="2:23" x14ac:dyDescent="0.2">
      <c r="B36" s="2" t="s">
        <v>23</v>
      </c>
      <c r="D36" s="30">
        <f>-$M$19*D33</f>
        <v>1817138.9320500002</v>
      </c>
      <c r="E36" s="30">
        <f>-$M$19*E33</f>
        <v>1842138.9320500002</v>
      </c>
      <c r="F36" s="30">
        <f>-$M$19*F33</f>
        <v>1867138.9320500002</v>
      </c>
      <c r="G36" s="30">
        <f t="shared" ref="G36:H36" si="13">-$M$19*G33</f>
        <v>1892138.9320500002</v>
      </c>
      <c r="H36" s="30">
        <f t="shared" si="13"/>
        <v>1917138.9320500002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1"/>
      <c r="T36" s="1"/>
      <c r="U36" s="1"/>
      <c r="V36" s="1"/>
      <c r="W36" s="1"/>
    </row>
    <row r="37" spans="2:23" x14ac:dyDescent="0.2">
      <c r="B37" s="2" t="s">
        <v>24</v>
      </c>
      <c r="D37" s="30">
        <f>-$M$20*D34</f>
        <v>3391992.6731600002</v>
      </c>
      <c r="E37" s="30">
        <f>-$M$20*E34</f>
        <v>5226464.5699410988</v>
      </c>
      <c r="F37" s="30">
        <f>-$M$20*F34</f>
        <v>7642362.363400205</v>
      </c>
      <c r="G37" s="30">
        <f t="shared" ref="G37:H37" si="14">-$M$20*G34</f>
        <v>10815749.867349368</v>
      </c>
      <c r="H37" s="30">
        <f t="shared" si="14"/>
        <v>14848187.862218427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  <c r="U37" s="1"/>
      <c r="V37" s="1"/>
      <c r="W37" s="1"/>
    </row>
    <row r="38" spans="2:23" x14ac:dyDescent="0.2">
      <c r="B38" s="2"/>
      <c r="C38" s="30"/>
      <c r="D38" s="30"/>
      <c r="E38" s="30"/>
      <c r="F38" s="30"/>
      <c r="G38" s="30"/>
      <c r="H38" s="30"/>
      <c r="I38" s="2"/>
      <c r="J38" s="2"/>
      <c r="K38" s="2"/>
      <c r="L38" s="2"/>
      <c r="M38" s="2"/>
      <c r="N38" s="2"/>
      <c r="O38" s="2"/>
      <c r="P38" s="2"/>
      <c r="Q38" s="2"/>
      <c r="R38" s="2"/>
      <c r="S38" s="1"/>
      <c r="T38" s="1"/>
      <c r="U38" s="1"/>
      <c r="V38" s="1"/>
      <c r="W38" s="1"/>
    </row>
    <row r="39" spans="2:23" x14ac:dyDescent="0.2">
      <c r="B39" s="2" t="s">
        <v>25</v>
      </c>
      <c r="C39" s="30"/>
      <c r="D39" s="30">
        <v>-500000</v>
      </c>
      <c r="E39" s="30">
        <v>-500000</v>
      </c>
      <c r="F39" s="30">
        <v>-500000</v>
      </c>
      <c r="G39" s="30">
        <v>-500000</v>
      </c>
      <c r="H39" s="30">
        <v>-500000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1"/>
      <c r="T39" s="1"/>
      <c r="U39" s="1"/>
      <c r="V39" s="1"/>
      <c r="W39" s="1"/>
    </row>
    <row r="40" spans="2:23" x14ac:dyDescent="0.2">
      <c r="B40" s="2" t="s">
        <v>26</v>
      </c>
      <c r="C40" s="30"/>
      <c r="D40" s="30">
        <f>IF(D29&gt;500000, -(D29+D39), 0)</f>
        <v>-26206741.382587112</v>
      </c>
      <c r="E40" s="30">
        <f t="shared" ref="E40:H40" si="15">IF(E29&gt;500000, -(E29+E39), 0)</f>
        <v>-34512825.620844379</v>
      </c>
      <c r="F40" s="30">
        <f t="shared" si="15"/>
        <v>-45334107.19927372</v>
      </c>
      <c r="G40" s="30">
        <f t="shared" si="15"/>
        <v>-57606257.069557987</v>
      </c>
      <c r="H40" s="30">
        <f t="shared" si="15"/>
        <v>-73005362.939811528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1"/>
      <c r="T40" s="1"/>
      <c r="U40" s="1"/>
      <c r="V40" s="1"/>
      <c r="W40" s="1"/>
    </row>
    <row r="41" spans="2:23" x14ac:dyDescent="0.2">
      <c r="B41" s="2"/>
      <c r="C41" s="30"/>
      <c r="D41" s="30"/>
      <c r="E41" s="30"/>
      <c r="F41" s="30"/>
      <c r="G41" s="30"/>
      <c r="H41" s="30"/>
      <c r="I41" s="2"/>
      <c r="J41" s="2"/>
      <c r="K41" s="2"/>
      <c r="L41" s="2"/>
      <c r="M41" s="2"/>
      <c r="N41" s="2"/>
      <c r="O41" s="2"/>
      <c r="P41" s="2"/>
      <c r="Q41" s="2"/>
      <c r="R41" s="2"/>
      <c r="S41" s="1"/>
      <c r="T41" s="1"/>
      <c r="U41" s="1"/>
      <c r="V41" s="1"/>
      <c r="W41" s="1"/>
    </row>
    <row r="42" spans="2:23" x14ac:dyDescent="0.2">
      <c r="B42" s="6" t="s">
        <v>69</v>
      </c>
      <c r="C42" s="41"/>
      <c r="D42" s="41"/>
      <c r="E42" s="41"/>
      <c r="F42" s="41"/>
      <c r="G42" s="41"/>
      <c r="H42" s="41"/>
      <c r="I42" s="2"/>
      <c r="J42" s="2"/>
      <c r="K42" s="2"/>
      <c r="L42" s="2"/>
      <c r="M42" s="2"/>
      <c r="N42" s="2"/>
      <c r="O42" s="2"/>
      <c r="P42" s="2"/>
      <c r="Q42" s="2"/>
      <c r="R42" s="2"/>
      <c r="S42" s="1"/>
      <c r="T42" s="1"/>
      <c r="U42" s="1"/>
      <c r="V42" s="1"/>
      <c r="W42" s="1"/>
    </row>
    <row r="43" spans="2:23" x14ac:dyDescent="0.2">
      <c r="B43" s="7" t="s">
        <v>27</v>
      </c>
      <c r="C43" s="41">
        <f>H33+H39</f>
        <v>-38842778.641000003</v>
      </c>
      <c r="D43" s="41"/>
      <c r="E43" s="41"/>
      <c r="F43" s="41"/>
      <c r="G43" s="41"/>
      <c r="H43" s="41"/>
      <c r="I43" s="2"/>
      <c r="J43" s="2"/>
      <c r="K43" s="2"/>
      <c r="L43" s="2"/>
      <c r="M43" s="2"/>
      <c r="N43" s="2"/>
      <c r="O43" s="2"/>
      <c r="P43" s="2"/>
      <c r="Q43" s="2"/>
      <c r="R43" s="2"/>
      <c r="S43" s="1"/>
      <c r="T43" s="1"/>
      <c r="U43" s="1"/>
      <c r="V43" s="1"/>
      <c r="W43" s="1"/>
    </row>
    <row r="44" spans="2:23" x14ac:dyDescent="0.2">
      <c r="B44" s="7" t="s">
        <v>28</v>
      </c>
      <c r="C44" s="41">
        <f>H34+H40</f>
        <v>-285122332.40007472</v>
      </c>
      <c r="D44" s="41"/>
      <c r="E44" s="41"/>
      <c r="F44" s="41"/>
      <c r="G44" s="41"/>
      <c r="H44" s="41"/>
      <c r="I44" s="2"/>
      <c r="J44" s="2"/>
      <c r="K44" s="2"/>
      <c r="L44" s="2"/>
      <c r="M44" s="2"/>
      <c r="N44" s="2"/>
      <c r="O44" s="2"/>
      <c r="P44" s="2"/>
      <c r="Q44" s="2"/>
      <c r="R44" s="2"/>
      <c r="S44" s="1"/>
      <c r="T44" s="1"/>
      <c r="U44" s="1"/>
      <c r="V44" s="1"/>
      <c r="W44" s="1"/>
    </row>
    <row r="45" spans="2:23" x14ac:dyDescent="0.2">
      <c r="B45" s="7"/>
      <c r="C45" s="41"/>
      <c r="D45" s="41"/>
      <c r="E45" s="41"/>
      <c r="F45" s="41"/>
      <c r="G45" s="41"/>
      <c r="H45" s="41"/>
      <c r="I45" s="2"/>
      <c r="J45" s="2"/>
      <c r="K45" s="2"/>
      <c r="L45" s="2"/>
      <c r="M45" s="2"/>
      <c r="N45" s="2"/>
      <c r="O45" s="2"/>
      <c r="P45" s="2"/>
      <c r="Q45" s="2"/>
      <c r="R45" s="2"/>
      <c r="S45" s="1"/>
      <c r="T45" s="1"/>
      <c r="U45" s="1"/>
      <c r="V45" s="1"/>
      <c r="W45" s="1"/>
    </row>
    <row r="46" spans="2:23" x14ac:dyDescent="0.2">
      <c r="B46" s="7" t="s">
        <v>29</v>
      </c>
      <c r="C46" s="41">
        <f>M11*H9</f>
        <v>511118135.52435851</v>
      </c>
      <c r="D46" s="41"/>
      <c r="E46" s="41"/>
      <c r="F46" s="41"/>
      <c r="G46" s="41"/>
      <c r="H46" s="41"/>
      <c r="I46" s="2"/>
      <c r="J46" s="2"/>
      <c r="K46" s="2"/>
      <c r="L46" s="2"/>
      <c r="M46" s="2"/>
      <c r="N46" s="2"/>
      <c r="O46" s="2"/>
      <c r="P46" s="2"/>
      <c r="Q46" s="2"/>
      <c r="R46" s="2"/>
      <c r="S46" s="1"/>
      <c r="T46" s="1"/>
      <c r="U46" s="1"/>
      <c r="V46" s="1"/>
      <c r="W46" s="1"/>
    </row>
    <row r="47" spans="2:23" x14ac:dyDescent="0.2">
      <c r="B47" s="7" t="s">
        <v>30</v>
      </c>
      <c r="C47" s="41">
        <f>C43+C44</f>
        <v>-323965111.04107475</v>
      </c>
      <c r="D47" s="41"/>
      <c r="E47" s="41"/>
      <c r="F47" s="41"/>
      <c r="G47" s="41"/>
      <c r="H47" s="41"/>
      <c r="I47" s="2"/>
      <c r="J47" s="3" t="s">
        <v>35</v>
      </c>
      <c r="K47" s="50">
        <f>C48/(M31/1000)</f>
        <v>1.4903734024089106</v>
      </c>
      <c r="L47" s="2"/>
      <c r="M47" s="2"/>
      <c r="N47" s="2"/>
      <c r="O47" s="2"/>
      <c r="P47" s="2"/>
      <c r="Q47" s="2"/>
      <c r="R47" s="2"/>
      <c r="S47" s="1"/>
      <c r="T47" s="1"/>
      <c r="U47" s="1"/>
      <c r="V47" s="1"/>
      <c r="W47" s="1"/>
    </row>
    <row r="48" spans="2:23" x14ac:dyDescent="0.2">
      <c r="B48" s="7" t="s">
        <v>31</v>
      </c>
      <c r="C48" s="41">
        <f>C46+C47</f>
        <v>187153024.48328376</v>
      </c>
      <c r="D48" s="41"/>
      <c r="E48" s="41"/>
      <c r="F48" s="41"/>
      <c r="G48" s="41"/>
      <c r="H48" s="41"/>
      <c r="I48" s="2"/>
      <c r="J48" s="2" t="s">
        <v>64</v>
      </c>
      <c r="K48" s="2"/>
      <c r="L48" s="2"/>
      <c r="M48" s="2"/>
      <c r="N48" s="2"/>
      <c r="O48" s="2"/>
      <c r="P48" s="2"/>
      <c r="Q48" s="2"/>
      <c r="R48" s="2"/>
      <c r="S48" s="1"/>
      <c r="T48" s="1"/>
      <c r="U48" s="1"/>
      <c r="V48" s="1"/>
      <c r="W48" s="1"/>
    </row>
    <row r="49" spans="2:23" x14ac:dyDescent="0.2">
      <c r="B49" s="7" t="s">
        <v>32</v>
      </c>
      <c r="C49" s="41"/>
      <c r="D49" s="41">
        <f>-(M31/1000)</f>
        <v>-125574587</v>
      </c>
      <c r="E49" s="41">
        <v>0</v>
      </c>
      <c r="F49" s="41">
        <v>0</v>
      </c>
      <c r="G49" s="41">
        <v>0</v>
      </c>
      <c r="H49" s="41">
        <f>C48</f>
        <v>187153024.48328376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1"/>
      <c r="T49" s="1"/>
      <c r="U49" s="1"/>
      <c r="V49" s="1"/>
      <c r="W49" s="1"/>
    </row>
    <row r="50" spans="2:23" x14ac:dyDescent="0.2">
      <c r="B50" s="8" t="s">
        <v>33</v>
      </c>
      <c r="C50" s="46">
        <f>IRR(D49:H49)</f>
        <v>0.10490203347546956</v>
      </c>
      <c r="D50" s="42"/>
      <c r="E50" s="42"/>
      <c r="F50" s="42"/>
      <c r="G50" s="42"/>
      <c r="H50" s="42"/>
      <c r="I50" s="2"/>
      <c r="J50" s="2"/>
      <c r="K50" s="2"/>
      <c r="L50" s="2"/>
      <c r="M50" s="2"/>
      <c r="N50" s="2"/>
      <c r="O50" s="2"/>
      <c r="P50" s="2"/>
      <c r="Q50" s="2"/>
      <c r="R50" s="2"/>
      <c r="S50" s="1"/>
      <c r="T50" s="1"/>
      <c r="U50" s="1"/>
      <c r="V50" s="1"/>
      <c r="W50" s="1"/>
    </row>
    <row r="51" spans="2:23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1"/>
      <c r="T51" s="1"/>
      <c r="U51" s="1"/>
      <c r="V51" s="1"/>
      <c r="W51" s="1"/>
    </row>
    <row r="52" spans="2:23" x14ac:dyDescent="0.2">
      <c r="B52" s="2"/>
      <c r="C52" s="3" t="s">
        <v>34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1"/>
      <c r="T52" s="1"/>
      <c r="U52" s="1"/>
      <c r="V52" s="1"/>
      <c r="W52" s="1"/>
    </row>
    <row r="53" spans="2:23" x14ac:dyDescent="0.2">
      <c r="B53" s="2"/>
      <c r="C53" s="44">
        <f>C50</f>
        <v>0.10490203347546956</v>
      </c>
      <c r="D53" s="2">
        <v>16.5</v>
      </c>
      <c r="E53" s="2">
        <v>15.5</v>
      </c>
      <c r="F53" s="2">
        <v>15</v>
      </c>
      <c r="G53" s="2">
        <v>14.5</v>
      </c>
      <c r="H53" s="2" t="s">
        <v>66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1"/>
      <c r="T53" s="1"/>
      <c r="U53" s="1"/>
      <c r="V53" s="1"/>
      <c r="W53" s="1"/>
    </row>
    <row r="54" spans="2:23" x14ac:dyDescent="0.2">
      <c r="B54" s="2"/>
      <c r="C54" s="43">
        <v>0.35</v>
      </c>
      <c r="D54" s="45">
        <f t="dataTable" ref="D54:G57" dt2D="1" dtr="1" r1="M11" r2="C17"/>
        <v>0.12877127234694496</v>
      </c>
      <c r="E54" s="45">
        <v>8.1616132030118527E-2</v>
      </c>
      <c r="F54" s="45">
        <v>5.5522220034088132E-2</v>
      </c>
      <c r="G54" s="45">
        <v>2.7335570021364219E-2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1"/>
      <c r="T54" s="1"/>
      <c r="U54" s="1"/>
      <c r="V54" s="1"/>
      <c r="W54" s="1"/>
    </row>
    <row r="55" spans="2:23" x14ac:dyDescent="0.2">
      <c r="B55" s="2"/>
      <c r="C55" s="43">
        <v>0.25</v>
      </c>
      <c r="D55" s="45">
        <v>0.12877127234694496</v>
      </c>
      <c r="E55" s="45">
        <v>8.1616132030118527E-2</v>
      </c>
      <c r="F55" s="45">
        <v>5.5522220034088132E-2</v>
      </c>
      <c r="G55" s="45">
        <v>2.7335570021364219E-2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1"/>
      <c r="T55" s="1"/>
      <c r="U55" s="1"/>
      <c r="V55" s="1"/>
      <c r="W55" s="1"/>
    </row>
    <row r="56" spans="2:23" x14ac:dyDescent="0.2">
      <c r="B56" s="2"/>
      <c r="C56" s="43">
        <v>0.15</v>
      </c>
      <c r="D56" s="45">
        <v>0.12877127234694496</v>
      </c>
      <c r="E56" s="45">
        <v>8.1616132030118527E-2</v>
      </c>
      <c r="F56" s="45">
        <v>5.5522220034088132E-2</v>
      </c>
      <c r="G56" s="45">
        <v>2.7335570021364219E-2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1"/>
      <c r="T56" s="1"/>
      <c r="U56" s="1"/>
      <c r="V56" s="1"/>
      <c r="W56" s="1"/>
    </row>
    <row r="57" spans="2:23" x14ac:dyDescent="0.2">
      <c r="B57" s="2"/>
      <c r="C57" s="43">
        <v>0.05</v>
      </c>
      <c r="D57" s="45">
        <v>0.12877127234694496</v>
      </c>
      <c r="E57" s="45">
        <v>8.1616132030118527E-2</v>
      </c>
      <c r="F57" s="45">
        <v>5.5522220034088132E-2</v>
      </c>
      <c r="G57" s="45">
        <v>2.7335570021364219E-2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1"/>
      <c r="T57" s="1"/>
      <c r="U57" s="1"/>
      <c r="V57" s="1"/>
      <c r="W57" s="1"/>
    </row>
    <row r="58" spans="2:23" x14ac:dyDescent="0.2">
      <c r="B58" s="2"/>
      <c r="C58" s="2" t="s">
        <v>65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/>
      <c r="T58" s="1"/>
      <c r="U58" s="1"/>
      <c r="V58" s="1"/>
      <c r="W58" s="1"/>
    </row>
    <row r="59" spans="2:23" x14ac:dyDescent="0.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1"/>
      <c r="T59" s="1"/>
      <c r="U59" s="1"/>
      <c r="V59" s="1"/>
      <c r="W59" s="1"/>
    </row>
    <row r="60" spans="2:23" x14ac:dyDescent="0.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1"/>
      <c r="T60" s="1"/>
      <c r="U60" s="1"/>
      <c r="V60" s="1"/>
      <c r="W60" s="1"/>
    </row>
    <row r="61" spans="2:23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1"/>
      <c r="T61" s="1"/>
      <c r="U61" s="1"/>
      <c r="V61" s="1"/>
      <c r="W61" s="1"/>
    </row>
    <row r="62" spans="2:23" x14ac:dyDescent="0.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1"/>
      <c r="T62" s="1"/>
      <c r="U62" s="1"/>
      <c r="V62" s="1"/>
      <c r="W62" s="1"/>
    </row>
    <row r="63" spans="2:23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1"/>
      <c r="T63" s="1"/>
      <c r="U63" s="1"/>
      <c r="V63" s="1"/>
      <c r="W63" s="1"/>
    </row>
    <row r="64" spans="2:23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1"/>
      <c r="T64" s="1"/>
      <c r="U64" s="1"/>
      <c r="V64" s="1"/>
      <c r="W64" s="1"/>
    </row>
    <row r="65" spans="2:23" x14ac:dyDescent="0.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1"/>
      <c r="T65" s="1"/>
      <c r="U65" s="1"/>
      <c r="V65" s="1"/>
      <c r="W65" s="1"/>
    </row>
    <row r="66" spans="2:23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1"/>
      <c r="T66" s="1"/>
      <c r="U66" s="1"/>
      <c r="V66" s="1"/>
      <c r="W66" s="1"/>
    </row>
    <row r="67" spans="2:23" x14ac:dyDescent="0.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1"/>
      <c r="T67" s="1"/>
      <c r="U67" s="1"/>
      <c r="V67" s="1"/>
      <c r="W67" s="1"/>
    </row>
    <row r="68" spans="2:23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1"/>
      <c r="T68" s="1"/>
      <c r="U68" s="1"/>
      <c r="V68" s="1"/>
      <c r="W68" s="1"/>
    </row>
    <row r="69" spans="2:23" x14ac:dyDescent="0.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1"/>
      <c r="T69" s="1"/>
      <c r="U69" s="1"/>
      <c r="V69" s="1"/>
      <c r="W69" s="1"/>
    </row>
    <row r="70" spans="2:23" x14ac:dyDescent="0.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1"/>
      <c r="T70" s="1"/>
      <c r="U70" s="1"/>
      <c r="V70" s="1"/>
      <c r="W70" s="1"/>
    </row>
    <row r="71" spans="2:23" x14ac:dyDescent="0.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1"/>
      <c r="T71" s="1"/>
      <c r="U71" s="1"/>
      <c r="V71" s="1"/>
      <c r="W71" s="1"/>
    </row>
    <row r="72" spans="2:23" x14ac:dyDescent="0.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1"/>
      <c r="T72" s="1"/>
      <c r="U72" s="1"/>
      <c r="V72" s="1"/>
      <c r="W72" s="1"/>
    </row>
    <row r="73" spans="2:23" x14ac:dyDescent="0.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1"/>
      <c r="T73" s="1"/>
      <c r="U73" s="1"/>
      <c r="V73" s="1"/>
      <c r="W73" s="1"/>
    </row>
    <row r="74" spans="2:23" x14ac:dyDescent="0.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1"/>
      <c r="T74" s="1"/>
      <c r="U74" s="1"/>
      <c r="V74" s="1"/>
      <c r="W74" s="1"/>
    </row>
    <row r="75" spans="2:23" x14ac:dyDescent="0.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1"/>
      <c r="T75" s="1"/>
      <c r="U75" s="1"/>
      <c r="V75" s="1"/>
      <c r="W75" s="1"/>
    </row>
    <row r="76" spans="2:23" x14ac:dyDescent="0.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1"/>
      <c r="T76" s="1"/>
      <c r="U76" s="1"/>
      <c r="V76" s="1"/>
      <c r="W76" s="1"/>
    </row>
    <row r="77" spans="2:23" x14ac:dyDescent="0.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1"/>
      <c r="T77" s="1"/>
      <c r="U77" s="1"/>
      <c r="V77" s="1"/>
      <c r="W77" s="1"/>
    </row>
    <row r="78" spans="2:23" x14ac:dyDescent="0.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1"/>
      <c r="T78" s="1"/>
      <c r="U78" s="1"/>
      <c r="V78" s="1"/>
      <c r="W78" s="1"/>
    </row>
    <row r="79" spans="2:23" x14ac:dyDescent="0.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1"/>
      <c r="T79" s="1"/>
      <c r="U79" s="1"/>
      <c r="V79" s="1"/>
      <c r="W79" s="1"/>
    </row>
    <row r="80" spans="2:23" x14ac:dyDescent="0.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1"/>
      <c r="T80" s="1"/>
      <c r="U80" s="1"/>
      <c r="V80" s="1"/>
      <c r="W80" s="1"/>
    </row>
    <row r="81" spans="2:23" x14ac:dyDescent="0.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1"/>
      <c r="T81" s="1"/>
      <c r="U81" s="1"/>
      <c r="V81" s="1"/>
      <c r="W81" s="1"/>
    </row>
    <row r="82" spans="2:23" x14ac:dyDescent="0.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1"/>
      <c r="T82" s="1"/>
      <c r="U82" s="1"/>
      <c r="V82" s="1"/>
      <c r="W82" s="1"/>
    </row>
    <row r="83" spans="2:23" x14ac:dyDescent="0.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1"/>
      <c r="T83" s="1"/>
      <c r="U83" s="1"/>
      <c r="V83" s="1"/>
      <c r="W83" s="1"/>
    </row>
    <row r="84" spans="2:23" x14ac:dyDescent="0.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1"/>
      <c r="T84" s="1"/>
      <c r="U84" s="1"/>
      <c r="V84" s="1"/>
      <c r="W84" s="1"/>
    </row>
    <row r="85" spans="2:23" x14ac:dyDescent="0.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1"/>
      <c r="T85" s="1"/>
      <c r="U85" s="1"/>
      <c r="V85" s="1"/>
      <c r="W85" s="1"/>
    </row>
    <row r="86" spans="2:23" x14ac:dyDescent="0.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1"/>
      <c r="T86" s="1"/>
      <c r="U86" s="1"/>
      <c r="V86" s="1"/>
      <c r="W86" s="1"/>
    </row>
    <row r="87" spans="2:23" x14ac:dyDescent="0.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1"/>
      <c r="T87" s="1"/>
      <c r="U87" s="1"/>
      <c r="V87" s="1"/>
      <c r="W87" s="1"/>
    </row>
    <row r="88" spans="2:23" x14ac:dyDescent="0.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1"/>
      <c r="T88" s="1"/>
      <c r="U88" s="1"/>
      <c r="V88" s="1"/>
      <c r="W88" s="1"/>
    </row>
    <row r="89" spans="2:23" x14ac:dyDescent="0.2"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2:23" x14ac:dyDescent="0.2"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2:23" x14ac:dyDescent="0.2"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2:23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2:23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2:23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2:23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2:23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2:23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2:23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2:23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2:23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2:23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2:23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2:23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2:23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2:23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2:23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2:23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2:23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2:23" x14ac:dyDescent="0.2">
      <c r="B109" s="1"/>
      <c r="C109" s="1"/>
      <c r="D109" s="1"/>
      <c r="E109" s="1"/>
      <c r="F109" s="1"/>
      <c r="G109" s="1"/>
      <c r="H109" s="1"/>
    </row>
    <row r="110" spans="2:23" x14ac:dyDescent="0.2">
      <c r="B110" s="1"/>
      <c r="C110" s="1"/>
      <c r="D110" s="1"/>
      <c r="E110" s="1"/>
      <c r="F110" s="1"/>
      <c r="G110" s="1"/>
      <c r="H110" s="1"/>
    </row>
    <row r="111" spans="2:23" x14ac:dyDescent="0.2">
      <c r="B111" s="1"/>
      <c r="C111" s="1"/>
      <c r="D111" s="1"/>
      <c r="E111" s="1"/>
      <c r="F111" s="1"/>
      <c r="G111" s="1"/>
      <c r="H111" s="1"/>
    </row>
  </sheetData>
  <mergeCells count="1">
    <mergeCell ref="D3:H3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Netflix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2019-07-29T16:57:23Z</dcterms:created>
  <dcterms:modified xsi:type="dcterms:W3CDTF">2019-08-08T00:46:20Z</dcterms:modified>
</cp:coreProperties>
</file>