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codeName="ThisWorkbook" defaultThemeVersion="124226"/>
  <xr:revisionPtr revIDLastSave="0" documentId="13_ncr:1_{EE9242AE-EEB4-164F-96A8-8EE40FE49B3A}" xr6:coauthVersionLast="47" xr6:coauthVersionMax="47" xr10:uidLastSave="{00000000-0000-0000-0000-000000000000}"/>
  <bookViews>
    <workbookView xWindow="28280" yWindow="720" windowWidth="33080" windowHeight="257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_1">Sheet1!$C$5</definedName>
    <definedName name="c_2">Sheet1!$C$6</definedName>
    <definedName name="c_3">Sheet1!$C$7</definedName>
    <definedName name="gam_1">Sheet1!$B$5</definedName>
    <definedName name="gam_2">Sheet1!$B$6</definedName>
    <definedName name="gam_3">Sheet1!$B$7</definedName>
    <definedName name="gw">Sheet1!$G$4</definedName>
    <definedName name="phi_1">Sheet1!$D$5</definedName>
    <definedName name="phi_2">Sheet1!$D$6</definedName>
    <definedName name="phi_3">Sheet1!$D$7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17" i="1"/>
  <c r="P14" i="1" l="1"/>
  <c r="P15" i="1"/>
  <c r="P16" i="1"/>
  <c r="P17" i="1"/>
  <c r="P18" i="1"/>
  <c r="P19" i="1"/>
  <c r="P20" i="1"/>
  <c r="P13" i="1"/>
  <c r="P12" i="1"/>
  <c r="P11" i="1"/>
  <c r="P10" i="1"/>
  <c r="N14" i="1"/>
  <c r="N15" i="1"/>
  <c r="N16" i="1"/>
  <c r="N17" i="1"/>
  <c r="N18" i="1"/>
  <c r="N19" i="1"/>
  <c r="N20" i="1"/>
  <c r="N13" i="1"/>
  <c r="N12" i="1"/>
  <c r="N11" i="1"/>
  <c r="N10" i="1"/>
  <c r="L11" i="1"/>
  <c r="L12" i="1"/>
  <c r="M12" i="1" s="1"/>
  <c r="L13" i="1"/>
  <c r="L14" i="1"/>
  <c r="L15" i="1"/>
  <c r="L16" i="1"/>
  <c r="L17" i="1"/>
  <c r="L18" i="1"/>
  <c r="L19" i="1"/>
  <c r="L20" i="1"/>
  <c r="L10" i="1"/>
  <c r="J11" i="1"/>
  <c r="J12" i="1"/>
  <c r="J13" i="1"/>
  <c r="J14" i="1"/>
  <c r="J15" i="1"/>
  <c r="J16" i="1"/>
  <c r="J17" i="1"/>
  <c r="J18" i="1"/>
  <c r="J19" i="1"/>
  <c r="J20" i="1"/>
  <c r="J10" i="1"/>
  <c r="F11" i="1"/>
  <c r="I11" i="1" s="1"/>
  <c r="F12" i="1"/>
  <c r="H12" i="1" s="1"/>
  <c r="F13" i="1"/>
  <c r="I13" i="1" s="1"/>
  <c r="F14" i="1"/>
  <c r="H14" i="1" s="1"/>
  <c r="F15" i="1"/>
  <c r="I15" i="1" s="1"/>
  <c r="F16" i="1"/>
  <c r="H16" i="1" s="1"/>
  <c r="F17" i="1"/>
  <c r="I17" i="1" s="1"/>
  <c r="F18" i="1"/>
  <c r="I18" i="1" s="1"/>
  <c r="F19" i="1"/>
  <c r="I19" i="1" s="1"/>
  <c r="F20" i="1"/>
  <c r="H20" i="1" s="1"/>
  <c r="F10" i="1"/>
  <c r="I10" i="1" s="1"/>
  <c r="H10" i="1"/>
  <c r="M19" i="1" l="1"/>
  <c r="O19" i="1" s="1"/>
  <c r="M20" i="1"/>
  <c r="M11" i="1"/>
  <c r="Q13" i="1"/>
  <c r="Q20" i="1"/>
  <c r="H15" i="1"/>
  <c r="H18" i="1"/>
  <c r="M18" i="1"/>
  <c r="O18" i="1" s="1"/>
  <c r="Q19" i="1"/>
  <c r="Q18" i="1"/>
  <c r="H13" i="1"/>
  <c r="H11" i="1"/>
  <c r="I14" i="1"/>
  <c r="H19" i="1"/>
  <c r="M16" i="1"/>
  <c r="Q17" i="1"/>
  <c r="M15" i="1"/>
  <c r="O15" i="1" s="1"/>
  <c r="Q10" i="1"/>
  <c r="Q16" i="1"/>
  <c r="I16" i="1"/>
  <c r="Q15" i="1"/>
  <c r="I12" i="1"/>
  <c r="O11" i="1"/>
  <c r="M17" i="1"/>
  <c r="O17" i="1" s="1"/>
  <c r="M14" i="1"/>
  <c r="Q11" i="1"/>
  <c r="I20" i="1"/>
  <c r="O20" i="1" s="1"/>
  <c r="M10" i="1"/>
  <c r="O10" i="1" s="1"/>
  <c r="M13" i="1"/>
  <c r="O13" i="1" s="1"/>
  <c r="Q12" i="1"/>
  <c r="Q14" i="1"/>
  <c r="O12" i="1"/>
  <c r="H17" i="1"/>
  <c r="Q21" i="1" l="1"/>
  <c r="O14" i="1"/>
  <c r="H21" i="1"/>
  <c r="O16" i="1"/>
  <c r="O21" i="1" l="1"/>
  <c r="O24" i="1" s="1"/>
</calcChain>
</file>

<file path=xl/sharedStrings.xml><?xml version="1.0" encoding="utf-8"?>
<sst xmlns="http://schemas.openxmlformats.org/spreadsheetml/2006/main" count="28" uniqueCount="28">
  <si>
    <t>Ordinary Method of Slices</t>
  </si>
  <si>
    <t>Slice #</t>
  </si>
  <si>
    <t>h1</t>
  </si>
  <si>
    <t>h2</t>
  </si>
  <si>
    <t>h3</t>
  </si>
  <si>
    <t>W</t>
  </si>
  <si>
    <t>a</t>
  </si>
  <si>
    <t>hw</t>
  </si>
  <si>
    <t>u</t>
  </si>
  <si>
    <t>c'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</si>
  <si>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x</t>
    </r>
  </si>
  <si>
    <r>
      <t>Wsin</t>
    </r>
    <r>
      <rPr>
        <b/>
        <sz val="11"/>
        <color indexed="8"/>
        <rFont val="Symbol"/>
        <family val="1"/>
        <charset val="2"/>
      </rPr>
      <t>a</t>
    </r>
  </si>
  <si>
    <r>
      <t>Wcos</t>
    </r>
    <r>
      <rPr>
        <b/>
        <sz val="11"/>
        <color indexed="8"/>
        <rFont val="Symbol"/>
        <family val="1"/>
        <charset val="2"/>
      </rPr>
      <t>a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</si>
  <si>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</si>
  <si>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r>
      <t>u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lcos^2</t>
    </r>
    <r>
      <rPr>
        <b/>
        <sz val="11"/>
        <color indexed="8"/>
        <rFont val="Symbol"/>
        <family val="1"/>
        <charset val="2"/>
      </rPr>
      <t>a</t>
    </r>
  </si>
  <si>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</si>
  <si>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r>
      <t>c'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</si>
  <si>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t>Soil</t>
  </si>
  <si>
    <t>g</t>
  </si>
  <si>
    <t>c</t>
  </si>
  <si>
    <t>f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</si>
  <si>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</si>
  <si>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r>
      <t>(Wcos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-u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lcos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)tan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</si>
  <si>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t xml:space="preserve">F = </t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</si>
  <si>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</si>
  <si>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sz val="11"/>
        <color theme="1"/>
        <rFont val="Calibri"/>
        <family val="2"/>
        <scheme val="minor"/>
      </rPr>
      <t xml:space="preserve">d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</si>
  <si>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=  </t>
    </r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</si>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</sst>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8" fillId="0" borderId="0" xfId="0" applyFont="1"/>
    <xf numFmtId="0" fontId="0" fillId="0" borderId="0" xfId="0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37</xdr:row>
          <xdr:rowOff>38100</xdr:rowOff>
        </xdr:from>
        <xdr:to>
          <xdr:col>11</xdr:col>
          <xdr:colOff>393700</xdr:colOff>
          <xdr:row>50</xdr:row>
          <xdr:rowOff>76200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22</xdr:row>
          <xdr:rowOff>177800</xdr:rowOff>
        </xdr:from>
        <xdr:to>
          <xdr:col>11</xdr:col>
          <xdr:colOff>393700</xdr:colOff>
          <xdr:row>35</xdr:row>
          <xdr:rowOff>139700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38099</xdr:colOff>
      <xdr:row>25</xdr:row>
      <xdr:rowOff>76199</xdr:rowOff>
    </xdr:from>
    <xdr:to>
      <xdr:col>17</xdr:col>
      <xdr:colOff>437101</xdr:colOff>
      <xdr:row>28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7400924" y="5238749"/>
              <a:ext cx="3989927" cy="6762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c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𝓁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+(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Wcosα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uΔ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𝓁</m:t>
                                </m:r>
                                <m:sSup>
                                  <m:sSupPr>
                                    <m:ctrlPr>
                                      <a:rPr lang="en-US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600" i="0">
                                        <a:latin typeface="Cambria Math" panose="02040503050406030204" pitchFamily="18" charset="0"/>
                                      </a:rPr>
                                      <m:t>cos</m:t>
                                    </m:r>
                                  </m:e>
                                  <m:sup>
                                    <m:r>
                                      <a:rPr lang="en-US" sz="16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tan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16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ϕ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e>
                            </m:d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sz="1600" i="0">
                                <a:latin typeface="Cambria Math" panose="02040503050406030204" pitchFamily="18" charset="0"/>
                              </a:rPr>
                              <m:t>Wsinα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6" name="Rectangle 5"/>
            <xdr:cNvSpPr/>
          </xdr:nvSpPr>
          <xdr:spPr>
            <a:xfrm>
              <a:off x="7400924" y="5238749"/>
              <a:ext cx="3989927" cy="6762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i="0">
                  <a:latin typeface="Cambria Math" panose="02040503050406030204" pitchFamily="18" charset="0"/>
                </a:rPr>
                <a:t>F=(∑128▒[c′Δ𝓁+(Wcosα−uΔ𝓁cos^2 α)tan</a:t>
              </a:r>
              <a:r>
                <a:rPr lang="el-G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ϕ</a:t>
              </a:r>
              <a:r>
                <a:rPr lang="en-US" sz="1600" i="0">
                  <a:latin typeface="Cambria Math" panose="02040503050406030204" pitchFamily="18" charset="0"/>
                </a:rPr>
                <a:t>′] )/(∑128▒Wsinα)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12</xdr:col>
      <xdr:colOff>38099</xdr:colOff>
      <xdr:row>30</xdr:row>
      <xdr:rowOff>0</xdr:rowOff>
    </xdr:from>
    <xdr:to>
      <xdr:col>14</xdr:col>
      <xdr:colOff>531532</xdr:colOff>
      <xdr:row>33</xdr:row>
      <xdr:rowOff>38475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7400924" y="6115050"/>
              <a:ext cx="1855508" cy="6099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sub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  <m:r>
                          <a:rPr lang="en-US" sz="1600" i="0">
                            <a:latin typeface="Cambria Math" panose="02040503050406030204" pitchFamily="18" charset="0"/>
                          </a:rPr>
                          <m:t>+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sub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d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" name="Rectangle 6"/>
            <xdr:cNvSpPr/>
          </xdr:nvSpPr>
          <xdr:spPr>
            <a:xfrm>
              <a:off x="7400924" y="6115050"/>
              <a:ext cx="1855508" cy="6099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i="0">
                  <a:latin typeface="Cambria Math" panose="02040503050406030204" pitchFamily="18" charset="0"/>
                </a:rPr>
                <a:t>F=(∑128▒n_1 +∑128▒n_2 )/(∑128▒n_d )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Visio_2003-2010_Drawing1.vsd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4"/>
  <sheetViews>
    <sheetView showGridLines="0" tabSelected="1" zoomScale="124" zoomScaleNormal="124" workbookViewId="0">
      <selection activeCell="A2" sqref="A2"/>
    </sheetView>
  </sheetViews>
  <sheetFormatPr baseColWidth="10" defaultColWidth="8.83203125" defaultRowHeight="15" x14ac:dyDescent="0.2"/>
  <cols>
    <col min="2" max="7" width="9.1640625" style="2"/>
    <col min="8" max="8" width="9.83203125" style="2" customWidth="1"/>
    <col min="9" max="12" width="9.1640625" style="2"/>
    <col min="13" max="13" width="11.33203125" style="2" customWidth="1"/>
    <col min="14" max="14" width="9.1640625" style="2"/>
    <col min="15" max="15" width="15.1640625" style="2" customWidth="1"/>
    <col min="16" max="17" width="9.1640625" style="2"/>
  </cols>
  <sheetData>
    <row r="1" spans="1:17" ht="26" x14ac:dyDescent="0.3">
      <c r="A1" s="1" t="s">
        <v>0</v>
      </c>
    </row>
    <row r="2" spans="1:17" x14ac:dyDescent="0.2">
      <c r="A2" t="s">
        <v>27</v>
      </c>
    </row>
    <row r="4" spans="1:17" x14ac:dyDescent="0.2">
      <c r="A4" s="9" t="s">
        <v>17</v>
      </c>
      <c r="B4" s="10" t="s">
        <v>18</v>
      </c>
      <c r="C4" s="9" t="s">
        <v>19</v>
      </c>
      <c r="D4" s="10" t="s">
        <v>20</v>
      </c>
      <c r="F4" s="11" t="s">
        <v>21</v>
      </c>
      <c r="G4" s="2">
        <v>62.4</v>
      </c>
    </row>
    <row r="5" spans="1:17" x14ac:dyDescent="0.2">
      <c r="A5" s="2">
        <v>1</v>
      </c>
      <c r="B5" s="2">
        <v>130</v>
      </c>
      <c r="C5" s="2">
        <v>200</v>
      </c>
      <c r="D5" s="2">
        <v>28</v>
      </c>
    </row>
    <row r="6" spans="1:17" x14ac:dyDescent="0.2">
      <c r="A6" s="2">
        <v>2</v>
      </c>
      <c r="B6" s="2">
        <v>120</v>
      </c>
      <c r="C6" s="2">
        <v>100</v>
      </c>
      <c r="D6" s="2">
        <v>32</v>
      </c>
    </row>
    <row r="7" spans="1:17" x14ac:dyDescent="0.2">
      <c r="A7" s="2">
        <v>3</v>
      </c>
      <c r="B7" s="2">
        <v>132</v>
      </c>
      <c r="C7" s="2">
        <v>400</v>
      </c>
      <c r="D7" s="2">
        <v>27</v>
      </c>
    </row>
    <row r="9" spans="1:17" ht="34" x14ac:dyDescent="0.2">
      <c r="A9" s="3" t="s">
        <v>1</v>
      </c>
      <c r="B9" s="4" t="s">
        <v>10</v>
      </c>
      <c r="C9" s="4" t="s">
        <v>2</v>
      </c>
      <c r="D9" s="4" t="s">
        <v>3</v>
      </c>
      <c r="E9" s="4" t="s">
        <v>4</v>
      </c>
      <c r="F9" s="4" t="s">
        <v>5</v>
      </c>
      <c r="G9" s="5" t="s">
        <v>6</v>
      </c>
      <c r="H9" s="4" t="s">
        <v>11</v>
      </c>
      <c r="I9" s="4" t="s">
        <v>12</v>
      </c>
      <c r="J9" s="4" t="s">
        <v>13</v>
      </c>
      <c r="K9" s="4" t="s">
        <v>7</v>
      </c>
      <c r="L9" s="4" t="s">
        <v>8</v>
      </c>
      <c r="M9" s="4" t="s">
        <v>14</v>
      </c>
      <c r="N9" s="4" t="s">
        <v>15</v>
      </c>
      <c r="O9" s="6" t="s">
        <v>22</v>
      </c>
      <c r="P9" s="4" t="s">
        <v>9</v>
      </c>
      <c r="Q9" s="4" t="s">
        <v>16</v>
      </c>
    </row>
    <row r="10" spans="1:17" x14ac:dyDescent="0.2">
      <c r="A10" s="7">
        <v>1</v>
      </c>
      <c r="B10" s="7">
        <v>10.9</v>
      </c>
      <c r="C10" s="7">
        <v>10.8</v>
      </c>
      <c r="D10" s="7"/>
      <c r="E10" s="7"/>
      <c r="F10" s="12">
        <f t="shared" ref="F10:F20" si="0">B10*(gam_1*C10+gam_2*D10+gam_3*E10)</f>
        <v>15303.6</v>
      </c>
      <c r="G10" s="7">
        <v>60</v>
      </c>
      <c r="H10" s="12">
        <f>F10*SIN(RADIANS(G10))</f>
        <v>13253.306369355534</v>
      </c>
      <c r="I10" s="12">
        <f>F10*COS(RADIANS(G10))</f>
        <v>7651.800000000002</v>
      </c>
      <c r="J10" s="12">
        <f>B10/COS(RADIANS(G10))</f>
        <v>21.799999999999997</v>
      </c>
      <c r="K10" s="7">
        <v>2.2999999999999998</v>
      </c>
      <c r="L10" s="12">
        <f t="shared" ref="L10:L20" si="1">K10*gw</f>
        <v>143.51999999999998</v>
      </c>
      <c r="M10" s="12">
        <f>L10*J10*COS(RADIANS(G10))^2</f>
        <v>782.1840000000002</v>
      </c>
      <c r="N10" s="7">
        <f>phi_1</f>
        <v>28</v>
      </c>
      <c r="O10" s="12">
        <f>(I10-M10)*TAN(RADIANS(N10))</f>
        <v>3652.6396190926021</v>
      </c>
      <c r="P10" s="7">
        <f>c_1</f>
        <v>200</v>
      </c>
      <c r="Q10" s="12">
        <f>P10*J10</f>
        <v>4359.9999999999991</v>
      </c>
    </row>
    <row r="11" spans="1:17" x14ac:dyDescent="0.2">
      <c r="A11" s="7">
        <v>2</v>
      </c>
      <c r="B11" s="7">
        <v>10.4</v>
      </c>
      <c r="C11" s="7">
        <v>20</v>
      </c>
      <c r="D11" s="7">
        <v>6.7</v>
      </c>
      <c r="E11" s="7"/>
      <c r="F11" s="12">
        <f t="shared" si="0"/>
        <v>35401.599999999999</v>
      </c>
      <c r="G11" s="7">
        <v>47</v>
      </c>
      <c r="H11" s="12">
        <f t="shared" ref="H11:H20" si="2">F11*SIN(RADIANS(G11))</f>
        <v>25891.091203241223</v>
      </c>
      <c r="I11" s="12">
        <f t="shared" ref="I11:I20" si="3">F11*COS(RADIANS(G11))</f>
        <v>24143.833143588545</v>
      </c>
      <c r="J11" s="12">
        <f t="shared" ref="J11:J20" si="4">B11/COS(RADIANS(G11))</f>
        <v>15.249303530652099</v>
      </c>
      <c r="K11" s="7">
        <v>16.100000000000001</v>
      </c>
      <c r="L11" s="12">
        <f t="shared" si="1"/>
        <v>1004.6400000000001</v>
      </c>
      <c r="M11" s="12">
        <f t="shared" ref="M11:M20" si="5">L11*J11*COS(RADIANS(G11))^2</f>
        <v>7125.69345751316</v>
      </c>
      <c r="N11" s="7">
        <f>phi_2</f>
        <v>32</v>
      </c>
      <c r="O11" s="12">
        <f t="shared" ref="O11:O20" si="6">(I11-M11)*TAN(RADIANS(N11))</f>
        <v>10634.113916340331</v>
      </c>
      <c r="P11" s="7">
        <f>c_2</f>
        <v>100</v>
      </c>
      <c r="Q11" s="12">
        <f t="shared" ref="Q11:Q20" si="7">P11*J11</f>
        <v>1524.9303530652101</v>
      </c>
    </row>
    <row r="12" spans="1:17" x14ac:dyDescent="0.2">
      <c r="A12" s="7">
        <v>3</v>
      </c>
      <c r="B12" s="7">
        <v>12</v>
      </c>
      <c r="C12" s="7">
        <v>20</v>
      </c>
      <c r="D12" s="7">
        <v>18.2</v>
      </c>
      <c r="E12" s="7"/>
      <c r="F12" s="12">
        <f t="shared" si="0"/>
        <v>57408</v>
      </c>
      <c r="G12" s="7">
        <v>41</v>
      </c>
      <c r="H12" s="12">
        <f t="shared" si="2"/>
        <v>37663.036736287038</v>
      </c>
      <c r="I12" s="12">
        <f t="shared" si="3"/>
        <v>43326.367581428894</v>
      </c>
      <c r="J12" s="12">
        <f t="shared" si="4"/>
        <v>15.900155920185735</v>
      </c>
      <c r="K12" s="7">
        <v>26.1</v>
      </c>
      <c r="L12" s="12">
        <f t="shared" si="1"/>
        <v>1628.64</v>
      </c>
      <c r="M12" s="12">
        <f t="shared" si="5"/>
        <v>14749.802528808186</v>
      </c>
      <c r="N12" s="7">
        <f>phi_2</f>
        <v>32</v>
      </c>
      <c r="O12" s="12">
        <f t="shared" si="6"/>
        <v>17856.61968422584</v>
      </c>
      <c r="P12" s="7">
        <f>c_2</f>
        <v>100</v>
      </c>
      <c r="Q12" s="12">
        <f t="shared" si="7"/>
        <v>1590.0155920185734</v>
      </c>
    </row>
    <row r="13" spans="1:17" x14ac:dyDescent="0.2">
      <c r="A13" s="7">
        <v>4</v>
      </c>
      <c r="B13" s="7">
        <v>15.8</v>
      </c>
      <c r="C13" s="7">
        <v>20</v>
      </c>
      <c r="D13" s="7">
        <v>24</v>
      </c>
      <c r="E13" s="7">
        <v>5.6</v>
      </c>
      <c r="F13" s="12">
        <f t="shared" si="0"/>
        <v>98263.360000000001</v>
      </c>
      <c r="G13" s="7">
        <v>32</v>
      </c>
      <c r="H13" s="12">
        <f t="shared" si="2"/>
        <v>52071.647432282538</v>
      </c>
      <c r="I13" s="12">
        <f t="shared" si="3"/>
        <v>83332.0553699335</v>
      </c>
      <c r="J13" s="12">
        <f t="shared" si="4"/>
        <v>18.631018773121124</v>
      </c>
      <c r="K13" s="7">
        <v>34.700000000000003</v>
      </c>
      <c r="L13" s="12">
        <f t="shared" si="1"/>
        <v>2165.2800000000002</v>
      </c>
      <c r="M13" s="12">
        <f t="shared" si="5"/>
        <v>29012.932990000263</v>
      </c>
      <c r="N13" s="7">
        <f t="shared" ref="N13:N20" si="8">phi_3</f>
        <v>27</v>
      </c>
      <c r="O13" s="12">
        <f t="shared" si="6"/>
        <v>27676.975246778369</v>
      </c>
      <c r="P13" s="7">
        <f t="shared" ref="P13:P20" si="9">c_3</f>
        <v>400</v>
      </c>
      <c r="Q13" s="12">
        <f t="shared" si="7"/>
        <v>7452.4075092484491</v>
      </c>
    </row>
    <row r="14" spans="1:17" x14ac:dyDescent="0.2">
      <c r="A14" s="7">
        <v>5</v>
      </c>
      <c r="B14" s="7">
        <v>12.4</v>
      </c>
      <c r="C14" s="7">
        <v>15.4</v>
      </c>
      <c r="D14" s="7">
        <v>24</v>
      </c>
      <c r="E14" s="7">
        <v>12.7</v>
      </c>
      <c r="F14" s="12">
        <f t="shared" si="0"/>
        <v>81324.160000000003</v>
      </c>
      <c r="G14" s="7">
        <v>22</v>
      </c>
      <c r="H14" s="12">
        <f t="shared" si="2"/>
        <v>30464.566540010575</v>
      </c>
      <c r="I14" s="12">
        <f t="shared" si="3"/>
        <v>75402.448138206149</v>
      </c>
      <c r="J14" s="12">
        <f t="shared" si="4"/>
        <v>13.373830809202035</v>
      </c>
      <c r="K14" s="7">
        <v>38.4</v>
      </c>
      <c r="L14" s="12">
        <f t="shared" si="1"/>
        <v>2396.16</v>
      </c>
      <c r="M14" s="12">
        <f t="shared" si="5"/>
        <v>27548.842725488543</v>
      </c>
      <c r="N14" s="7">
        <f t="shared" si="8"/>
        <v>27</v>
      </c>
      <c r="O14" s="12">
        <f t="shared" si="6"/>
        <v>24382.629807843969</v>
      </c>
      <c r="P14" s="7">
        <f t="shared" si="9"/>
        <v>400</v>
      </c>
      <c r="Q14" s="12">
        <f t="shared" si="7"/>
        <v>5349.5323236808144</v>
      </c>
    </row>
    <row r="15" spans="1:17" x14ac:dyDescent="0.2">
      <c r="A15" s="7">
        <v>6</v>
      </c>
      <c r="B15" s="7">
        <v>12.8</v>
      </c>
      <c r="C15" s="7">
        <v>5.5</v>
      </c>
      <c r="D15" s="7">
        <v>24</v>
      </c>
      <c r="E15" s="7">
        <v>17.5</v>
      </c>
      <c r="F15" s="12">
        <f t="shared" si="0"/>
        <v>75584</v>
      </c>
      <c r="G15" s="7">
        <v>17</v>
      </c>
      <c r="H15" s="12">
        <f t="shared" si="2"/>
        <v>22098.622929763336</v>
      </c>
      <c r="I15" s="12">
        <f t="shared" si="3"/>
        <v>72281.338674710074</v>
      </c>
      <c r="J15" s="12">
        <f t="shared" si="4"/>
        <v>13.384854483035497</v>
      </c>
      <c r="K15" s="7">
        <v>39.1</v>
      </c>
      <c r="L15" s="12">
        <f t="shared" si="1"/>
        <v>2439.84</v>
      </c>
      <c r="M15" s="12">
        <f t="shared" si="5"/>
        <v>29865.351626097319</v>
      </c>
      <c r="N15" s="7">
        <f t="shared" si="8"/>
        <v>27</v>
      </c>
      <c r="O15" s="12">
        <f t="shared" si="6"/>
        <v>21612.024866694283</v>
      </c>
      <c r="P15" s="7">
        <f t="shared" si="9"/>
        <v>400</v>
      </c>
      <c r="Q15" s="12">
        <f t="shared" si="7"/>
        <v>5353.9417932141987</v>
      </c>
    </row>
    <row r="16" spans="1:17" x14ac:dyDescent="0.2">
      <c r="A16" s="7">
        <v>7</v>
      </c>
      <c r="B16" s="7">
        <v>14.3</v>
      </c>
      <c r="C16" s="7"/>
      <c r="D16" s="7">
        <v>17.8</v>
      </c>
      <c r="E16" s="7">
        <v>20.5</v>
      </c>
      <c r="F16" s="12">
        <f t="shared" si="0"/>
        <v>69240.600000000006</v>
      </c>
      <c r="G16" s="7">
        <v>8</v>
      </c>
      <c r="H16" s="12">
        <f t="shared" si="2"/>
        <v>9636.4290143355083</v>
      </c>
      <c r="I16" s="12">
        <f t="shared" si="3"/>
        <v>68566.755240507584</v>
      </c>
      <c r="J16" s="12">
        <f t="shared" si="4"/>
        <v>14.44053428701624</v>
      </c>
      <c r="K16" s="7">
        <v>36.4</v>
      </c>
      <c r="L16" s="12">
        <f t="shared" si="1"/>
        <v>2271.3599999999997</v>
      </c>
      <c r="M16" s="12">
        <f t="shared" si="5"/>
        <v>32164.350512820998</v>
      </c>
      <c r="N16" s="7">
        <f t="shared" si="8"/>
        <v>27</v>
      </c>
      <c r="O16" s="12">
        <f t="shared" si="6"/>
        <v>18547.951631552631</v>
      </c>
      <c r="P16" s="7">
        <f t="shared" si="9"/>
        <v>400</v>
      </c>
      <c r="Q16" s="12">
        <f t="shared" si="7"/>
        <v>5776.2137148064958</v>
      </c>
    </row>
    <row r="17" spans="1:17" x14ac:dyDescent="0.2">
      <c r="A17" s="7">
        <v>8</v>
      </c>
      <c r="B17" s="7">
        <v>15.1</v>
      </c>
      <c r="C17" s="7"/>
      <c r="D17" s="7">
        <v>6.9</v>
      </c>
      <c r="E17" s="7">
        <v>21.9</v>
      </c>
      <c r="F17" s="12">
        <f t="shared" si="0"/>
        <v>56153.88</v>
      </c>
      <c r="G17" s="7">
        <v>0</v>
      </c>
      <c r="H17" s="12">
        <f t="shared" si="2"/>
        <v>0</v>
      </c>
      <c r="I17" s="12">
        <f t="shared" si="3"/>
        <v>56153.88</v>
      </c>
      <c r="J17" s="12">
        <f t="shared" si="4"/>
        <v>15.1</v>
      </c>
      <c r="K17" s="7">
        <f>SUM(D17:E17)</f>
        <v>28.799999999999997</v>
      </c>
      <c r="L17" s="12">
        <f t="shared" si="1"/>
        <v>1797.12</v>
      </c>
      <c r="M17" s="12">
        <f t="shared" si="5"/>
        <v>27136.511999999999</v>
      </c>
      <c r="N17" s="7">
        <f t="shared" si="8"/>
        <v>27</v>
      </c>
      <c r="O17" s="12">
        <f t="shared" si="6"/>
        <v>14785.087473345253</v>
      </c>
      <c r="P17" s="7">
        <f t="shared" si="9"/>
        <v>400</v>
      </c>
      <c r="Q17" s="12">
        <f t="shared" si="7"/>
        <v>6040</v>
      </c>
    </row>
    <row r="18" spans="1:17" x14ac:dyDescent="0.2">
      <c r="A18" s="7">
        <v>9</v>
      </c>
      <c r="B18" s="7">
        <v>17.100000000000001</v>
      </c>
      <c r="C18" s="7"/>
      <c r="D18" s="7"/>
      <c r="E18" s="7">
        <v>20.7</v>
      </c>
      <c r="F18" s="12">
        <f t="shared" si="0"/>
        <v>46724.040000000008</v>
      </c>
      <c r="G18" s="7">
        <v>-8</v>
      </c>
      <c r="H18" s="12">
        <f t="shared" si="2"/>
        <v>-6502.7295361821371</v>
      </c>
      <c r="I18" s="12">
        <f t="shared" si="3"/>
        <v>46269.324854603889</v>
      </c>
      <c r="J18" s="12">
        <f t="shared" si="4"/>
        <v>17.26805149006837</v>
      </c>
      <c r="K18" s="7">
        <f t="shared" ref="K18:K20" si="10">SUM(D18:E18)</f>
        <v>20.7</v>
      </c>
      <c r="L18" s="12">
        <f t="shared" si="1"/>
        <v>1291.6799999999998</v>
      </c>
      <c r="M18" s="12">
        <f t="shared" si="5"/>
        <v>21872.771749449108</v>
      </c>
      <c r="N18" s="7">
        <f t="shared" si="8"/>
        <v>27</v>
      </c>
      <c r="O18" s="12">
        <f t="shared" si="6"/>
        <v>12430.664687018692</v>
      </c>
      <c r="P18" s="7">
        <f t="shared" si="9"/>
        <v>400</v>
      </c>
      <c r="Q18" s="12">
        <f t="shared" si="7"/>
        <v>6907.2205960273477</v>
      </c>
    </row>
    <row r="19" spans="1:17" x14ac:dyDescent="0.2">
      <c r="A19" s="7">
        <v>10</v>
      </c>
      <c r="B19" s="7">
        <v>16.100000000000001</v>
      </c>
      <c r="C19" s="7"/>
      <c r="D19" s="7"/>
      <c r="E19" s="7">
        <v>17.100000000000001</v>
      </c>
      <c r="F19" s="12">
        <f t="shared" si="0"/>
        <v>36340.920000000006</v>
      </c>
      <c r="G19" s="7">
        <v>-17</v>
      </c>
      <c r="H19" s="12">
        <f t="shared" si="2"/>
        <v>-10625.0567315926</v>
      </c>
      <c r="I19" s="12">
        <f t="shared" si="3"/>
        <v>34752.994632072201</v>
      </c>
      <c r="J19" s="12">
        <f t="shared" si="4"/>
        <v>16.835637279443084</v>
      </c>
      <c r="K19" s="7">
        <f t="shared" si="10"/>
        <v>17.100000000000001</v>
      </c>
      <c r="L19" s="12">
        <f t="shared" si="1"/>
        <v>1067.04</v>
      </c>
      <c r="M19" s="12">
        <f t="shared" si="5"/>
        <v>16428.688371525037</v>
      </c>
      <c r="N19" s="7">
        <f t="shared" si="8"/>
        <v>27</v>
      </c>
      <c r="O19" s="12">
        <f t="shared" si="6"/>
        <v>9336.7003840788693</v>
      </c>
      <c r="P19" s="7">
        <f t="shared" si="9"/>
        <v>400</v>
      </c>
      <c r="Q19" s="12">
        <f t="shared" si="7"/>
        <v>6734.2549117772332</v>
      </c>
    </row>
    <row r="20" spans="1:17" x14ac:dyDescent="0.2">
      <c r="A20" s="7">
        <v>11</v>
      </c>
      <c r="B20" s="7">
        <v>24.3</v>
      </c>
      <c r="C20" s="7"/>
      <c r="D20" s="7"/>
      <c r="E20" s="7">
        <v>9.5</v>
      </c>
      <c r="F20" s="12">
        <f t="shared" si="0"/>
        <v>30472.2</v>
      </c>
      <c r="G20" s="7">
        <v>-30</v>
      </c>
      <c r="H20" s="12">
        <f t="shared" si="2"/>
        <v>-15236.099999999999</v>
      </c>
      <c r="I20" s="12">
        <f t="shared" si="3"/>
        <v>26389.699309200172</v>
      </c>
      <c r="J20" s="12">
        <f t="shared" si="4"/>
        <v>28.059223082615812</v>
      </c>
      <c r="K20" s="7">
        <f t="shared" si="10"/>
        <v>9.5</v>
      </c>
      <c r="L20" s="12">
        <f t="shared" si="1"/>
        <v>592.79999999999995</v>
      </c>
      <c r="M20" s="12">
        <f t="shared" si="5"/>
        <v>12475.130582530992</v>
      </c>
      <c r="N20" s="7">
        <f t="shared" si="8"/>
        <v>27</v>
      </c>
      <c r="O20" s="12">
        <f t="shared" si="6"/>
        <v>7089.8268849772357</v>
      </c>
      <c r="P20" s="7">
        <f t="shared" si="9"/>
        <v>400</v>
      </c>
      <c r="Q20" s="12">
        <f t="shared" si="7"/>
        <v>11223.689233046325</v>
      </c>
    </row>
    <row r="21" spans="1:17" ht="17" x14ac:dyDescent="0.25">
      <c r="A21" s="2"/>
      <c r="G21" s="8" t="s">
        <v>25</v>
      </c>
      <c r="H21" s="12">
        <f>SUM(H10:H20)</f>
        <v>158714.813957501</v>
      </c>
      <c r="N21" s="14" t="s">
        <v>24</v>
      </c>
      <c r="O21" s="12">
        <f>SUM(O10:O20)</f>
        <v>168005.23420194807</v>
      </c>
      <c r="P21" s="14" t="s">
        <v>26</v>
      </c>
      <c r="Q21" s="12">
        <f>SUM(Q10:Q20)</f>
        <v>62312.206026884647</v>
      </c>
    </row>
    <row r="22" spans="1:17" x14ac:dyDescent="0.2">
      <c r="A22" s="2"/>
    </row>
    <row r="23" spans="1:17" x14ac:dyDescent="0.2">
      <c r="A23" s="2"/>
    </row>
    <row r="24" spans="1:17" x14ac:dyDescent="0.2">
      <c r="A24" s="2"/>
      <c r="N24" s="11" t="s">
        <v>23</v>
      </c>
      <c r="O24" s="13">
        <f>(O21+Q21)/H21</f>
        <v>1.4511401581613215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8" r:id="rId4">
          <objectPr defaultSize="0" r:id="rId5">
            <anchor moveWithCells="1">
              <from>
                <xdr:col>1</xdr:col>
                <xdr:colOff>63500</xdr:colOff>
                <xdr:row>37</xdr:row>
                <xdr:rowOff>38100</xdr:rowOff>
              </from>
              <to>
                <xdr:col>11</xdr:col>
                <xdr:colOff>393700</xdr:colOff>
                <xdr:row>50</xdr:row>
                <xdr:rowOff>76200</xdr:rowOff>
              </to>
            </anchor>
          </objectPr>
        </oleObject>
      </mc:Choice>
      <mc:Fallback>
        <oleObject progId="Visio.Drawing.11" shapeId="1028" r:id="rId4"/>
      </mc:Fallback>
    </mc:AlternateContent>
    <mc:AlternateContent xmlns:mc="http://schemas.openxmlformats.org/markup-compatibility/2006">
      <mc:Choice Requires="x14">
        <oleObject progId="Visio.Drawing.11" shapeId="1035" r:id="rId6">
          <objectPr defaultSize="0" r:id="rId7">
            <anchor moveWithCells="1">
              <from>
                <xdr:col>0</xdr:col>
                <xdr:colOff>495300</xdr:colOff>
                <xdr:row>22</xdr:row>
                <xdr:rowOff>177800</xdr:rowOff>
              </from>
              <to>
                <xdr:col>11</xdr:col>
                <xdr:colOff>393700</xdr:colOff>
                <xdr:row>35</xdr:row>
                <xdr:rowOff>139700</xdr:rowOff>
              </to>
            </anchor>
          </objectPr>
        </oleObject>
      </mc:Choice>
      <mc:Fallback>
        <oleObject progId="Visio.Drawing.11" shapeId="1035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c_1</vt:lpstr>
      <vt:lpstr>c_2</vt:lpstr>
      <vt:lpstr>c_3</vt:lpstr>
      <vt:lpstr>gam_1</vt:lpstr>
      <vt:lpstr>gam_2</vt:lpstr>
      <vt:lpstr>gam_3</vt:lpstr>
      <vt:lpstr>gw</vt:lpstr>
      <vt:lpstr>phi_1</vt:lpstr>
      <vt:lpstr>phi_2</vt:lpstr>
      <vt:lpstr>phi_3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2024-12-04T17:39:09Z</dcterms:modified>
</cp:coreProperties>
</file>