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164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tr">
        <f>IFERROR(__xludf.DUMMYFUNCTION("IMPORTHTML(""https://www.espn.com/mens-college-basketball/bpi?region=us&amp;limit=400"", ""table"", 1, COLUMNS(IMPORTHTML(""https://www.espn.com/mens-college-basketball/bpi?region=us&amp;limit=400"", ""table"", 1)))"),"")</f>
        <v/>
      </c>
      <c r="B2" s="1"/>
      <c r="C2" s="1" t="str">
        <f>IFERROR(__xludf.DUMMYFUNCTION("IMPORTHTML(""https://www.espn.com/mens-college-basketball/bpi?region=us&amp;limit=400"", ""table"", 0, COLUMNS(IMPORTHTML(""https://www.espn.com/mens-college-basketball/bpi?region=us&amp;limit=400"", ""table"", 0)))"),"")</f>
        <v/>
      </c>
      <c r="D2" s="1" t="str">
        <f>IFERROR(__xludf.DUMMYFUNCTION("""COMPUTED_VALUE"""),"POWER INDEX")</f>
        <v>POWER INDEX</v>
      </c>
      <c r="E2" s="1"/>
      <c r="F2" s="1"/>
      <c r="G2" s="1"/>
      <c r="H2" s="1"/>
      <c r="I2" s="1" t="str">
        <f>IFERROR(__xludf.DUMMYFUNCTION("""COMPUTED_VALUE"""),"PROJECTIONS")</f>
        <v>PROJECTIONS</v>
      </c>
      <c r="J2" s="1"/>
      <c r="K2" s="1"/>
      <c r="L2" s="1"/>
    </row>
    <row r="3">
      <c r="A3" s="1" t="str">
        <f>IFERROR(__xludf.DUMMYFUNCTION("""COMPUTED_VALUE"""),"Team")</f>
        <v>Team</v>
      </c>
      <c r="B3" s="1" t="str">
        <f>IFERROR(__xludf.DUMMYFUNCTION("""COMPUTED_VALUE"""),"CONF")</f>
        <v>CONF</v>
      </c>
      <c r="C3" s="1" t="str">
        <f>IFERROR(__xludf.DUMMYFUNCTION("""COMPUTED_VALUE"""),"W-L")</f>
        <v>W-L</v>
      </c>
      <c r="D3" s="1" t="str">
        <f>IFERROR(__xludf.DUMMYFUNCTION("""COMPUTED_VALUE"""),"BPI")</f>
        <v>BPI</v>
      </c>
      <c r="E3" s="1" t="str">
        <f>IFERROR(__xludf.DUMMYFUNCTION("""COMPUTED_VALUE"""),"BPI RK")</f>
        <v>BPI RK</v>
      </c>
      <c r="F3" s="1" t="str">
        <f>IFERROR(__xludf.DUMMYFUNCTION("""COMPUTED_VALUE"""),"TREND")</f>
        <v>TREND</v>
      </c>
      <c r="G3" s="1" t="str">
        <f>IFERROR(__xludf.DUMMYFUNCTION("""COMPUTED_VALUE"""),"OFF")</f>
        <v>OFF</v>
      </c>
      <c r="H3" s="1" t="str">
        <f>IFERROR(__xludf.DUMMYFUNCTION("""COMPUTED_VALUE"""),"DEF")</f>
        <v>DEF</v>
      </c>
      <c r="I3" s="1" t="str">
        <f>IFERROR(__xludf.DUMMYFUNCTION("""COMPUTED_VALUE"""),"OVR W-L")</f>
        <v>OVR W-L</v>
      </c>
      <c r="J3" s="1" t="str">
        <f>IFERROR(__xludf.DUMMYFUNCTION("""COMPUTED_VALUE"""),"CONF W-L")</f>
        <v>CONF W-L</v>
      </c>
      <c r="K3" s="1" t="str">
        <f>IFERROR(__xludf.DUMMYFUNCTION("""COMPUTED_VALUE"""),"WIN CONF%")</f>
        <v>WIN CONF%</v>
      </c>
      <c r="L3" s="1" t="str">
        <f>IFERROR(__xludf.DUMMYFUNCTION("""COMPUTED_VALUE"""),"REM SOS RK")</f>
        <v>REM SOS RK</v>
      </c>
    </row>
    <row r="4">
      <c r="A4" s="1" t="str">
        <f>IFERROR(__xludf.DUMMYFUNCTION("""COMPUTED_VALUE"""),"Houston Cougars")</f>
        <v>Houston Cougars</v>
      </c>
      <c r="B4" s="1" t="str">
        <f>IFERROR(__xludf.DUMMYFUNCTION("""COMPUTED_VALUE"""),"Big 12")</f>
        <v>Big 12</v>
      </c>
      <c r="C4" s="1" t="str">
        <f>IFERROR(__xludf.DUMMYFUNCTION("""COMPUTED_VALUE"""),"13-3")</f>
        <v>13-3</v>
      </c>
      <c r="D4" s="1">
        <f>IFERROR(__xludf.DUMMYFUNCTION("""COMPUTED_VALUE"""),24.4)</f>
        <v>24.4</v>
      </c>
      <c r="E4" s="1">
        <f>IFERROR(__xludf.DUMMYFUNCTION("""COMPUTED_VALUE"""),1.0)</f>
        <v>1</v>
      </c>
      <c r="F4" s="1">
        <f>IFERROR(__xludf.DUMMYFUNCTION("""COMPUTED_VALUE"""),1.0)</f>
        <v>1</v>
      </c>
      <c r="G4" s="1">
        <f>IFERROR(__xludf.DUMMYFUNCTION("""COMPUTED_VALUE"""),10.4)</f>
        <v>10.4</v>
      </c>
      <c r="H4" s="1">
        <f>IFERROR(__xludf.DUMMYFUNCTION("""COMPUTED_VALUE"""),14.1)</f>
        <v>14.1</v>
      </c>
      <c r="I4" s="1" t="str">
        <f>IFERROR(__xludf.DUMMYFUNCTION("""COMPUTED_VALUE"""),"25.3-5.7")</f>
        <v>25.3-5.7</v>
      </c>
      <c r="J4" s="1" t="str">
        <f>IFERROR(__xludf.DUMMYFUNCTION("""COMPUTED_VALUE"""),"17.3-2.7")</f>
        <v>17.3-2.7</v>
      </c>
      <c r="K4" s="2">
        <f>IFERROR(__xludf.DUMMYFUNCTION("""COMPUTED_VALUE"""),0.771)</f>
        <v>0.771</v>
      </c>
      <c r="L4" s="1" t="str">
        <f>IFERROR(__xludf.DUMMYFUNCTION("""COMPUTED_VALUE"""),"19th")</f>
        <v>19th</v>
      </c>
    </row>
    <row r="5">
      <c r="A5" s="1" t="str">
        <f>IFERROR(__xludf.DUMMYFUNCTION("""COMPUTED_VALUE"""),"Duke Blue Devils")</f>
        <v>Duke Blue Devils</v>
      </c>
      <c r="B5" s="1" t="str">
        <f>IFERROR(__xludf.DUMMYFUNCTION("""COMPUTED_VALUE"""),"ACC")</f>
        <v>ACC</v>
      </c>
      <c r="C5" s="1" t="str">
        <f>IFERROR(__xludf.DUMMYFUNCTION("""COMPUTED_VALUE"""),"15-2")</f>
        <v>15-2</v>
      </c>
      <c r="D5" s="1">
        <f>IFERROR(__xludf.DUMMYFUNCTION("""COMPUTED_VALUE"""),24.0)</f>
        <v>24</v>
      </c>
      <c r="E5" s="1">
        <f>IFERROR(__xludf.DUMMYFUNCTION("""COMPUTED_VALUE"""),2.0)</f>
        <v>2</v>
      </c>
      <c r="F5" s="1">
        <f>IFERROR(__xludf.DUMMYFUNCTION("""COMPUTED_VALUE"""),1.0)</f>
        <v>1</v>
      </c>
      <c r="G5" s="1">
        <f>IFERROR(__xludf.DUMMYFUNCTION("""COMPUTED_VALUE"""),12.9)</f>
        <v>12.9</v>
      </c>
      <c r="H5" s="1">
        <f>IFERROR(__xludf.DUMMYFUNCTION("""COMPUTED_VALUE"""),11.2)</f>
        <v>11.2</v>
      </c>
      <c r="I5" s="1" t="str">
        <f>IFERROR(__xludf.DUMMYFUNCTION("""COMPUTED_VALUE"""),"27.6-3.4")</f>
        <v>27.6-3.4</v>
      </c>
      <c r="J5" s="1" t="str">
        <f>IFERROR(__xludf.DUMMYFUNCTION("""COMPUTED_VALUE"""),"18.9-1.1")</f>
        <v>18.9-1.1</v>
      </c>
      <c r="K5" s="2">
        <f>IFERROR(__xludf.DUMMYFUNCTION("""COMPUTED_VALUE"""),0.938)</f>
        <v>0.938</v>
      </c>
      <c r="L5" s="1" t="str">
        <f>IFERROR(__xludf.DUMMYFUNCTION("""COMPUTED_VALUE"""),"65th")</f>
        <v>65th</v>
      </c>
    </row>
    <row r="6">
      <c r="A6" s="1" t="str">
        <f>IFERROR(__xludf.DUMMYFUNCTION("""COMPUTED_VALUE"""),"Auburn Tigers")</f>
        <v>Auburn Tigers</v>
      </c>
      <c r="B6" s="1" t="str">
        <f>IFERROR(__xludf.DUMMYFUNCTION("""COMPUTED_VALUE"""),"SEC")</f>
        <v>SEC</v>
      </c>
      <c r="C6" s="1" t="str">
        <f>IFERROR(__xludf.DUMMYFUNCTION("""COMPUTED_VALUE"""),"16-1")</f>
        <v>16-1</v>
      </c>
      <c r="D6" s="1">
        <f>IFERROR(__xludf.DUMMYFUNCTION("""COMPUTED_VALUE"""),23.6)</f>
        <v>23.6</v>
      </c>
      <c r="E6" s="1">
        <f>IFERROR(__xludf.DUMMYFUNCTION("""COMPUTED_VALUE"""),3.0)</f>
        <v>3</v>
      </c>
      <c r="F6" s="1" t="str">
        <f>IFERROR(__xludf.DUMMYFUNCTION("""COMPUTED_VALUE"""),"--")</f>
        <v>--</v>
      </c>
      <c r="G6" s="1">
        <f>IFERROR(__xludf.DUMMYFUNCTION("""COMPUTED_VALUE"""),13.9)</f>
        <v>13.9</v>
      </c>
      <c r="H6" s="1">
        <f>IFERROR(__xludf.DUMMYFUNCTION("""COMPUTED_VALUE"""),9.7)</f>
        <v>9.7</v>
      </c>
      <c r="I6" s="1" t="str">
        <f>IFERROR(__xludf.DUMMYFUNCTION("""COMPUTED_VALUE"""),"27.1-3.9")</f>
        <v>27.1-3.9</v>
      </c>
      <c r="J6" s="1" t="str">
        <f>IFERROR(__xludf.DUMMYFUNCTION("""COMPUTED_VALUE"""),"15.1-2.9")</f>
        <v>15.1-2.9</v>
      </c>
      <c r="K6" s="2">
        <f>IFERROR(__xludf.DUMMYFUNCTION("""COMPUTED_VALUE"""),0.727)</f>
        <v>0.727</v>
      </c>
      <c r="L6" s="1" t="str">
        <f>IFERROR(__xludf.DUMMYFUNCTION("""COMPUTED_VALUE"""),"5th")</f>
        <v>5th</v>
      </c>
    </row>
    <row r="7">
      <c r="A7" s="1" t="str">
        <f>IFERROR(__xludf.DUMMYFUNCTION("""COMPUTED_VALUE"""),"Tennessee Volunteers")</f>
        <v>Tennessee Volunteers</v>
      </c>
      <c r="B7" s="1" t="str">
        <f>IFERROR(__xludf.DUMMYFUNCTION("""COMPUTED_VALUE"""),"SEC")</f>
        <v>SEC</v>
      </c>
      <c r="C7" s="1" t="str">
        <f>IFERROR(__xludf.DUMMYFUNCTION("""COMPUTED_VALUE"""),"16-1")</f>
        <v>16-1</v>
      </c>
      <c r="D7" s="1">
        <f>IFERROR(__xludf.DUMMYFUNCTION("""COMPUTED_VALUE"""),20.4)</f>
        <v>20.4</v>
      </c>
      <c r="E7" s="1">
        <f>IFERROR(__xludf.DUMMYFUNCTION("""COMPUTED_VALUE"""),4.0)</f>
        <v>4</v>
      </c>
      <c r="F7" s="1" t="str">
        <f>IFERROR(__xludf.DUMMYFUNCTION("""COMPUTED_VALUE"""),"--")</f>
        <v>--</v>
      </c>
      <c r="G7" s="1">
        <f>IFERROR(__xludf.DUMMYFUNCTION("""COMPUTED_VALUE"""),8.5)</f>
        <v>8.5</v>
      </c>
      <c r="H7" s="1">
        <f>IFERROR(__xludf.DUMMYFUNCTION("""COMPUTED_VALUE"""),11.9)</f>
        <v>11.9</v>
      </c>
      <c r="I7" s="1" t="str">
        <f>IFERROR(__xludf.DUMMYFUNCTION("""COMPUTED_VALUE"""),"26.0-5.0")</f>
        <v>26.0-5.0</v>
      </c>
      <c r="J7" s="1" t="str">
        <f>IFERROR(__xludf.DUMMYFUNCTION("""COMPUTED_VALUE"""),"13.0-5.0")</f>
        <v>13.0-5.0</v>
      </c>
      <c r="K7" s="2">
        <f>IFERROR(__xludf.DUMMYFUNCTION("""COMPUTED_VALUE"""),0.262)</f>
        <v>0.262</v>
      </c>
      <c r="L7" s="1" t="str">
        <f>IFERROR(__xludf.DUMMYFUNCTION("""COMPUTED_VALUE"""),"9th")</f>
        <v>9th</v>
      </c>
    </row>
    <row r="8">
      <c r="A8" s="1" t="str">
        <f>IFERROR(__xludf.DUMMYFUNCTION("""COMPUTED_VALUE"""),"Iowa State Cyclones")</f>
        <v>Iowa State Cyclones</v>
      </c>
      <c r="B8" s="1" t="str">
        <f>IFERROR(__xludf.DUMMYFUNCTION("""COMPUTED_VALUE"""),"Big 12")</f>
        <v>Big 12</v>
      </c>
      <c r="C8" s="1" t="str">
        <f>IFERROR(__xludf.DUMMYFUNCTION("""COMPUTED_VALUE"""),"15-1")</f>
        <v>15-1</v>
      </c>
      <c r="D8" s="1">
        <f>IFERROR(__xludf.DUMMYFUNCTION("""COMPUTED_VALUE"""),20.1)</f>
        <v>20.1</v>
      </c>
      <c r="E8" s="1">
        <f>IFERROR(__xludf.DUMMYFUNCTION("""COMPUTED_VALUE"""),5.0)</f>
        <v>5</v>
      </c>
      <c r="F8" s="1" t="str">
        <f>IFERROR(__xludf.DUMMYFUNCTION("""COMPUTED_VALUE"""),"--")</f>
        <v>--</v>
      </c>
      <c r="G8" s="1">
        <f>IFERROR(__xludf.DUMMYFUNCTION("""COMPUTED_VALUE"""),9.4)</f>
        <v>9.4</v>
      </c>
      <c r="H8" s="1">
        <f>IFERROR(__xludf.DUMMYFUNCTION("""COMPUTED_VALUE"""),10.7)</f>
        <v>10.7</v>
      </c>
      <c r="I8" s="1" t="str">
        <f>IFERROR(__xludf.DUMMYFUNCTION("""COMPUTED_VALUE"""),"26.2-4.8")</f>
        <v>26.2-4.8</v>
      </c>
      <c r="J8" s="1" t="str">
        <f>IFERROR(__xludf.DUMMYFUNCTION("""COMPUTED_VALUE"""),"16.2-3.8")</f>
        <v>16.2-3.8</v>
      </c>
      <c r="K8" s="2">
        <f>IFERROR(__xludf.DUMMYFUNCTION("""COMPUTED_VALUE"""),0.192)</f>
        <v>0.192</v>
      </c>
      <c r="L8" s="1" t="str">
        <f>IFERROR(__xludf.DUMMYFUNCTION("""COMPUTED_VALUE"""),"49th")</f>
        <v>49th</v>
      </c>
    </row>
    <row r="9">
      <c r="A9" s="1" t="str">
        <f>IFERROR(__xludf.DUMMYFUNCTION("""COMPUTED_VALUE"""),"Arizona Wildcats")</f>
        <v>Arizona Wildcats</v>
      </c>
      <c r="B9" s="1" t="str">
        <f>IFERROR(__xludf.DUMMYFUNCTION("""COMPUTED_VALUE"""),"Big 12")</f>
        <v>Big 12</v>
      </c>
      <c r="C9" s="3">
        <f>IFERROR(__xludf.DUMMYFUNCTION("""COMPUTED_VALUE"""),45966.0)</f>
        <v>45966</v>
      </c>
      <c r="D9" s="1">
        <f>IFERROR(__xludf.DUMMYFUNCTION("""COMPUTED_VALUE"""),19.2)</f>
        <v>19.2</v>
      </c>
      <c r="E9" s="1">
        <f>IFERROR(__xludf.DUMMYFUNCTION("""COMPUTED_VALUE"""),6.0)</f>
        <v>6</v>
      </c>
      <c r="F9" s="1">
        <f>IFERROR(__xludf.DUMMYFUNCTION("""COMPUTED_VALUE"""),2.0)</f>
        <v>2</v>
      </c>
      <c r="G9" s="1">
        <f>IFERROR(__xludf.DUMMYFUNCTION("""COMPUTED_VALUE"""),10.1)</f>
        <v>10.1</v>
      </c>
      <c r="H9" s="1">
        <f>IFERROR(__xludf.DUMMYFUNCTION("""COMPUTED_VALUE"""),9.0)</f>
        <v>9</v>
      </c>
      <c r="I9" s="1" t="str">
        <f>IFERROR(__xludf.DUMMYFUNCTION("""COMPUTED_VALUE"""),"21.1-9.9")</f>
        <v>21.1-9.9</v>
      </c>
      <c r="J9" s="1" t="str">
        <f>IFERROR(__xludf.DUMMYFUNCTION("""COMPUTED_VALUE"""),"15.1-4.9")</f>
        <v>15.1-4.9</v>
      </c>
      <c r="K9" s="2">
        <f>IFERROR(__xludf.DUMMYFUNCTION("""COMPUTED_VALUE"""),0.093)</f>
        <v>0.093</v>
      </c>
      <c r="L9" s="1" t="str">
        <f>IFERROR(__xludf.DUMMYFUNCTION("""COMPUTED_VALUE"""),"26th")</f>
        <v>26th</v>
      </c>
    </row>
    <row r="10">
      <c r="A10" s="1" t="str">
        <f>IFERROR(__xludf.DUMMYFUNCTION("""COMPUTED_VALUE"""),"Kansas Jayhawks")</f>
        <v>Kansas Jayhawks</v>
      </c>
      <c r="B10" s="1" t="str">
        <f>IFERROR(__xludf.DUMMYFUNCTION("""COMPUTED_VALUE"""),"Big 12")</f>
        <v>Big 12</v>
      </c>
      <c r="C10" s="3">
        <f>IFERROR(__xludf.DUMMYFUNCTION("""COMPUTED_VALUE"""),45995.0)</f>
        <v>45995</v>
      </c>
      <c r="D10" s="1">
        <f>IFERROR(__xludf.DUMMYFUNCTION("""COMPUTED_VALUE"""),19.1)</f>
        <v>19.1</v>
      </c>
      <c r="E10" s="1">
        <f>IFERROR(__xludf.DUMMYFUNCTION("""COMPUTED_VALUE"""),7.0)</f>
        <v>7</v>
      </c>
      <c r="F10" s="1">
        <f>IFERROR(__xludf.DUMMYFUNCTION("""COMPUTED_VALUE"""),1.0)</f>
        <v>1</v>
      </c>
      <c r="G10" s="1">
        <f>IFERROR(__xludf.DUMMYFUNCTION("""COMPUTED_VALUE"""),7.7)</f>
        <v>7.7</v>
      </c>
      <c r="H10" s="1">
        <f>IFERROR(__xludf.DUMMYFUNCTION("""COMPUTED_VALUE"""),11.4)</f>
        <v>11.4</v>
      </c>
      <c r="I10" s="1" t="str">
        <f>IFERROR(__xludf.DUMMYFUNCTION("""COMPUTED_VALUE"""),"22.5-8.5")</f>
        <v>22.5-8.5</v>
      </c>
      <c r="J10" s="1" t="str">
        <f>IFERROR(__xludf.DUMMYFUNCTION("""COMPUTED_VALUE"""),"13.5-6.5")</f>
        <v>13.5-6.5</v>
      </c>
      <c r="K10" s="2">
        <f>IFERROR(__xludf.DUMMYFUNCTION("""COMPUTED_VALUE"""),0.119)</f>
        <v>0.119</v>
      </c>
      <c r="L10" s="1" t="str">
        <f>IFERROR(__xludf.DUMMYFUNCTION("""COMPUTED_VALUE"""),"48th")</f>
        <v>48th</v>
      </c>
    </row>
    <row r="11">
      <c r="A11" s="1" t="str">
        <f>IFERROR(__xludf.DUMMYFUNCTION("""COMPUTED_VALUE"""),"Alabama Crimson Tide")</f>
        <v>Alabama Crimson Tide</v>
      </c>
      <c r="B11" s="1" t="str">
        <f>IFERROR(__xludf.DUMMYFUNCTION("""COMPUTED_VALUE"""),"SEC")</f>
        <v>SEC</v>
      </c>
      <c r="C11" s="1" t="str">
        <f>IFERROR(__xludf.DUMMYFUNCTION("""COMPUTED_VALUE"""),"14-3")</f>
        <v>14-3</v>
      </c>
      <c r="D11" s="1">
        <f>IFERROR(__xludf.DUMMYFUNCTION("""COMPUTED_VALUE"""),19.0)</f>
        <v>19</v>
      </c>
      <c r="E11" s="1">
        <f>IFERROR(__xludf.DUMMYFUNCTION("""COMPUTED_VALUE"""),8.0)</f>
        <v>8</v>
      </c>
      <c r="F11" s="1">
        <f>IFERROR(__xludf.DUMMYFUNCTION("""COMPUTED_VALUE"""),1.0)</f>
        <v>1</v>
      </c>
      <c r="G11" s="1">
        <f>IFERROR(__xludf.DUMMYFUNCTION("""COMPUTED_VALUE"""),11.6)</f>
        <v>11.6</v>
      </c>
      <c r="H11" s="1">
        <f>IFERROR(__xludf.DUMMYFUNCTION("""COMPUTED_VALUE"""),7.4)</f>
        <v>7.4</v>
      </c>
      <c r="I11" s="1" t="str">
        <f>IFERROR(__xludf.DUMMYFUNCTION("""COMPUTED_VALUE"""),"22.6-8.4")</f>
        <v>22.6-8.4</v>
      </c>
      <c r="J11" s="1" t="str">
        <f>IFERROR(__xludf.DUMMYFUNCTION("""COMPUTED_VALUE"""),"11.6-6.4")</f>
        <v>11.6-6.4</v>
      </c>
      <c r="K11" s="2">
        <f>IFERROR(__xludf.DUMMYFUNCTION("""COMPUTED_VALUE"""),0.108)</f>
        <v>0.108</v>
      </c>
      <c r="L11" s="1" t="str">
        <f>IFERROR(__xludf.DUMMYFUNCTION("""COMPUTED_VALUE"""),"4th")</f>
        <v>4th</v>
      </c>
    </row>
    <row r="12">
      <c r="A12" s="1" t="str">
        <f>IFERROR(__xludf.DUMMYFUNCTION("""COMPUTED_VALUE"""),"Illinois Fighting Illini")</f>
        <v>Illinois Fighting Illini</v>
      </c>
      <c r="B12" s="1" t="str">
        <f>IFERROR(__xludf.DUMMYFUNCTION("""COMPUTED_VALUE"""),"Big Ten")</f>
        <v>Big Ten</v>
      </c>
      <c r="C12" s="1" t="str">
        <f>IFERROR(__xludf.DUMMYFUNCTION("""COMPUTED_VALUE"""),"13-4")</f>
        <v>13-4</v>
      </c>
      <c r="D12" s="1">
        <f>IFERROR(__xludf.DUMMYFUNCTION("""COMPUTED_VALUE"""),18.4)</f>
        <v>18.4</v>
      </c>
      <c r="E12" s="1">
        <f>IFERROR(__xludf.DUMMYFUNCTION("""COMPUTED_VALUE"""),9.0)</f>
        <v>9</v>
      </c>
      <c r="F12" s="1" t="str">
        <f>IFERROR(__xludf.DUMMYFUNCTION("""COMPUTED_VALUE"""),"--")</f>
        <v>--</v>
      </c>
      <c r="G12" s="1">
        <f>IFERROR(__xludf.DUMMYFUNCTION("""COMPUTED_VALUE"""),9.1)</f>
        <v>9.1</v>
      </c>
      <c r="H12" s="1">
        <f>IFERROR(__xludf.DUMMYFUNCTION("""COMPUTED_VALUE"""),9.3)</f>
        <v>9.3</v>
      </c>
      <c r="I12" s="1" t="str">
        <f>IFERROR(__xludf.DUMMYFUNCTION("""COMPUTED_VALUE"""),"22.4-8.6")</f>
        <v>22.4-8.6</v>
      </c>
      <c r="J12" s="1" t="str">
        <f>IFERROR(__xludf.DUMMYFUNCTION("""COMPUTED_VALUE"""),"14.1-5.9")</f>
        <v>14.1-5.9</v>
      </c>
      <c r="K12" s="4">
        <f>IFERROR(__xludf.DUMMYFUNCTION("""COMPUTED_VALUE"""),0.43)</f>
        <v>0.43</v>
      </c>
      <c r="L12" s="1" t="str">
        <f>IFERROR(__xludf.DUMMYFUNCTION("""COMPUTED_VALUE"""),"16th")</f>
        <v>16th</v>
      </c>
    </row>
    <row r="13">
      <c r="A13" s="1" t="str">
        <f>IFERROR(__xludf.DUMMYFUNCTION("""COMPUTED_VALUE"""),"UConn Huskies")</f>
        <v>UConn Huskies</v>
      </c>
      <c r="B13" s="1" t="str">
        <f>IFERROR(__xludf.DUMMYFUNCTION("""COMPUTED_VALUE"""),"Big East")</f>
        <v>Big East</v>
      </c>
      <c r="C13" s="1" t="str">
        <f>IFERROR(__xludf.DUMMYFUNCTION("""COMPUTED_VALUE"""),"13-4")</f>
        <v>13-4</v>
      </c>
      <c r="D13" s="1">
        <f>IFERROR(__xludf.DUMMYFUNCTION("""COMPUTED_VALUE"""),17.3)</f>
        <v>17.3</v>
      </c>
      <c r="E13" s="1">
        <f>IFERROR(__xludf.DUMMYFUNCTION("""COMPUTED_VALUE"""),10.0)</f>
        <v>10</v>
      </c>
      <c r="F13" s="1">
        <f>IFERROR(__xludf.DUMMYFUNCTION("""COMPUTED_VALUE"""),2.0)</f>
        <v>2</v>
      </c>
      <c r="G13" s="1">
        <f>IFERROR(__xludf.DUMMYFUNCTION("""COMPUTED_VALUE"""),11.4)</f>
        <v>11.4</v>
      </c>
      <c r="H13" s="1">
        <f>IFERROR(__xludf.DUMMYFUNCTION("""COMPUTED_VALUE"""),6.0)</f>
        <v>6</v>
      </c>
      <c r="I13" s="1" t="str">
        <f>IFERROR(__xludf.DUMMYFUNCTION("""COMPUTED_VALUE"""),"23.3-7.7")</f>
        <v>23.3-7.7</v>
      </c>
      <c r="J13" s="1" t="str">
        <f>IFERROR(__xludf.DUMMYFUNCTION("""COMPUTED_VALUE"""),"15.3-4.7")</f>
        <v>15.3-4.7</v>
      </c>
      <c r="K13" s="4">
        <f>IFERROR(__xludf.DUMMYFUNCTION("""COMPUTED_VALUE"""),0.52)</f>
        <v>0.52</v>
      </c>
      <c r="L13" s="1" t="str">
        <f>IFERROR(__xludf.DUMMYFUNCTION("""COMPUTED_VALUE"""),"60th")</f>
        <v>60th</v>
      </c>
    </row>
    <row r="14">
      <c r="A14" s="1" t="str">
        <f>IFERROR(__xludf.DUMMYFUNCTION("""COMPUTED_VALUE"""),"Gonzaga Bulldogs")</f>
        <v>Gonzaga Bulldogs</v>
      </c>
      <c r="B14" s="1" t="str">
        <f>IFERROR(__xludf.DUMMYFUNCTION("""COMPUTED_VALUE"""),"WCC")</f>
        <v>WCC</v>
      </c>
      <c r="C14" s="1" t="str">
        <f>IFERROR(__xludf.DUMMYFUNCTION("""COMPUTED_VALUE"""),"14-5")</f>
        <v>14-5</v>
      </c>
      <c r="D14" s="1">
        <f>IFERROR(__xludf.DUMMYFUNCTION("""COMPUTED_VALUE"""),17.3)</f>
        <v>17.3</v>
      </c>
      <c r="E14" s="1">
        <f>IFERROR(__xludf.DUMMYFUNCTION("""COMPUTED_VALUE"""),11.0)</f>
        <v>11</v>
      </c>
      <c r="F14" s="1">
        <f>IFERROR(__xludf.DUMMYFUNCTION("""COMPUTED_VALUE"""),1.0)</f>
        <v>1</v>
      </c>
      <c r="G14" s="1">
        <f>IFERROR(__xludf.DUMMYFUNCTION("""COMPUTED_VALUE"""),11.1)</f>
        <v>11.1</v>
      </c>
      <c r="H14" s="1">
        <f>IFERROR(__xludf.DUMMYFUNCTION("""COMPUTED_VALUE"""),6.2)</f>
        <v>6.2</v>
      </c>
      <c r="I14" s="1" t="str">
        <f>IFERROR(__xludf.DUMMYFUNCTION("""COMPUTED_VALUE"""),"24.5-6.5")</f>
        <v>24.5-6.5</v>
      </c>
      <c r="J14" s="1" t="str">
        <f>IFERROR(__xludf.DUMMYFUNCTION("""COMPUTED_VALUE"""),"15.5-2.5")</f>
        <v>15.5-2.5</v>
      </c>
      <c r="K14" s="4">
        <f>IFERROR(__xludf.DUMMYFUNCTION("""COMPUTED_VALUE"""),0.89)</f>
        <v>0.89</v>
      </c>
      <c r="L14" s="1" t="str">
        <f>IFERROR(__xludf.DUMMYFUNCTION("""COMPUTED_VALUE"""),"106th")</f>
        <v>106th</v>
      </c>
    </row>
    <row r="15">
      <c r="A15" s="1" t="str">
        <f>IFERROR(__xludf.DUMMYFUNCTION("""COMPUTED_VALUE"""),"Baylor Bears")</f>
        <v>Baylor Bears</v>
      </c>
      <c r="B15" s="1" t="str">
        <f>IFERROR(__xludf.DUMMYFUNCTION("""COMPUTED_VALUE"""),"Big 12")</f>
        <v>Big 12</v>
      </c>
      <c r="C15" s="3">
        <f>IFERROR(__xludf.DUMMYFUNCTION("""COMPUTED_VALUE"""),45966.0)</f>
        <v>45966</v>
      </c>
      <c r="D15" s="1">
        <f>IFERROR(__xludf.DUMMYFUNCTION("""COMPUTED_VALUE"""),17.1)</f>
        <v>17.1</v>
      </c>
      <c r="E15" s="1">
        <f>IFERROR(__xludf.DUMMYFUNCTION("""COMPUTED_VALUE"""),12.0)</f>
        <v>12</v>
      </c>
      <c r="F15" s="1">
        <f>IFERROR(__xludf.DUMMYFUNCTION("""COMPUTED_VALUE"""),1.0)</f>
        <v>1</v>
      </c>
      <c r="G15" s="1">
        <f>IFERROR(__xludf.DUMMYFUNCTION("""COMPUTED_VALUE"""),10.3)</f>
        <v>10.3</v>
      </c>
      <c r="H15" s="1">
        <f>IFERROR(__xludf.DUMMYFUNCTION("""COMPUTED_VALUE"""),6.9)</f>
        <v>6.9</v>
      </c>
      <c r="I15" s="1" t="str">
        <f>IFERROR(__xludf.DUMMYFUNCTION("""COMPUTED_VALUE"""),"20.6-10.4")</f>
        <v>20.6-10.4</v>
      </c>
      <c r="J15" s="1" t="str">
        <f>IFERROR(__xludf.DUMMYFUNCTION("""COMPUTED_VALUE"""),"12.6-7.4")</f>
        <v>12.6-7.4</v>
      </c>
      <c r="K15" s="2">
        <f>IFERROR(__xludf.DUMMYFUNCTION("""COMPUTED_VALUE"""),0.034)</f>
        <v>0.034</v>
      </c>
      <c r="L15" s="1" t="str">
        <f>IFERROR(__xludf.DUMMYFUNCTION("""COMPUTED_VALUE"""),"44th")</f>
        <v>44th</v>
      </c>
    </row>
    <row r="16">
      <c r="A16" s="1" t="str">
        <f>IFERROR(__xludf.DUMMYFUNCTION("""COMPUTED_VALUE"""),"Purdue Boilermakers")</f>
        <v>Purdue Boilermakers</v>
      </c>
      <c r="B16" s="1" t="str">
        <f>IFERROR(__xludf.DUMMYFUNCTION("""COMPUTED_VALUE"""),"Big Ten")</f>
        <v>Big Ten</v>
      </c>
      <c r="C16" s="1" t="str">
        <f>IFERROR(__xludf.DUMMYFUNCTION("""COMPUTED_VALUE"""),"14-4")</f>
        <v>14-4</v>
      </c>
      <c r="D16" s="1">
        <f>IFERROR(__xludf.DUMMYFUNCTION("""COMPUTED_VALUE"""),16.9)</f>
        <v>16.9</v>
      </c>
      <c r="E16" s="1">
        <f>IFERROR(__xludf.DUMMYFUNCTION("""COMPUTED_VALUE"""),13.0)</f>
        <v>13</v>
      </c>
      <c r="F16" s="1">
        <f>IFERROR(__xludf.DUMMYFUNCTION("""COMPUTED_VALUE"""),5.0)</f>
        <v>5</v>
      </c>
      <c r="G16" s="1">
        <f>IFERROR(__xludf.DUMMYFUNCTION("""COMPUTED_VALUE"""),9.9)</f>
        <v>9.9</v>
      </c>
      <c r="H16" s="1">
        <f>IFERROR(__xludf.DUMMYFUNCTION("""COMPUTED_VALUE"""),7.0)</f>
        <v>7</v>
      </c>
      <c r="I16" s="1" t="str">
        <f>IFERROR(__xludf.DUMMYFUNCTION("""COMPUTED_VALUE"""),"22.4-8.6")</f>
        <v>22.4-8.6</v>
      </c>
      <c r="J16" s="1" t="str">
        <f>IFERROR(__xludf.DUMMYFUNCTION("""COMPUTED_VALUE"""),"14.4-5.6")</f>
        <v>14.4-5.6</v>
      </c>
      <c r="K16" s="2">
        <f>IFERROR(__xludf.DUMMYFUNCTION("""COMPUTED_VALUE"""),0.255)</f>
        <v>0.255</v>
      </c>
      <c r="L16" s="1" t="str">
        <f>IFERROR(__xludf.DUMMYFUNCTION("""COMPUTED_VALUE"""),"27th")</f>
        <v>27th</v>
      </c>
    </row>
    <row r="17">
      <c r="A17" s="1" t="str">
        <f>IFERROR(__xludf.DUMMYFUNCTION("""COMPUTED_VALUE"""),"Florida Gators")</f>
        <v>Florida Gators</v>
      </c>
      <c r="B17" s="1" t="str">
        <f>IFERROR(__xludf.DUMMYFUNCTION("""COMPUTED_VALUE"""),"SEC")</f>
        <v>SEC</v>
      </c>
      <c r="C17" s="1" t="str">
        <f>IFERROR(__xludf.DUMMYFUNCTION("""COMPUTED_VALUE"""),"15-2")</f>
        <v>15-2</v>
      </c>
      <c r="D17" s="1">
        <f>IFERROR(__xludf.DUMMYFUNCTION("""COMPUTED_VALUE"""),16.8)</f>
        <v>16.8</v>
      </c>
      <c r="E17" s="1">
        <f>IFERROR(__xludf.DUMMYFUNCTION("""COMPUTED_VALUE"""),14.0)</f>
        <v>14</v>
      </c>
      <c r="F17" s="1">
        <f>IFERROR(__xludf.DUMMYFUNCTION("""COMPUTED_VALUE"""),1.0)</f>
        <v>1</v>
      </c>
      <c r="G17" s="1">
        <f>IFERROR(__xludf.DUMMYFUNCTION("""COMPUTED_VALUE"""),9.2)</f>
        <v>9.2</v>
      </c>
      <c r="H17" s="1">
        <f>IFERROR(__xludf.DUMMYFUNCTION("""COMPUTED_VALUE"""),7.6)</f>
        <v>7.6</v>
      </c>
      <c r="I17" s="1" t="str">
        <f>IFERROR(__xludf.DUMMYFUNCTION("""COMPUTED_VALUE"""),"23.3-7.7")</f>
        <v>23.3-7.7</v>
      </c>
      <c r="J17" s="1" t="str">
        <f>IFERROR(__xludf.DUMMYFUNCTION("""COMPUTED_VALUE"""),"10.3-7.7")</f>
        <v>10.3-7.7</v>
      </c>
      <c r="K17" s="2">
        <f>IFERROR(__xludf.DUMMYFUNCTION("""COMPUTED_VALUE"""),0.041)</f>
        <v>0.041</v>
      </c>
      <c r="L17" s="1" t="str">
        <f>IFERROR(__xludf.DUMMYFUNCTION("""COMPUTED_VALUE"""),"18th")</f>
        <v>18th</v>
      </c>
    </row>
    <row r="18">
      <c r="A18" s="1" t="str">
        <f>IFERROR(__xludf.DUMMYFUNCTION("""COMPUTED_VALUE"""),"Marquette Golden Eagles")</f>
        <v>Marquette Golden Eagles</v>
      </c>
      <c r="B18" s="1" t="str">
        <f>IFERROR(__xludf.DUMMYFUNCTION("""COMPUTED_VALUE"""),"Big East")</f>
        <v>Big East</v>
      </c>
      <c r="C18" s="1" t="str">
        <f>IFERROR(__xludf.DUMMYFUNCTION("""COMPUTED_VALUE"""),"15-2")</f>
        <v>15-2</v>
      </c>
      <c r="D18" s="1">
        <f>IFERROR(__xludf.DUMMYFUNCTION("""COMPUTED_VALUE"""),16.6)</f>
        <v>16.6</v>
      </c>
      <c r="E18" s="1">
        <f>IFERROR(__xludf.DUMMYFUNCTION("""COMPUTED_VALUE"""),15.0)</f>
        <v>15</v>
      </c>
      <c r="F18" s="1">
        <f>IFERROR(__xludf.DUMMYFUNCTION("""COMPUTED_VALUE"""),1.0)</f>
        <v>1</v>
      </c>
      <c r="G18" s="1">
        <f>IFERROR(__xludf.DUMMYFUNCTION("""COMPUTED_VALUE"""),8.3)</f>
        <v>8.3</v>
      </c>
      <c r="H18" s="1">
        <f>IFERROR(__xludf.DUMMYFUNCTION("""COMPUTED_VALUE"""),8.4)</f>
        <v>8.4</v>
      </c>
      <c r="I18" s="1" t="str">
        <f>IFERROR(__xludf.DUMMYFUNCTION("""COMPUTED_VALUE"""),"24.8-6.2")</f>
        <v>24.8-6.2</v>
      </c>
      <c r="J18" s="1" t="str">
        <f>IFERROR(__xludf.DUMMYFUNCTION("""COMPUTED_VALUE"""),"15.8-4.2")</f>
        <v>15.8-4.2</v>
      </c>
      <c r="K18" s="2">
        <f>IFERROR(__xludf.DUMMYFUNCTION("""COMPUTED_VALUE"""),0.389)</f>
        <v>0.389</v>
      </c>
      <c r="L18" s="1" t="str">
        <f>IFERROR(__xludf.DUMMYFUNCTION("""COMPUTED_VALUE"""),"59th")</f>
        <v>59th</v>
      </c>
    </row>
    <row r="19">
      <c r="A19" s="1" t="str">
        <f>IFERROR(__xludf.DUMMYFUNCTION("""COMPUTED_VALUE"""),"Michigan State Spartans")</f>
        <v>Michigan State Spartans</v>
      </c>
      <c r="B19" s="1" t="str">
        <f>IFERROR(__xludf.DUMMYFUNCTION("""COMPUTED_VALUE"""),"Big Ten")</f>
        <v>Big Ten</v>
      </c>
      <c r="C19" s="1" t="str">
        <f>IFERROR(__xludf.DUMMYFUNCTION("""COMPUTED_VALUE"""),"15-2")</f>
        <v>15-2</v>
      </c>
      <c r="D19" s="1">
        <f>IFERROR(__xludf.DUMMYFUNCTION("""COMPUTED_VALUE"""),16.6)</f>
        <v>16.6</v>
      </c>
      <c r="E19" s="1">
        <f>IFERROR(__xludf.DUMMYFUNCTION("""COMPUTED_VALUE"""),16.0)</f>
        <v>16</v>
      </c>
      <c r="F19" s="1" t="str">
        <f>IFERROR(__xludf.DUMMYFUNCTION("""COMPUTED_VALUE"""),"--")</f>
        <v>--</v>
      </c>
      <c r="G19" s="1">
        <f>IFERROR(__xludf.DUMMYFUNCTION("""COMPUTED_VALUE"""),7.3)</f>
        <v>7.3</v>
      </c>
      <c r="H19" s="1">
        <f>IFERROR(__xludf.DUMMYFUNCTION("""COMPUTED_VALUE"""),9.2)</f>
        <v>9.2</v>
      </c>
      <c r="I19" s="1" t="str">
        <f>IFERROR(__xludf.DUMMYFUNCTION("""COMPUTED_VALUE"""),"23.6-7.4")</f>
        <v>23.6-7.4</v>
      </c>
      <c r="J19" s="1" t="str">
        <f>IFERROR(__xludf.DUMMYFUNCTION("""COMPUTED_VALUE"""),"14.6-5.4")</f>
        <v>14.6-5.4</v>
      </c>
      <c r="K19" s="2">
        <f>IFERROR(__xludf.DUMMYFUNCTION("""COMPUTED_VALUE"""),0.163)</f>
        <v>0.163</v>
      </c>
      <c r="L19" s="1" t="str">
        <f>IFERROR(__xludf.DUMMYFUNCTION("""COMPUTED_VALUE"""),"20th")</f>
        <v>20th</v>
      </c>
    </row>
    <row r="20">
      <c r="A20" s="1" t="str">
        <f>IFERROR(__xludf.DUMMYFUNCTION("""COMPUTED_VALUE"""),"Kentucky Wildcats")</f>
        <v>Kentucky Wildcats</v>
      </c>
      <c r="B20" s="1" t="str">
        <f>IFERROR(__xludf.DUMMYFUNCTION("""COMPUTED_VALUE"""),"SEC")</f>
        <v>SEC</v>
      </c>
      <c r="C20" s="1" t="str">
        <f>IFERROR(__xludf.DUMMYFUNCTION("""COMPUTED_VALUE"""),"14-3")</f>
        <v>14-3</v>
      </c>
      <c r="D20" s="1">
        <f>IFERROR(__xludf.DUMMYFUNCTION("""COMPUTED_VALUE"""),16.3)</f>
        <v>16.3</v>
      </c>
      <c r="E20" s="1">
        <f>IFERROR(__xludf.DUMMYFUNCTION("""COMPUTED_VALUE"""),17.0)</f>
        <v>17</v>
      </c>
      <c r="F20" s="1">
        <f>IFERROR(__xludf.DUMMYFUNCTION("""COMPUTED_VALUE"""),5.0)</f>
        <v>5</v>
      </c>
      <c r="G20" s="1">
        <f>IFERROR(__xludf.DUMMYFUNCTION("""COMPUTED_VALUE"""),10.7)</f>
        <v>10.7</v>
      </c>
      <c r="H20" s="1">
        <f>IFERROR(__xludf.DUMMYFUNCTION("""COMPUTED_VALUE"""),5.7)</f>
        <v>5.7</v>
      </c>
      <c r="I20" s="1" t="str">
        <f>IFERROR(__xludf.DUMMYFUNCTION("""COMPUTED_VALUE"""),"21.7-9.3")</f>
        <v>21.7-9.3</v>
      </c>
      <c r="J20" s="1" t="str">
        <f>IFERROR(__xludf.DUMMYFUNCTION("""COMPUTED_VALUE"""),"10.7-7.3")</f>
        <v>10.7-7.3</v>
      </c>
      <c r="K20" s="2">
        <f>IFERROR(__xludf.DUMMYFUNCTION("""COMPUTED_VALUE"""),0.023)</f>
        <v>0.023</v>
      </c>
      <c r="L20" s="1" t="str">
        <f>IFERROR(__xludf.DUMMYFUNCTION("""COMPUTED_VALUE"""),"10th")</f>
        <v>10th</v>
      </c>
    </row>
    <row r="21">
      <c r="A21" s="1" t="str">
        <f>IFERROR(__xludf.DUMMYFUNCTION("""COMPUTED_VALUE"""),"Michigan Wolverines")</f>
        <v>Michigan Wolverines</v>
      </c>
      <c r="B21" s="1" t="str">
        <f>IFERROR(__xludf.DUMMYFUNCTION("""COMPUTED_VALUE"""),"Big Ten")</f>
        <v>Big Ten</v>
      </c>
      <c r="C21" s="1" t="str">
        <f>IFERROR(__xludf.DUMMYFUNCTION("""COMPUTED_VALUE"""),"13-4")</f>
        <v>13-4</v>
      </c>
      <c r="D21" s="1">
        <f>IFERROR(__xludf.DUMMYFUNCTION("""COMPUTED_VALUE"""),16.2)</f>
        <v>16.2</v>
      </c>
      <c r="E21" s="1">
        <f>IFERROR(__xludf.DUMMYFUNCTION("""COMPUTED_VALUE"""),18.0)</f>
        <v>18</v>
      </c>
      <c r="F21" s="1">
        <f>IFERROR(__xludf.DUMMYFUNCTION("""COMPUTED_VALUE"""),1.0)</f>
        <v>1</v>
      </c>
      <c r="G21" s="1">
        <f>IFERROR(__xludf.DUMMYFUNCTION("""COMPUTED_VALUE"""),8.4)</f>
        <v>8.4</v>
      </c>
      <c r="H21" s="1">
        <f>IFERROR(__xludf.DUMMYFUNCTION("""COMPUTED_VALUE"""),7.8)</f>
        <v>7.8</v>
      </c>
      <c r="I21" s="1" t="str">
        <f>IFERROR(__xludf.DUMMYFUNCTION("""COMPUTED_VALUE"""),"21.7-9.3")</f>
        <v>21.7-9.3</v>
      </c>
      <c r="J21" s="1" t="str">
        <f>IFERROR(__xludf.DUMMYFUNCTION("""COMPUTED_VALUE"""),"13.7-6.3")</f>
        <v>13.7-6.3</v>
      </c>
      <c r="K21" s="2">
        <f>IFERROR(__xludf.DUMMYFUNCTION("""COMPUTED_VALUE"""),0.152)</f>
        <v>0.152</v>
      </c>
      <c r="L21" s="1" t="str">
        <f>IFERROR(__xludf.DUMMYFUNCTION("""COMPUTED_VALUE"""),"21st")</f>
        <v>21st</v>
      </c>
    </row>
    <row r="22">
      <c r="A22" s="1" t="str">
        <f>IFERROR(__xludf.DUMMYFUNCTION("""COMPUTED_VALUE"""),"Texas A&amp;M Aggies")</f>
        <v>Texas A&amp;M Aggies</v>
      </c>
      <c r="B22" s="1" t="str">
        <f>IFERROR(__xludf.DUMMYFUNCTION("""COMPUTED_VALUE"""),"SEC")</f>
        <v>SEC</v>
      </c>
      <c r="C22" s="1" t="str">
        <f>IFERROR(__xludf.DUMMYFUNCTION("""COMPUTED_VALUE"""),"13-4")</f>
        <v>13-4</v>
      </c>
      <c r="D22" s="1">
        <f>IFERROR(__xludf.DUMMYFUNCTION("""COMPUTED_VALUE"""),16.2)</f>
        <v>16.2</v>
      </c>
      <c r="E22" s="1">
        <f>IFERROR(__xludf.DUMMYFUNCTION("""COMPUTED_VALUE"""),19.0)</f>
        <v>19</v>
      </c>
      <c r="F22" s="1">
        <f>IFERROR(__xludf.DUMMYFUNCTION("""COMPUTED_VALUE"""),4.0)</f>
        <v>4</v>
      </c>
      <c r="G22" s="1">
        <f>IFERROR(__xludf.DUMMYFUNCTION("""COMPUTED_VALUE"""),7.4)</f>
        <v>7.4</v>
      </c>
      <c r="H22" s="1">
        <f>IFERROR(__xludf.DUMMYFUNCTION("""COMPUTED_VALUE"""),8.7)</f>
        <v>8.7</v>
      </c>
      <c r="I22" s="1" t="str">
        <f>IFERROR(__xludf.DUMMYFUNCTION("""COMPUTED_VALUE"""),"21.2-9.8")</f>
        <v>21.2-9.8</v>
      </c>
      <c r="J22" s="1" t="str">
        <f>IFERROR(__xludf.DUMMYFUNCTION("""COMPUTED_VALUE"""),"10.2-7.8")</f>
        <v>10.2-7.8</v>
      </c>
      <c r="K22" s="2">
        <f>IFERROR(__xludf.DUMMYFUNCTION("""COMPUTED_VALUE"""),0.038)</f>
        <v>0.038</v>
      </c>
      <c r="L22" s="1" t="str">
        <f>IFERROR(__xludf.DUMMYFUNCTION("""COMPUTED_VALUE"""),"17th")</f>
        <v>17th</v>
      </c>
    </row>
    <row r="23">
      <c r="A23" s="1" t="str">
        <f>IFERROR(__xludf.DUMMYFUNCTION("""COMPUTED_VALUE"""),"Texas Tech Red Raiders")</f>
        <v>Texas Tech Red Raiders</v>
      </c>
      <c r="B23" s="1" t="str">
        <f>IFERROR(__xludf.DUMMYFUNCTION("""COMPUTED_VALUE"""),"Big 12")</f>
        <v>Big 12</v>
      </c>
      <c r="C23" s="3">
        <f>IFERROR(__xludf.DUMMYFUNCTION("""COMPUTED_VALUE"""),45995.0)</f>
        <v>45995</v>
      </c>
      <c r="D23" s="1">
        <f>IFERROR(__xludf.DUMMYFUNCTION("""COMPUTED_VALUE"""),16.1)</f>
        <v>16.1</v>
      </c>
      <c r="E23" s="1">
        <f>IFERROR(__xludf.DUMMYFUNCTION("""COMPUTED_VALUE"""),20.0)</f>
        <v>20</v>
      </c>
      <c r="F23" s="1">
        <f>IFERROR(__xludf.DUMMYFUNCTION("""COMPUTED_VALUE"""),1.0)</f>
        <v>1</v>
      </c>
      <c r="G23" s="1">
        <f>IFERROR(__xludf.DUMMYFUNCTION("""COMPUTED_VALUE"""),9.8)</f>
        <v>9.8</v>
      </c>
      <c r="H23" s="1">
        <f>IFERROR(__xludf.DUMMYFUNCTION("""COMPUTED_VALUE"""),6.3)</f>
        <v>6.3</v>
      </c>
      <c r="I23" s="1" t="str">
        <f>IFERROR(__xludf.DUMMYFUNCTION("""COMPUTED_VALUE"""),"20.9-10.1")</f>
        <v>20.9-10.1</v>
      </c>
      <c r="J23" s="1" t="str">
        <f>IFERROR(__xludf.DUMMYFUNCTION("""COMPUTED_VALUE"""),"11.9-8.1")</f>
        <v>11.9-8.1</v>
      </c>
      <c r="K23" s="2">
        <f>IFERROR(__xludf.DUMMYFUNCTION("""COMPUTED_VALUE"""),0.021)</f>
        <v>0.021</v>
      </c>
      <c r="L23" s="1" t="str">
        <f>IFERROR(__xludf.DUMMYFUNCTION("""COMPUTED_VALUE"""),"46th")</f>
        <v>46th</v>
      </c>
    </row>
    <row r="24">
      <c r="A24" s="1" t="str">
        <f>IFERROR(__xludf.DUMMYFUNCTION("""COMPUTED_VALUE"""),"North Carolina Tar Heels")</f>
        <v>North Carolina Tar Heels</v>
      </c>
      <c r="B24" s="1" t="str">
        <f>IFERROR(__xludf.DUMMYFUNCTION("""COMPUTED_VALUE"""),"ACC")</f>
        <v>ACC</v>
      </c>
      <c r="C24" s="3">
        <f>IFERROR(__xludf.DUMMYFUNCTION("""COMPUTED_VALUE"""),45997.0)</f>
        <v>45997</v>
      </c>
      <c r="D24" s="1">
        <f>IFERROR(__xludf.DUMMYFUNCTION("""COMPUTED_VALUE"""),15.3)</f>
        <v>15.3</v>
      </c>
      <c r="E24" s="1">
        <f>IFERROR(__xludf.DUMMYFUNCTION("""COMPUTED_VALUE"""),21.0)</f>
        <v>21</v>
      </c>
      <c r="F24" s="1">
        <f>IFERROR(__xludf.DUMMYFUNCTION("""COMPUTED_VALUE"""),3.0)</f>
        <v>3</v>
      </c>
      <c r="G24" s="1">
        <f>IFERROR(__xludf.DUMMYFUNCTION("""COMPUTED_VALUE"""),8.0)</f>
        <v>8</v>
      </c>
      <c r="H24" s="1">
        <f>IFERROR(__xludf.DUMMYFUNCTION("""COMPUTED_VALUE"""),7.3)</f>
        <v>7.3</v>
      </c>
      <c r="I24" s="1" t="str">
        <f>IFERROR(__xludf.DUMMYFUNCTION("""COMPUTED_VALUE"""),"21.4-10.6")</f>
        <v>21.4-10.6</v>
      </c>
      <c r="J24" s="1" t="str">
        <f>IFERROR(__xludf.DUMMYFUNCTION("""COMPUTED_VALUE"""),"14.4-5.6")</f>
        <v>14.4-5.6</v>
      </c>
      <c r="K24" s="2">
        <f>IFERROR(__xludf.DUMMYFUNCTION("""COMPUTED_VALUE"""),0.048)</f>
        <v>0.048</v>
      </c>
      <c r="L24" s="1" t="str">
        <f>IFERROR(__xludf.DUMMYFUNCTION("""COMPUTED_VALUE"""),"69th")</f>
        <v>69th</v>
      </c>
    </row>
    <row r="25">
      <c r="A25" s="1" t="str">
        <f>IFERROR(__xludf.DUMMYFUNCTION("""COMPUTED_VALUE"""),"Texas Longhorns")</f>
        <v>Texas Longhorns</v>
      </c>
      <c r="B25" s="1" t="str">
        <f>IFERROR(__xludf.DUMMYFUNCTION("""COMPUTED_VALUE"""),"SEC")</f>
        <v>SEC</v>
      </c>
      <c r="C25" s="3">
        <f>IFERROR(__xludf.DUMMYFUNCTION("""COMPUTED_VALUE"""),45996.0)</f>
        <v>45996</v>
      </c>
      <c r="D25" s="1">
        <f>IFERROR(__xludf.DUMMYFUNCTION("""COMPUTED_VALUE"""),15.3)</f>
        <v>15.3</v>
      </c>
      <c r="E25" s="1">
        <f>IFERROR(__xludf.DUMMYFUNCTION("""COMPUTED_VALUE"""),22.0)</f>
        <v>22</v>
      </c>
      <c r="F25" s="1">
        <f>IFERROR(__xludf.DUMMYFUNCTION("""COMPUTED_VALUE"""),1.0)</f>
        <v>1</v>
      </c>
      <c r="G25" s="1">
        <f>IFERROR(__xludf.DUMMYFUNCTION("""COMPUTED_VALUE"""),8.6)</f>
        <v>8.6</v>
      </c>
      <c r="H25" s="1">
        <f>IFERROR(__xludf.DUMMYFUNCTION("""COMPUTED_VALUE"""),6.7)</f>
        <v>6.7</v>
      </c>
      <c r="I25" s="1" t="str">
        <f>IFERROR(__xludf.DUMMYFUNCTION("""COMPUTED_VALUE"""),"20.1-10.9")</f>
        <v>20.1-10.9</v>
      </c>
      <c r="J25" s="1" t="str">
        <f>IFERROR(__xludf.DUMMYFUNCTION("""COMPUTED_VALUE"""),"9.1-8.9")</f>
        <v>9.1-8.9</v>
      </c>
      <c r="K25" s="2">
        <f>IFERROR(__xludf.DUMMYFUNCTION("""COMPUTED_VALUE"""),0.024)</f>
        <v>0.024</v>
      </c>
      <c r="L25" s="1" t="str">
        <f>IFERROR(__xludf.DUMMYFUNCTION("""COMPUTED_VALUE"""),"14th")</f>
        <v>14th</v>
      </c>
    </row>
    <row r="26">
      <c r="A26" s="1" t="str">
        <f>IFERROR(__xludf.DUMMYFUNCTION("""COMPUTED_VALUE"""),"Maryland Terrapins")</f>
        <v>Maryland Terrapins</v>
      </c>
      <c r="B26" s="1" t="str">
        <f>IFERROR(__xludf.DUMMYFUNCTION("""COMPUTED_VALUE"""),"Big Ten")</f>
        <v>Big Ten</v>
      </c>
      <c r="C26" s="1" t="str">
        <f>IFERROR(__xludf.DUMMYFUNCTION("""COMPUTED_VALUE"""),"13-5")</f>
        <v>13-5</v>
      </c>
      <c r="D26" s="1">
        <f>IFERROR(__xludf.DUMMYFUNCTION("""COMPUTED_VALUE"""),15.2)</f>
        <v>15.2</v>
      </c>
      <c r="E26" s="1">
        <f>IFERROR(__xludf.DUMMYFUNCTION("""COMPUTED_VALUE"""),23.0)</f>
        <v>23</v>
      </c>
      <c r="F26" s="1">
        <f>IFERROR(__xludf.DUMMYFUNCTION("""COMPUTED_VALUE"""),3.0)</f>
        <v>3</v>
      </c>
      <c r="G26" s="1">
        <f>IFERROR(__xludf.DUMMYFUNCTION("""COMPUTED_VALUE"""),6.3)</f>
        <v>6.3</v>
      </c>
      <c r="H26" s="1">
        <f>IFERROR(__xludf.DUMMYFUNCTION("""COMPUTED_VALUE"""),9.0)</f>
        <v>9</v>
      </c>
      <c r="I26" s="1" t="str">
        <f>IFERROR(__xludf.DUMMYFUNCTION("""COMPUTED_VALUE"""),"21.0-10.0")</f>
        <v>21.0-10.0</v>
      </c>
      <c r="J26" s="1" t="str">
        <f>IFERROR(__xludf.DUMMYFUNCTION("""COMPUTED_VALUE"""),"11.0-9.0")</f>
        <v>11.0-9.0</v>
      </c>
      <c r="K26" s="2">
        <f>IFERROR(__xludf.DUMMYFUNCTION("""COMPUTED_VALUE"""),0.114)</f>
        <v>0.114</v>
      </c>
      <c r="L26" s="1" t="str">
        <f>IFERROR(__xludf.DUMMYFUNCTION("""COMPUTED_VALUE"""),"34th")</f>
        <v>34th</v>
      </c>
    </row>
    <row r="27">
      <c r="A27" s="1" t="str">
        <f>IFERROR(__xludf.DUMMYFUNCTION("""COMPUTED_VALUE"""),"Ole Miss Rebels")</f>
        <v>Ole Miss Rebels</v>
      </c>
      <c r="B27" s="1" t="str">
        <f>IFERROR(__xludf.DUMMYFUNCTION("""COMPUTED_VALUE"""),"SEC")</f>
        <v>SEC</v>
      </c>
      <c r="C27" s="1" t="str">
        <f>IFERROR(__xludf.DUMMYFUNCTION("""COMPUTED_VALUE"""),"15-2")</f>
        <v>15-2</v>
      </c>
      <c r="D27" s="1">
        <f>IFERROR(__xludf.DUMMYFUNCTION("""COMPUTED_VALUE"""),15.1)</f>
        <v>15.1</v>
      </c>
      <c r="E27" s="1">
        <f>IFERROR(__xludf.DUMMYFUNCTION("""COMPUTED_VALUE"""),24.0)</f>
        <v>24</v>
      </c>
      <c r="F27" s="1">
        <f>IFERROR(__xludf.DUMMYFUNCTION("""COMPUTED_VALUE"""),4.0)</f>
        <v>4</v>
      </c>
      <c r="G27" s="1">
        <f>IFERROR(__xludf.DUMMYFUNCTION("""COMPUTED_VALUE"""),7.1)</f>
        <v>7.1</v>
      </c>
      <c r="H27" s="1">
        <f>IFERROR(__xludf.DUMMYFUNCTION("""COMPUTED_VALUE"""),8.0)</f>
        <v>8</v>
      </c>
      <c r="I27" s="1" t="str">
        <f>IFERROR(__xludf.DUMMYFUNCTION("""COMPUTED_VALUE"""),"22.0-9.0")</f>
        <v>22.0-9.0</v>
      </c>
      <c r="J27" s="1" t="str">
        <f>IFERROR(__xludf.DUMMYFUNCTION("""COMPUTED_VALUE"""),"11.0-7.0")</f>
        <v>11.0-7.0</v>
      </c>
      <c r="K27" s="2">
        <f>IFERROR(__xludf.DUMMYFUNCTION("""COMPUTED_VALUE"""),0.012)</f>
        <v>0.012</v>
      </c>
      <c r="L27" s="1" t="str">
        <f>IFERROR(__xludf.DUMMYFUNCTION("""COMPUTED_VALUE"""),"3rd")</f>
        <v>3rd</v>
      </c>
    </row>
    <row r="28">
      <c r="A28" s="1" t="str">
        <f>IFERROR(__xludf.DUMMYFUNCTION("""COMPUTED_VALUE"""),"Mississippi State Bulldogs")</f>
        <v>Mississippi State Bulldogs</v>
      </c>
      <c r="B28" s="1" t="str">
        <f>IFERROR(__xludf.DUMMYFUNCTION("""COMPUTED_VALUE"""),"SEC")</f>
        <v>SEC</v>
      </c>
      <c r="C28" s="1" t="str">
        <f>IFERROR(__xludf.DUMMYFUNCTION("""COMPUTED_VALUE"""),"14-3")</f>
        <v>14-3</v>
      </c>
      <c r="D28" s="1">
        <f>IFERROR(__xludf.DUMMYFUNCTION("""COMPUTED_VALUE"""),15.0)</f>
        <v>15</v>
      </c>
      <c r="E28" s="1">
        <f>IFERROR(__xludf.DUMMYFUNCTION("""COMPUTED_VALUE"""),25.0)</f>
        <v>25</v>
      </c>
      <c r="F28" s="1">
        <f>IFERROR(__xludf.DUMMYFUNCTION("""COMPUTED_VALUE"""),4.0)</f>
        <v>4</v>
      </c>
      <c r="G28" s="1">
        <f>IFERROR(__xludf.DUMMYFUNCTION("""COMPUTED_VALUE"""),8.1)</f>
        <v>8.1</v>
      </c>
      <c r="H28" s="1">
        <f>IFERROR(__xludf.DUMMYFUNCTION("""COMPUTED_VALUE"""),6.9)</f>
        <v>6.9</v>
      </c>
      <c r="I28" s="1" t="str">
        <f>IFERROR(__xludf.DUMMYFUNCTION("""COMPUTED_VALUE"""),"21.4-9.6")</f>
        <v>21.4-9.6</v>
      </c>
      <c r="J28" s="1" t="str">
        <f>IFERROR(__xludf.DUMMYFUNCTION("""COMPUTED_VALUE"""),"9.4-8.6")</f>
        <v>9.4-8.6</v>
      </c>
      <c r="K28" s="2">
        <f>IFERROR(__xludf.DUMMYFUNCTION("""COMPUTED_VALUE"""),0.016)</f>
        <v>0.016</v>
      </c>
      <c r="L28" s="1" t="str">
        <f>IFERROR(__xludf.DUMMYFUNCTION("""COMPUTED_VALUE"""),"7th")</f>
        <v>7th</v>
      </c>
    </row>
    <row r="29">
      <c r="A29" s="1" t="str">
        <f>IFERROR(__xludf.DUMMYFUNCTION("""COMPUTED_VALUE"""),"St. John's Red Storm")</f>
        <v>St. John's Red Storm</v>
      </c>
      <c r="B29" s="1" t="str">
        <f>IFERROR(__xludf.DUMMYFUNCTION("""COMPUTED_VALUE"""),"Big East")</f>
        <v>Big East</v>
      </c>
      <c r="C29" s="1" t="str">
        <f>IFERROR(__xludf.DUMMYFUNCTION("""COMPUTED_VALUE"""),"15-3")</f>
        <v>15-3</v>
      </c>
      <c r="D29" s="1">
        <f>IFERROR(__xludf.DUMMYFUNCTION("""COMPUTED_VALUE"""),15.0)</f>
        <v>15</v>
      </c>
      <c r="E29" s="1">
        <f>IFERROR(__xludf.DUMMYFUNCTION("""COMPUTED_VALUE"""),26.0)</f>
        <v>26</v>
      </c>
      <c r="F29" s="1">
        <f>IFERROR(__xludf.DUMMYFUNCTION("""COMPUTED_VALUE"""),1.0)</f>
        <v>1</v>
      </c>
      <c r="G29" s="1">
        <f>IFERROR(__xludf.DUMMYFUNCTION("""COMPUTED_VALUE"""),5.6)</f>
        <v>5.6</v>
      </c>
      <c r="H29" s="1">
        <f>IFERROR(__xludf.DUMMYFUNCTION("""COMPUTED_VALUE"""),9.4)</f>
        <v>9.4</v>
      </c>
      <c r="I29" s="1" t="str">
        <f>IFERROR(__xludf.DUMMYFUNCTION("""COMPUTED_VALUE"""),"23.3-7.7")</f>
        <v>23.3-7.7</v>
      </c>
      <c r="J29" s="1" t="str">
        <f>IFERROR(__xludf.DUMMYFUNCTION("""COMPUTED_VALUE"""),"14.3-5.7")</f>
        <v>14.3-5.7</v>
      </c>
      <c r="K29" s="2">
        <f>IFERROR(__xludf.DUMMYFUNCTION("""COMPUTED_VALUE"""),0.181)</f>
        <v>0.181</v>
      </c>
      <c r="L29" s="1" t="str">
        <f>IFERROR(__xludf.DUMMYFUNCTION("""COMPUTED_VALUE"""),"53rd")</f>
        <v>53rd</v>
      </c>
    </row>
    <row r="30">
      <c r="A30" s="1" t="str">
        <f>IFERROR(__xludf.DUMMYFUNCTION("""COMPUTED_VALUE"""),"Clemson Tigers")</f>
        <v>Clemson Tigers</v>
      </c>
      <c r="B30" s="1" t="str">
        <f>IFERROR(__xludf.DUMMYFUNCTION("""COMPUTED_VALUE"""),"ACC")</f>
        <v>ACC</v>
      </c>
      <c r="C30" s="1" t="str">
        <f>IFERROR(__xludf.DUMMYFUNCTION("""COMPUTED_VALUE"""),"14-4")</f>
        <v>14-4</v>
      </c>
      <c r="D30" s="1">
        <f>IFERROR(__xludf.DUMMYFUNCTION("""COMPUTED_VALUE"""),14.6)</f>
        <v>14.6</v>
      </c>
      <c r="E30" s="1">
        <f>IFERROR(__xludf.DUMMYFUNCTION("""COMPUTED_VALUE"""),27.0)</f>
        <v>27</v>
      </c>
      <c r="F30" s="1">
        <f>IFERROR(__xludf.DUMMYFUNCTION("""COMPUTED_VALUE"""),3.0)</f>
        <v>3</v>
      </c>
      <c r="G30" s="1">
        <f>IFERROR(__xludf.DUMMYFUNCTION("""COMPUTED_VALUE"""),7.1)</f>
        <v>7.1</v>
      </c>
      <c r="H30" s="1">
        <f>IFERROR(__xludf.DUMMYFUNCTION("""COMPUTED_VALUE"""),7.4)</f>
        <v>7.4</v>
      </c>
      <c r="I30" s="1" t="str">
        <f>IFERROR(__xludf.DUMMYFUNCTION("""COMPUTED_VALUE"""),"23.1-7.9")</f>
        <v>23.1-7.9</v>
      </c>
      <c r="J30" s="1" t="str">
        <f>IFERROR(__xludf.DUMMYFUNCTION("""COMPUTED_VALUE"""),"15.1-4.9")</f>
        <v>15.1-4.9</v>
      </c>
      <c r="K30" s="2">
        <f>IFERROR(__xludf.DUMMYFUNCTION("""COMPUTED_VALUE"""),0.073)</f>
        <v>0.073</v>
      </c>
      <c r="L30" s="1" t="str">
        <f>IFERROR(__xludf.DUMMYFUNCTION("""COMPUTED_VALUE"""),"72nd")</f>
        <v>72nd</v>
      </c>
    </row>
    <row r="31">
      <c r="A31" s="1" t="str">
        <f>IFERROR(__xludf.DUMMYFUNCTION("""COMPUTED_VALUE"""),"Wisconsin Badgers")</f>
        <v>Wisconsin Badgers</v>
      </c>
      <c r="B31" s="1" t="str">
        <f>IFERROR(__xludf.DUMMYFUNCTION("""COMPUTED_VALUE"""),"Big Ten")</f>
        <v>Big Ten</v>
      </c>
      <c r="C31" s="1" t="str">
        <f>IFERROR(__xludf.DUMMYFUNCTION("""COMPUTED_VALUE"""),"14-3")</f>
        <v>14-3</v>
      </c>
      <c r="D31" s="1">
        <f>IFERROR(__xludf.DUMMYFUNCTION("""COMPUTED_VALUE"""),14.4)</f>
        <v>14.4</v>
      </c>
      <c r="E31" s="1">
        <f>IFERROR(__xludf.DUMMYFUNCTION("""COMPUTED_VALUE"""),28.0)</f>
        <v>28</v>
      </c>
      <c r="F31" s="1">
        <f>IFERROR(__xludf.DUMMYFUNCTION("""COMPUTED_VALUE"""),1.0)</f>
        <v>1</v>
      </c>
      <c r="G31" s="1">
        <f>IFERROR(__xludf.DUMMYFUNCTION("""COMPUTED_VALUE"""),8.6)</f>
        <v>8.6</v>
      </c>
      <c r="H31" s="1">
        <f>IFERROR(__xludf.DUMMYFUNCTION("""COMPUTED_VALUE"""),5.8)</f>
        <v>5.8</v>
      </c>
      <c r="I31" s="1" t="str">
        <f>IFERROR(__xludf.DUMMYFUNCTION("""COMPUTED_VALUE"""),"21.9-9.1")</f>
        <v>21.9-9.1</v>
      </c>
      <c r="J31" s="1" t="str">
        <f>IFERROR(__xludf.DUMMYFUNCTION("""COMPUTED_VALUE"""),"11.9-8.1")</f>
        <v>11.9-8.1</v>
      </c>
      <c r="K31" s="2">
        <f>IFERROR(__xludf.DUMMYFUNCTION("""COMPUTED_VALUE"""),0.069)</f>
        <v>0.069</v>
      </c>
      <c r="L31" s="1" t="str">
        <f>IFERROR(__xludf.DUMMYFUNCTION("""COMPUTED_VALUE"""),"32nd")</f>
        <v>32nd</v>
      </c>
    </row>
    <row r="32">
      <c r="A32" s="1" t="str">
        <f>IFERROR(__xludf.DUMMYFUNCTION("""COMPUTED_VALUE"""),"Oregon Ducks")</f>
        <v>Oregon Ducks</v>
      </c>
      <c r="B32" s="1" t="str">
        <f>IFERROR(__xludf.DUMMYFUNCTION("""COMPUTED_VALUE"""),"Big Ten")</f>
        <v>Big Ten</v>
      </c>
      <c r="C32" s="1" t="str">
        <f>IFERROR(__xludf.DUMMYFUNCTION("""COMPUTED_VALUE"""),"15-2")</f>
        <v>15-2</v>
      </c>
      <c r="D32" s="1">
        <f>IFERROR(__xludf.DUMMYFUNCTION("""COMPUTED_VALUE"""),14.1)</f>
        <v>14.1</v>
      </c>
      <c r="E32" s="1">
        <f>IFERROR(__xludf.DUMMYFUNCTION("""COMPUTED_VALUE"""),29.0)</f>
        <v>29</v>
      </c>
      <c r="F32" s="1" t="str">
        <f>IFERROR(__xludf.DUMMYFUNCTION("""COMPUTED_VALUE"""),"--")</f>
        <v>--</v>
      </c>
      <c r="G32" s="1">
        <f>IFERROR(__xludf.DUMMYFUNCTION("""COMPUTED_VALUE"""),7.6)</f>
        <v>7.6</v>
      </c>
      <c r="H32" s="1">
        <f>IFERROR(__xludf.DUMMYFUNCTION("""COMPUTED_VALUE"""),6.5)</f>
        <v>6.5</v>
      </c>
      <c r="I32" s="1" t="str">
        <f>IFERROR(__xludf.DUMMYFUNCTION("""COMPUTED_VALUE"""),"23.5-7.5")</f>
        <v>23.5-7.5</v>
      </c>
      <c r="J32" s="1" t="str">
        <f>IFERROR(__xludf.DUMMYFUNCTION("""COMPUTED_VALUE"""),"12.5-7.5")</f>
        <v>12.5-7.5</v>
      </c>
      <c r="K32" s="2">
        <f>IFERROR(__xludf.DUMMYFUNCTION("""COMPUTED_VALUE"""),0.077)</f>
        <v>0.077</v>
      </c>
      <c r="L32" s="1" t="str">
        <f>IFERROR(__xludf.DUMMYFUNCTION("""COMPUTED_VALUE"""),"50th")</f>
        <v>50th</v>
      </c>
    </row>
    <row r="33">
      <c r="A33" s="1" t="str">
        <f>IFERROR(__xludf.DUMMYFUNCTION("""COMPUTED_VALUE"""),"Creighton Bluejays")</f>
        <v>Creighton Bluejays</v>
      </c>
      <c r="B33" s="1" t="str">
        <f>IFERROR(__xludf.DUMMYFUNCTION("""COMPUTED_VALUE"""),"Big East")</f>
        <v>Big East</v>
      </c>
      <c r="C33" s="3">
        <f>IFERROR(__xludf.DUMMYFUNCTION("""COMPUTED_VALUE"""),45967.0)</f>
        <v>45967</v>
      </c>
      <c r="D33" s="1">
        <f>IFERROR(__xludf.DUMMYFUNCTION("""COMPUTED_VALUE"""),14.0)</f>
        <v>14</v>
      </c>
      <c r="E33" s="1">
        <f>IFERROR(__xludf.DUMMYFUNCTION("""COMPUTED_VALUE"""),30.0)</f>
        <v>30</v>
      </c>
      <c r="F33" s="1">
        <f>IFERROR(__xludf.DUMMYFUNCTION("""COMPUTED_VALUE"""),1.0)</f>
        <v>1</v>
      </c>
      <c r="G33" s="1">
        <f>IFERROR(__xludf.DUMMYFUNCTION("""COMPUTED_VALUE"""),6.8)</f>
        <v>6.8</v>
      </c>
      <c r="H33" s="1">
        <f>IFERROR(__xludf.DUMMYFUNCTION("""COMPUTED_VALUE"""),7.2)</f>
        <v>7.2</v>
      </c>
      <c r="I33" s="1" t="str">
        <f>IFERROR(__xludf.DUMMYFUNCTION("""COMPUTED_VALUE"""),"19.9-11.1")</f>
        <v>19.9-11.1</v>
      </c>
      <c r="J33" s="1" t="str">
        <f>IFERROR(__xludf.DUMMYFUNCTION("""COMPUTED_VALUE"""),"12.9-7.1")</f>
        <v>12.9-7.1</v>
      </c>
      <c r="K33" s="2">
        <f>IFERROR(__xludf.DUMMYFUNCTION("""COMPUTED_VALUE"""),0.117)</f>
        <v>0.117</v>
      </c>
      <c r="L33" s="1" t="str">
        <f>IFERROR(__xludf.DUMMYFUNCTION("""COMPUTED_VALUE"""),"61st")</f>
        <v>61st</v>
      </c>
    </row>
    <row r="34">
      <c r="A34" s="1" t="str">
        <f>IFERROR(__xludf.DUMMYFUNCTION("""COMPUTED_VALUE"""),"Cincinnati Bearcats")</f>
        <v>Cincinnati Bearcats</v>
      </c>
      <c r="B34" s="1" t="str">
        <f>IFERROR(__xludf.DUMMYFUNCTION("""COMPUTED_VALUE"""),"Big 12")</f>
        <v>Big 12</v>
      </c>
      <c r="C34" s="3">
        <f>IFERROR(__xludf.DUMMYFUNCTION("""COMPUTED_VALUE"""),45966.0)</f>
        <v>45966</v>
      </c>
      <c r="D34" s="1">
        <f>IFERROR(__xludf.DUMMYFUNCTION("""COMPUTED_VALUE"""),14.0)</f>
        <v>14</v>
      </c>
      <c r="E34" s="1">
        <f>IFERROR(__xludf.DUMMYFUNCTION("""COMPUTED_VALUE"""),31.0)</f>
        <v>31</v>
      </c>
      <c r="F34" s="1">
        <f>IFERROR(__xludf.DUMMYFUNCTION("""COMPUTED_VALUE"""),5.0)</f>
        <v>5</v>
      </c>
      <c r="G34" s="1">
        <f>IFERROR(__xludf.DUMMYFUNCTION("""COMPUTED_VALUE"""),3.9)</f>
        <v>3.9</v>
      </c>
      <c r="H34" s="1">
        <f>IFERROR(__xludf.DUMMYFUNCTION("""COMPUTED_VALUE"""),10.1)</f>
        <v>10.1</v>
      </c>
      <c r="I34" s="1" t="str">
        <f>IFERROR(__xludf.DUMMYFUNCTION("""COMPUTED_VALUE"""),"19.7-11.3")</f>
        <v>19.7-11.3</v>
      </c>
      <c r="J34" s="1" t="str">
        <f>IFERROR(__xludf.DUMMYFUNCTION("""COMPUTED_VALUE"""),"9.7-10.3")</f>
        <v>9.7-10.3</v>
      </c>
      <c r="K34" s="4">
        <f>IFERROR(__xludf.DUMMYFUNCTION("""COMPUTED_VALUE"""),0.01)</f>
        <v>0.01</v>
      </c>
      <c r="L34" s="1" t="str">
        <f>IFERROR(__xludf.DUMMYFUNCTION("""COMPUTED_VALUE"""),"45th")</f>
        <v>45th</v>
      </c>
    </row>
    <row r="35">
      <c r="A35" s="1" t="str">
        <f>IFERROR(__xludf.DUMMYFUNCTION("""COMPUTED_VALUE"""),"UCLA Bruins")</f>
        <v>UCLA Bruins</v>
      </c>
      <c r="B35" s="1" t="str">
        <f>IFERROR(__xludf.DUMMYFUNCTION("""COMPUTED_VALUE"""),"Big Ten")</f>
        <v>Big Ten</v>
      </c>
      <c r="C35" s="3">
        <f>IFERROR(__xludf.DUMMYFUNCTION("""COMPUTED_VALUE"""),45997.0)</f>
        <v>45997</v>
      </c>
      <c r="D35" s="1">
        <f>IFERROR(__xludf.DUMMYFUNCTION("""COMPUTED_VALUE"""),13.4)</f>
        <v>13.4</v>
      </c>
      <c r="E35" s="1">
        <f>IFERROR(__xludf.DUMMYFUNCTION("""COMPUTED_VALUE"""),32.0)</f>
        <v>32</v>
      </c>
      <c r="F35" s="1">
        <f>IFERROR(__xludf.DUMMYFUNCTION("""COMPUTED_VALUE"""),4.0)</f>
        <v>4</v>
      </c>
      <c r="G35" s="1">
        <f>IFERROR(__xludf.DUMMYFUNCTION("""COMPUTED_VALUE"""),4.8)</f>
        <v>4.8</v>
      </c>
      <c r="H35" s="1">
        <f>IFERROR(__xludf.DUMMYFUNCTION("""COMPUTED_VALUE"""),8.7)</f>
        <v>8.7</v>
      </c>
      <c r="I35" s="1" t="str">
        <f>IFERROR(__xludf.DUMMYFUNCTION("""COMPUTED_VALUE"""),"19.4-11.6")</f>
        <v>19.4-11.6</v>
      </c>
      <c r="J35" s="1" t="str">
        <f>IFERROR(__xludf.DUMMYFUNCTION("""COMPUTED_VALUE"""),"10.4-9.6")</f>
        <v>10.4-9.6</v>
      </c>
      <c r="K35" s="2">
        <f>IFERROR(__xludf.DUMMYFUNCTION("""COMPUTED_VALUE"""),0.048)</f>
        <v>0.048</v>
      </c>
      <c r="L35" s="1" t="str">
        <f>IFERROR(__xludf.DUMMYFUNCTION("""COMPUTED_VALUE"""),"40th")</f>
        <v>40th</v>
      </c>
    </row>
    <row r="36">
      <c r="A36" s="1" t="str">
        <f>IFERROR(__xludf.DUMMYFUNCTION("""COMPUTED_VALUE"""),"BYU Cougars")</f>
        <v>BYU Cougars</v>
      </c>
      <c r="B36" s="1" t="str">
        <f>IFERROR(__xludf.DUMMYFUNCTION("""COMPUTED_VALUE"""),"Big 12")</f>
        <v>Big 12</v>
      </c>
      <c r="C36" s="3">
        <f>IFERROR(__xludf.DUMMYFUNCTION("""COMPUTED_VALUE"""),45966.0)</f>
        <v>45966</v>
      </c>
      <c r="D36" s="1">
        <f>IFERROR(__xludf.DUMMYFUNCTION("""COMPUTED_VALUE"""),13.3)</f>
        <v>13.3</v>
      </c>
      <c r="E36" s="1">
        <f>IFERROR(__xludf.DUMMYFUNCTION("""COMPUTED_VALUE"""),33.0)</f>
        <v>33</v>
      </c>
      <c r="F36" s="1">
        <f>IFERROR(__xludf.DUMMYFUNCTION("""COMPUTED_VALUE"""),2.0)</f>
        <v>2</v>
      </c>
      <c r="G36" s="1">
        <f>IFERROR(__xludf.DUMMYFUNCTION("""COMPUTED_VALUE"""),7.3)</f>
        <v>7.3</v>
      </c>
      <c r="H36" s="1">
        <f>IFERROR(__xludf.DUMMYFUNCTION("""COMPUTED_VALUE"""),5.9)</f>
        <v>5.9</v>
      </c>
      <c r="I36" s="1" t="str">
        <f>IFERROR(__xludf.DUMMYFUNCTION("""COMPUTED_VALUE"""),"18.6-12.4")</f>
        <v>18.6-12.4</v>
      </c>
      <c r="J36" s="1" t="str">
        <f>IFERROR(__xludf.DUMMYFUNCTION("""COMPUTED_VALUE"""),"9.6-10.4")</f>
        <v>9.6-10.4</v>
      </c>
      <c r="K36" s="2">
        <f>IFERROR(__xludf.DUMMYFUNCTION("""COMPUTED_VALUE"""),0.003)</f>
        <v>0.003</v>
      </c>
      <c r="L36" s="1" t="str">
        <f>IFERROR(__xludf.DUMMYFUNCTION("""COMPUTED_VALUE"""),"22nd")</f>
        <v>22nd</v>
      </c>
    </row>
    <row r="37">
      <c r="A37" s="1" t="str">
        <f>IFERROR(__xludf.DUMMYFUNCTION("""COMPUTED_VALUE"""),"Ohio State Buckeyes")</f>
        <v>Ohio State Buckeyes</v>
      </c>
      <c r="B37" s="1" t="str">
        <f>IFERROR(__xludf.DUMMYFUNCTION("""COMPUTED_VALUE"""),"Big Ten")</f>
        <v>Big Ten</v>
      </c>
      <c r="C37" s="3">
        <f>IFERROR(__xludf.DUMMYFUNCTION("""COMPUTED_VALUE"""),45938.0)</f>
        <v>45938</v>
      </c>
      <c r="D37" s="1">
        <f>IFERROR(__xludf.DUMMYFUNCTION("""COMPUTED_VALUE"""),13.1)</f>
        <v>13.1</v>
      </c>
      <c r="E37" s="1">
        <f>IFERROR(__xludf.DUMMYFUNCTION("""COMPUTED_VALUE"""),34.0)</f>
        <v>34</v>
      </c>
      <c r="F37" s="1">
        <f>IFERROR(__xludf.DUMMYFUNCTION("""COMPUTED_VALUE"""),1.0)</f>
        <v>1</v>
      </c>
      <c r="G37" s="1">
        <f>IFERROR(__xludf.DUMMYFUNCTION("""COMPUTED_VALUE"""),6.4)</f>
        <v>6.4</v>
      </c>
      <c r="H37" s="1">
        <f>IFERROR(__xludf.DUMMYFUNCTION("""COMPUTED_VALUE"""),6.7)</f>
        <v>6.7</v>
      </c>
      <c r="I37" s="1" t="str">
        <f>IFERROR(__xludf.DUMMYFUNCTION("""COMPUTED_VALUE"""),"16.7-14.3")</f>
        <v>16.7-14.3</v>
      </c>
      <c r="J37" s="1" t="str">
        <f>IFERROR(__xludf.DUMMYFUNCTION("""COMPUTED_VALUE"""),"8.7-11.3")</f>
        <v>8.7-11.3</v>
      </c>
      <c r="K37" s="2">
        <f>IFERROR(__xludf.DUMMYFUNCTION("""COMPUTED_VALUE"""),0.042)</f>
        <v>0.042</v>
      </c>
      <c r="L37" s="1" t="str">
        <f>IFERROR(__xludf.DUMMYFUNCTION("""COMPUTED_VALUE"""),"28th")</f>
        <v>28th</v>
      </c>
    </row>
    <row r="38">
      <c r="A38" s="1" t="str">
        <f>IFERROR(__xludf.DUMMYFUNCTION("""COMPUTED_VALUE"""),"Georgia Bulldogs")</f>
        <v>Georgia Bulldogs</v>
      </c>
      <c r="B38" s="1" t="str">
        <f>IFERROR(__xludf.DUMMYFUNCTION("""COMPUTED_VALUE"""),"SEC")</f>
        <v>SEC</v>
      </c>
      <c r="C38" s="1" t="str">
        <f>IFERROR(__xludf.DUMMYFUNCTION("""COMPUTED_VALUE"""),"14-3")</f>
        <v>14-3</v>
      </c>
      <c r="D38" s="1">
        <f>IFERROR(__xludf.DUMMYFUNCTION("""COMPUTED_VALUE"""),12.8)</f>
        <v>12.8</v>
      </c>
      <c r="E38" s="1">
        <f>IFERROR(__xludf.DUMMYFUNCTION("""COMPUTED_VALUE"""),35.0)</f>
        <v>35</v>
      </c>
      <c r="F38" s="1">
        <f>IFERROR(__xludf.DUMMYFUNCTION("""COMPUTED_VALUE"""),4.0)</f>
        <v>4</v>
      </c>
      <c r="G38" s="1">
        <f>IFERROR(__xludf.DUMMYFUNCTION("""COMPUTED_VALUE"""),4.8)</f>
        <v>4.8</v>
      </c>
      <c r="H38" s="1">
        <f>IFERROR(__xludf.DUMMYFUNCTION("""COMPUTED_VALUE"""),8.0)</f>
        <v>8</v>
      </c>
      <c r="I38" s="1" t="str">
        <f>IFERROR(__xludf.DUMMYFUNCTION("""COMPUTED_VALUE"""),"20.1-10.9")</f>
        <v>20.1-10.9</v>
      </c>
      <c r="J38" s="1" t="str">
        <f>IFERROR(__xludf.DUMMYFUNCTION("""COMPUTED_VALUE"""),"8.1-9.9")</f>
        <v>8.1-9.9</v>
      </c>
      <c r="K38" s="2">
        <f>IFERROR(__xludf.DUMMYFUNCTION("""COMPUTED_VALUE"""),0.001)</f>
        <v>0.001</v>
      </c>
      <c r="L38" s="1" t="str">
        <f>IFERROR(__xludf.DUMMYFUNCTION("""COMPUTED_VALUE"""),"15th")</f>
        <v>15th</v>
      </c>
    </row>
    <row r="39">
      <c r="A39" s="1" t="str">
        <f>IFERROR(__xludf.DUMMYFUNCTION("""COMPUTED_VALUE"""),"Pittsburgh Panthers")</f>
        <v>Pittsburgh Panthers</v>
      </c>
      <c r="B39" s="1" t="str">
        <f>IFERROR(__xludf.DUMMYFUNCTION("""COMPUTED_VALUE"""),"ACC")</f>
        <v>ACC</v>
      </c>
      <c r="C39" s="3">
        <f>IFERROR(__xludf.DUMMYFUNCTION("""COMPUTED_VALUE"""),45996.0)</f>
        <v>45996</v>
      </c>
      <c r="D39" s="1">
        <f>IFERROR(__xludf.DUMMYFUNCTION("""COMPUTED_VALUE"""),12.7)</f>
        <v>12.7</v>
      </c>
      <c r="E39" s="1">
        <f>IFERROR(__xludf.DUMMYFUNCTION("""COMPUTED_VALUE"""),36.0)</f>
        <v>36</v>
      </c>
      <c r="F39" s="1">
        <f>IFERROR(__xludf.DUMMYFUNCTION("""COMPUTED_VALUE"""),4.0)</f>
        <v>4</v>
      </c>
      <c r="G39" s="1">
        <f>IFERROR(__xludf.DUMMYFUNCTION("""COMPUTED_VALUE"""),6.9)</f>
        <v>6.9</v>
      </c>
      <c r="H39" s="1">
        <f>IFERROR(__xludf.DUMMYFUNCTION("""COMPUTED_VALUE"""),5.8)</f>
        <v>5.8</v>
      </c>
      <c r="I39" s="1" t="str">
        <f>IFERROR(__xludf.DUMMYFUNCTION("""COMPUTED_VALUE"""),"20.9-10.1")</f>
        <v>20.9-10.1</v>
      </c>
      <c r="J39" s="1" t="str">
        <f>IFERROR(__xludf.DUMMYFUNCTION("""COMPUTED_VALUE"""),"11.9-8.1")</f>
        <v>11.9-8.1</v>
      </c>
      <c r="K39" s="2">
        <f>IFERROR(__xludf.DUMMYFUNCTION("""COMPUTED_VALUE"""),0.014)</f>
        <v>0.014</v>
      </c>
      <c r="L39" s="1" t="str">
        <f>IFERROR(__xludf.DUMMYFUNCTION("""COMPUTED_VALUE"""),"73rd")</f>
        <v>73rd</v>
      </c>
    </row>
    <row r="40">
      <c r="A40" s="1" t="str">
        <f>IFERROR(__xludf.DUMMYFUNCTION("""COMPUTED_VALUE"""),"Memphis Tigers")</f>
        <v>Memphis Tigers</v>
      </c>
      <c r="B40" s="1" t="str">
        <f>IFERROR(__xludf.DUMMYFUNCTION("""COMPUTED_VALUE"""),"American")</f>
        <v>American</v>
      </c>
      <c r="C40" s="1" t="str">
        <f>IFERROR(__xludf.DUMMYFUNCTION("""COMPUTED_VALUE"""),"13-4")</f>
        <v>13-4</v>
      </c>
      <c r="D40" s="1">
        <f>IFERROR(__xludf.DUMMYFUNCTION("""COMPUTED_VALUE"""),12.4)</f>
        <v>12.4</v>
      </c>
      <c r="E40" s="1">
        <f>IFERROR(__xludf.DUMMYFUNCTION("""COMPUTED_VALUE"""),37.0)</f>
        <v>37</v>
      </c>
      <c r="F40" s="1">
        <f>IFERROR(__xludf.DUMMYFUNCTION("""COMPUTED_VALUE"""),3.0)</f>
        <v>3</v>
      </c>
      <c r="G40" s="1">
        <f>IFERROR(__xludf.DUMMYFUNCTION("""COMPUTED_VALUE"""),5.9)</f>
        <v>5.9</v>
      </c>
      <c r="H40" s="1">
        <f>IFERROR(__xludf.DUMMYFUNCTION("""COMPUTED_VALUE"""),6.5)</f>
        <v>6.5</v>
      </c>
      <c r="I40" s="1" t="str">
        <f>IFERROR(__xludf.DUMMYFUNCTION("""COMPUTED_VALUE"""),"25.1-5.9")</f>
        <v>25.1-5.9</v>
      </c>
      <c r="J40" s="1" t="str">
        <f>IFERROR(__xludf.DUMMYFUNCTION("""COMPUTED_VALUE"""),"15.1-2.9")</f>
        <v>15.1-2.9</v>
      </c>
      <c r="K40" s="2">
        <f>IFERROR(__xludf.DUMMYFUNCTION("""COMPUTED_VALUE"""),0.898)</f>
        <v>0.898</v>
      </c>
      <c r="L40" s="1" t="str">
        <f>IFERROR(__xludf.DUMMYFUNCTION("""COMPUTED_VALUE"""),"127th")</f>
        <v>127th</v>
      </c>
    </row>
    <row r="41">
      <c r="A41" s="1" t="str">
        <f>IFERROR(__xludf.DUMMYFUNCTION("""COMPUTED_VALUE"""),"Villanova Wildcats")</f>
        <v>Villanova Wildcats</v>
      </c>
      <c r="B41" s="1" t="str">
        <f>IFERROR(__xludf.DUMMYFUNCTION("""COMPUTED_VALUE"""),"Big East")</f>
        <v>Big East</v>
      </c>
      <c r="C41" s="3">
        <f>IFERROR(__xludf.DUMMYFUNCTION("""COMPUTED_VALUE"""),45998.0)</f>
        <v>45998</v>
      </c>
      <c r="D41" s="1">
        <f>IFERROR(__xludf.DUMMYFUNCTION("""COMPUTED_VALUE"""),12.3)</f>
        <v>12.3</v>
      </c>
      <c r="E41" s="1">
        <f>IFERROR(__xludf.DUMMYFUNCTION("""COMPUTED_VALUE"""),38.0)</f>
        <v>38</v>
      </c>
      <c r="F41" s="1" t="str">
        <f>IFERROR(__xludf.DUMMYFUNCTION("""COMPUTED_VALUE"""),"--")</f>
        <v>--</v>
      </c>
      <c r="G41" s="1">
        <f>IFERROR(__xludf.DUMMYFUNCTION("""COMPUTED_VALUE"""),9.1)</f>
        <v>9.1</v>
      </c>
      <c r="H41" s="1">
        <f>IFERROR(__xludf.DUMMYFUNCTION("""COMPUTED_VALUE"""),3.2)</f>
        <v>3.2</v>
      </c>
      <c r="I41" s="1" t="str">
        <f>IFERROR(__xludf.DUMMYFUNCTION("""COMPUTED_VALUE"""),"18.8-12.2")</f>
        <v>18.8-12.2</v>
      </c>
      <c r="J41" s="1" t="str">
        <f>IFERROR(__xludf.DUMMYFUNCTION("""COMPUTED_VALUE"""),"11.8-8.2")</f>
        <v>11.8-8.2</v>
      </c>
      <c r="K41" s="2">
        <f>IFERROR(__xludf.DUMMYFUNCTION("""COMPUTED_VALUE"""),0.043)</f>
        <v>0.043</v>
      </c>
      <c r="L41" s="1" t="str">
        <f>IFERROR(__xludf.DUMMYFUNCTION("""COMPUTED_VALUE"""),"51st")</f>
        <v>51st</v>
      </c>
    </row>
    <row r="42">
      <c r="A42" s="1" t="str">
        <f>IFERROR(__xludf.DUMMYFUNCTION("""COMPUTED_VALUE"""),"Louisville Cardinals")</f>
        <v>Louisville Cardinals</v>
      </c>
      <c r="B42" s="1" t="str">
        <f>IFERROR(__xludf.DUMMYFUNCTION("""COMPUTED_VALUE"""),"ACC")</f>
        <v>ACC</v>
      </c>
      <c r="C42" s="1" t="str">
        <f>IFERROR(__xludf.DUMMYFUNCTION("""COMPUTED_VALUE"""),"13-5")</f>
        <v>13-5</v>
      </c>
      <c r="D42" s="1">
        <f>IFERROR(__xludf.DUMMYFUNCTION("""COMPUTED_VALUE"""),12.1)</f>
        <v>12.1</v>
      </c>
      <c r="E42" s="1">
        <f>IFERROR(__xludf.DUMMYFUNCTION("""COMPUTED_VALUE"""),39.0)</f>
        <v>39</v>
      </c>
      <c r="F42" s="1">
        <f>IFERROR(__xludf.DUMMYFUNCTION("""COMPUTED_VALUE"""),11.0)</f>
        <v>11</v>
      </c>
      <c r="G42" s="1">
        <f>IFERROR(__xludf.DUMMYFUNCTION("""COMPUTED_VALUE"""),6.0)</f>
        <v>6</v>
      </c>
      <c r="H42" s="1">
        <f>IFERROR(__xludf.DUMMYFUNCTION("""COMPUTED_VALUE"""),6.0)</f>
        <v>6</v>
      </c>
      <c r="I42" s="1" t="str">
        <f>IFERROR(__xludf.DUMMYFUNCTION("""COMPUTED_VALUE"""),"22.3-8.7")</f>
        <v>22.3-8.7</v>
      </c>
      <c r="J42" s="1" t="str">
        <f>IFERROR(__xludf.DUMMYFUNCTION("""COMPUTED_VALUE"""),"15.3-4.7")</f>
        <v>15.3-4.7</v>
      </c>
      <c r="K42" s="4">
        <f>IFERROR(__xludf.DUMMYFUNCTION("""COMPUTED_VALUE"""),0.01)</f>
        <v>0.01</v>
      </c>
      <c r="L42" s="1" t="str">
        <f>IFERROR(__xludf.DUMMYFUNCTION("""COMPUTED_VALUE"""),"80th")</f>
        <v>80th</v>
      </c>
    </row>
    <row r="43">
      <c r="A43" s="1" t="str">
        <f>IFERROR(__xludf.DUMMYFUNCTION("""COMPUTED_VALUE"""),"Missouri Tigers")</f>
        <v>Missouri Tigers</v>
      </c>
      <c r="B43" s="1" t="str">
        <f>IFERROR(__xludf.DUMMYFUNCTION("""COMPUTED_VALUE"""),"SEC")</f>
        <v>SEC</v>
      </c>
      <c r="C43" s="1" t="str">
        <f>IFERROR(__xludf.DUMMYFUNCTION("""COMPUTED_VALUE"""),"14-3")</f>
        <v>14-3</v>
      </c>
      <c r="D43" s="1">
        <f>IFERROR(__xludf.DUMMYFUNCTION("""COMPUTED_VALUE"""),12.0)</f>
        <v>12</v>
      </c>
      <c r="E43" s="1">
        <f>IFERROR(__xludf.DUMMYFUNCTION("""COMPUTED_VALUE"""),40.0)</f>
        <v>40</v>
      </c>
      <c r="F43" s="1">
        <f>IFERROR(__xludf.DUMMYFUNCTION("""COMPUTED_VALUE"""),2.0)</f>
        <v>2</v>
      </c>
      <c r="G43" s="1">
        <f>IFERROR(__xludf.DUMMYFUNCTION("""COMPUTED_VALUE"""),7.6)</f>
        <v>7.6</v>
      </c>
      <c r="H43" s="1">
        <f>IFERROR(__xludf.DUMMYFUNCTION("""COMPUTED_VALUE"""),4.5)</f>
        <v>4.5</v>
      </c>
      <c r="I43" s="1" t="str">
        <f>IFERROR(__xludf.DUMMYFUNCTION("""COMPUTED_VALUE"""),"20.1-10.9")</f>
        <v>20.1-10.9</v>
      </c>
      <c r="J43" s="1" t="str">
        <f>IFERROR(__xludf.DUMMYFUNCTION("""COMPUTED_VALUE"""),"9.1-8.9")</f>
        <v>9.1-8.9</v>
      </c>
      <c r="K43" s="2">
        <f>IFERROR(__xludf.DUMMYFUNCTION("""COMPUTED_VALUE"""),0.002)</f>
        <v>0.002</v>
      </c>
      <c r="L43" s="1" t="str">
        <f>IFERROR(__xludf.DUMMYFUNCTION("""COMPUTED_VALUE"""),"12th")</f>
        <v>12th</v>
      </c>
    </row>
    <row r="44">
      <c r="A44" s="1" t="str">
        <f>IFERROR(__xludf.DUMMYFUNCTION("""COMPUTED_VALUE"""),"Utah State Aggies")</f>
        <v>Utah State Aggies</v>
      </c>
      <c r="B44" s="1" t="str">
        <f>IFERROR(__xludf.DUMMYFUNCTION("""COMPUTED_VALUE"""),"Mountain West")</f>
        <v>Mountain West</v>
      </c>
      <c r="C44" s="1" t="str">
        <f>IFERROR(__xludf.DUMMYFUNCTION("""COMPUTED_VALUE"""),"16-2")</f>
        <v>16-2</v>
      </c>
      <c r="D44" s="1">
        <f>IFERROR(__xludf.DUMMYFUNCTION("""COMPUTED_VALUE"""),11.9)</f>
        <v>11.9</v>
      </c>
      <c r="E44" s="1">
        <f>IFERROR(__xludf.DUMMYFUNCTION("""COMPUTED_VALUE"""),41.0)</f>
        <v>41</v>
      </c>
      <c r="F44" s="1">
        <f>IFERROR(__xludf.DUMMYFUNCTION("""COMPUTED_VALUE"""),1.0)</f>
        <v>1</v>
      </c>
      <c r="G44" s="1">
        <f>IFERROR(__xludf.DUMMYFUNCTION("""COMPUTED_VALUE"""),7.5)</f>
        <v>7.5</v>
      </c>
      <c r="H44" s="1">
        <f>IFERROR(__xludf.DUMMYFUNCTION("""COMPUTED_VALUE"""),4.4)</f>
        <v>4.4</v>
      </c>
      <c r="I44" s="1" t="str">
        <f>IFERROR(__xludf.DUMMYFUNCTION("""COMPUTED_VALUE"""),"25.8-5.2")</f>
        <v>25.8-5.2</v>
      </c>
      <c r="J44" s="1" t="str">
        <f>IFERROR(__xludf.DUMMYFUNCTION("""COMPUTED_VALUE"""),"15.8-4.2")</f>
        <v>15.8-4.2</v>
      </c>
      <c r="K44" s="2">
        <f>IFERROR(__xludf.DUMMYFUNCTION("""COMPUTED_VALUE"""),0.452)</f>
        <v>0.452</v>
      </c>
      <c r="L44" s="1" t="str">
        <f>IFERROR(__xludf.DUMMYFUNCTION("""COMPUTED_VALUE"""),"100th")</f>
        <v>100th</v>
      </c>
    </row>
    <row r="45">
      <c r="A45" s="1" t="str">
        <f>IFERROR(__xludf.DUMMYFUNCTION("""COMPUTED_VALUE"""),"Saint Mary's Gaels")</f>
        <v>Saint Mary's Gaels</v>
      </c>
      <c r="B45" s="1" t="str">
        <f>IFERROR(__xludf.DUMMYFUNCTION("""COMPUTED_VALUE"""),"WCC")</f>
        <v>WCC</v>
      </c>
      <c r="C45" s="1" t="str">
        <f>IFERROR(__xludf.DUMMYFUNCTION("""COMPUTED_VALUE"""),"15-3")</f>
        <v>15-3</v>
      </c>
      <c r="D45" s="1">
        <f>IFERROR(__xludf.DUMMYFUNCTION("""COMPUTED_VALUE"""),11.9)</f>
        <v>11.9</v>
      </c>
      <c r="E45" s="1">
        <f>IFERROR(__xludf.DUMMYFUNCTION("""COMPUTED_VALUE"""),42.0)</f>
        <v>42</v>
      </c>
      <c r="F45" s="1">
        <f>IFERROR(__xludf.DUMMYFUNCTION("""COMPUTED_VALUE"""),5.0)</f>
        <v>5</v>
      </c>
      <c r="G45" s="1">
        <f>IFERROR(__xludf.DUMMYFUNCTION("""COMPUTED_VALUE"""),5.1)</f>
        <v>5.1</v>
      </c>
      <c r="H45" s="1">
        <f>IFERROR(__xludf.DUMMYFUNCTION("""COMPUTED_VALUE"""),6.7)</f>
        <v>6.7</v>
      </c>
      <c r="I45" s="1" t="str">
        <f>IFERROR(__xludf.DUMMYFUNCTION("""COMPUTED_VALUE"""),"23.9-7.1")</f>
        <v>23.9-7.1</v>
      </c>
      <c r="J45" s="1" t="str">
        <f>IFERROR(__xludf.DUMMYFUNCTION("""COMPUTED_VALUE"""),"13.9-4.1")</f>
        <v>13.9-4.1</v>
      </c>
      <c r="K45" s="4">
        <f>IFERROR(__xludf.DUMMYFUNCTION("""COMPUTED_VALUE"""),0.18)</f>
        <v>0.18</v>
      </c>
      <c r="L45" s="1" t="str">
        <f>IFERROR(__xludf.DUMMYFUNCTION("""COMPUTED_VALUE"""),"81st")</f>
        <v>81st</v>
      </c>
    </row>
    <row r="46">
      <c r="A46" s="1" t="str">
        <f>IFERROR(__xludf.DUMMYFUNCTION("""COMPUTED_VALUE"""),"San Diego State Aztecs")</f>
        <v>San Diego State Aztecs</v>
      </c>
      <c r="B46" s="1" t="str">
        <f>IFERROR(__xludf.DUMMYFUNCTION("""COMPUTED_VALUE"""),"Mountain West")</f>
        <v>Mountain West</v>
      </c>
      <c r="C46" s="3">
        <f>IFERROR(__xludf.DUMMYFUNCTION("""COMPUTED_VALUE"""),45965.0)</f>
        <v>45965</v>
      </c>
      <c r="D46" s="1">
        <f>IFERROR(__xludf.DUMMYFUNCTION("""COMPUTED_VALUE"""),11.7)</f>
        <v>11.7</v>
      </c>
      <c r="E46" s="1">
        <f>IFERROR(__xludf.DUMMYFUNCTION("""COMPUTED_VALUE"""),43.0)</f>
        <v>43</v>
      </c>
      <c r="F46" s="1">
        <f>IFERROR(__xludf.DUMMYFUNCTION("""COMPUTED_VALUE"""),2.0)</f>
        <v>2</v>
      </c>
      <c r="G46" s="1">
        <f>IFERROR(__xludf.DUMMYFUNCTION("""COMPUTED_VALUE"""),2.0)</f>
        <v>2</v>
      </c>
      <c r="H46" s="1">
        <f>IFERROR(__xludf.DUMMYFUNCTION("""COMPUTED_VALUE"""),9.7)</f>
        <v>9.7</v>
      </c>
      <c r="I46" s="1" t="str">
        <f>IFERROR(__xludf.DUMMYFUNCTION("""COMPUTED_VALUE"""),"21.5-7.5")</f>
        <v>21.5-7.5</v>
      </c>
      <c r="J46" s="1" t="str">
        <f>IFERROR(__xludf.DUMMYFUNCTION("""COMPUTED_VALUE"""),"14.5-5.5")</f>
        <v>14.5-5.5</v>
      </c>
      <c r="K46" s="2">
        <f>IFERROR(__xludf.DUMMYFUNCTION("""COMPUTED_VALUE"""),0.374)</f>
        <v>0.374</v>
      </c>
      <c r="L46" s="1" t="str">
        <f>IFERROR(__xludf.DUMMYFUNCTION("""COMPUTED_VALUE"""),"98th")</f>
        <v>98th</v>
      </c>
    </row>
    <row r="47">
      <c r="A47" s="1" t="str">
        <f>IFERROR(__xludf.DUMMYFUNCTION("""COMPUTED_VALUE"""),"West Virginia Mountaineers")</f>
        <v>West Virginia Mountaineers</v>
      </c>
      <c r="B47" s="1" t="str">
        <f>IFERROR(__xludf.DUMMYFUNCTION("""COMPUTED_VALUE"""),"Big 12")</f>
        <v>Big 12</v>
      </c>
      <c r="C47" s="3">
        <f>IFERROR(__xludf.DUMMYFUNCTION("""COMPUTED_VALUE"""),45995.0)</f>
        <v>45995</v>
      </c>
      <c r="D47" s="1">
        <f>IFERROR(__xludf.DUMMYFUNCTION("""COMPUTED_VALUE"""),11.7)</f>
        <v>11.7</v>
      </c>
      <c r="E47" s="1">
        <f>IFERROR(__xludf.DUMMYFUNCTION("""COMPUTED_VALUE"""),44.0)</f>
        <v>44</v>
      </c>
      <c r="F47" s="1" t="str">
        <f>IFERROR(__xludf.DUMMYFUNCTION("""COMPUTED_VALUE"""),"--")</f>
        <v>--</v>
      </c>
      <c r="G47" s="1">
        <f>IFERROR(__xludf.DUMMYFUNCTION("""COMPUTED_VALUE"""),4.1)</f>
        <v>4.1</v>
      </c>
      <c r="H47" s="1">
        <f>IFERROR(__xludf.DUMMYFUNCTION("""COMPUTED_VALUE"""),7.6)</f>
        <v>7.6</v>
      </c>
      <c r="I47" s="1" t="str">
        <f>IFERROR(__xludf.DUMMYFUNCTION("""COMPUTED_VALUE"""),"18.9-12.1")</f>
        <v>18.9-12.1</v>
      </c>
      <c r="J47" s="1" t="str">
        <f>IFERROR(__xludf.DUMMYFUNCTION("""COMPUTED_VALUE"""),"9.9-10.1")</f>
        <v>9.9-10.1</v>
      </c>
      <c r="K47" s="1" t="str">
        <f>IFERROR(__xludf.DUMMYFUNCTION("""COMPUTED_VALUE"""),"&lt;0.1%")</f>
        <v>&lt;0.1%</v>
      </c>
      <c r="L47" s="1" t="str">
        <f>IFERROR(__xludf.DUMMYFUNCTION("""COMPUTED_VALUE"""),"30th")</f>
        <v>30th</v>
      </c>
    </row>
    <row r="48">
      <c r="A48" s="1" t="str">
        <f>IFERROR(__xludf.DUMMYFUNCTION("""COMPUTED_VALUE"""),"Nebraska Cornhuskers")</f>
        <v>Nebraska Cornhuskers</v>
      </c>
      <c r="B48" s="1" t="str">
        <f>IFERROR(__xludf.DUMMYFUNCTION("""COMPUTED_VALUE"""),"Big Ten")</f>
        <v>Big Ten</v>
      </c>
      <c r="C48" s="3">
        <f>IFERROR(__xludf.DUMMYFUNCTION("""COMPUTED_VALUE"""),45996.0)</f>
        <v>45996</v>
      </c>
      <c r="D48" s="1">
        <f>IFERROR(__xludf.DUMMYFUNCTION("""COMPUTED_VALUE"""),11.5)</f>
        <v>11.5</v>
      </c>
      <c r="E48" s="1">
        <f>IFERROR(__xludf.DUMMYFUNCTION("""COMPUTED_VALUE"""),45.0)</f>
        <v>45</v>
      </c>
      <c r="F48" s="1">
        <f>IFERROR(__xludf.DUMMYFUNCTION("""COMPUTED_VALUE"""),8.0)</f>
        <v>8</v>
      </c>
      <c r="G48" s="1">
        <f>IFERROR(__xludf.DUMMYFUNCTION("""COMPUTED_VALUE"""),4.8)</f>
        <v>4.8</v>
      </c>
      <c r="H48" s="1">
        <f>IFERROR(__xludf.DUMMYFUNCTION("""COMPUTED_VALUE"""),6.7)</f>
        <v>6.7</v>
      </c>
      <c r="I48" s="1" t="str">
        <f>IFERROR(__xludf.DUMMYFUNCTION("""COMPUTED_VALUE"""),"18.5-12.5")</f>
        <v>18.5-12.5</v>
      </c>
      <c r="J48" s="1" t="str">
        <f>IFERROR(__xludf.DUMMYFUNCTION("""COMPUTED_VALUE"""),"8.5-11.5")</f>
        <v>8.5-11.5</v>
      </c>
      <c r="K48" s="2">
        <f>IFERROR(__xludf.DUMMYFUNCTION("""COMPUTED_VALUE"""),0.011)</f>
        <v>0.011</v>
      </c>
      <c r="L48" s="1" t="str">
        <f>IFERROR(__xludf.DUMMYFUNCTION("""COMPUTED_VALUE"""),"29th")</f>
        <v>29th</v>
      </c>
    </row>
    <row r="49">
      <c r="A49" s="1" t="str">
        <f>IFERROR(__xludf.DUMMYFUNCTION("""COMPUTED_VALUE"""),"Northwestern Wildcats")</f>
        <v>Northwestern Wildcats</v>
      </c>
      <c r="B49" s="1" t="str">
        <f>IFERROR(__xludf.DUMMYFUNCTION("""COMPUTED_VALUE"""),"Big Ten")</f>
        <v>Big Ten</v>
      </c>
      <c r="C49" s="3">
        <f>IFERROR(__xludf.DUMMYFUNCTION("""COMPUTED_VALUE"""),45967.0)</f>
        <v>45967</v>
      </c>
      <c r="D49" s="1">
        <f>IFERROR(__xludf.DUMMYFUNCTION("""COMPUTED_VALUE"""),11.3)</f>
        <v>11.3</v>
      </c>
      <c r="E49" s="1">
        <f>IFERROR(__xludf.DUMMYFUNCTION("""COMPUTED_VALUE"""),46.0)</f>
        <v>46</v>
      </c>
      <c r="F49" s="1">
        <f>IFERROR(__xludf.DUMMYFUNCTION("""COMPUTED_VALUE"""),3.0)</f>
        <v>3</v>
      </c>
      <c r="G49" s="1">
        <f>IFERROR(__xludf.DUMMYFUNCTION("""COMPUTED_VALUE"""),4.4)</f>
        <v>4.4</v>
      </c>
      <c r="H49" s="1">
        <f>IFERROR(__xludf.DUMMYFUNCTION("""COMPUTED_VALUE"""),7.0)</f>
        <v>7</v>
      </c>
      <c r="I49" s="1" t="str">
        <f>IFERROR(__xludf.DUMMYFUNCTION("""COMPUTED_VALUE"""),"17.9-13.1")</f>
        <v>17.9-13.1</v>
      </c>
      <c r="J49" s="1" t="str">
        <f>IFERROR(__xludf.DUMMYFUNCTION("""COMPUTED_VALUE"""),"8.9-11.1")</f>
        <v>8.9-11.1</v>
      </c>
      <c r="K49" s="2">
        <f>IFERROR(__xludf.DUMMYFUNCTION("""COMPUTED_VALUE"""),0.006)</f>
        <v>0.006</v>
      </c>
      <c r="L49" s="1" t="str">
        <f>IFERROR(__xludf.DUMMYFUNCTION("""COMPUTED_VALUE"""),"41st")</f>
        <v>41st</v>
      </c>
    </row>
    <row r="50">
      <c r="A50" s="1" t="str">
        <f>IFERROR(__xludf.DUMMYFUNCTION("""COMPUTED_VALUE"""),"Xavier Musketeers")</f>
        <v>Xavier Musketeers</v>
      </c>
      <c r="B50" s="1" t="str">
        <f>IFERROR(__xludf.DUMMYFUNCTION("""COMPUTED_VALUE"""),"Big East")</f>
        <v>Big East</v>
      </c>
      <c r="C50" s="3">
        <f>IFERROR(__xludf.DUMMYFUNCTION("""COMPUTED_VALUE"""),45968.0)</f>
        <v>45968</v>
      </c>
      <c r="D50" s="1">
        <f>IFERROR(__xludf.DUMMYFUNCTION("""COMPUTED_VALUE"""),11.3)</f>
        <v>11.3</v>
      </c>
      <c r="E50" s="1">
        <f>IFERROR(__xludf.DUMMYFUNCTION("""COMPUTED_VALUE"""),47.0)</f>
        <v>47</v>
      </c>
      <c r="F50" s="1">
        <f>IFERROR(__xludf.DUMMYFUNCTION("""COMPUTED_VALUE"""),7.0)</f>
        <v>7</v>
      </c>
      <c r="G50" s="1">
        <f>IFERROR(__xludf.DUMMYFUNCTION("""COMPUTED_VALUE"""),5.7)</f>
        <v>5.7</v>
      </c>
      <c r="H50" s="1">
        <f>IFERROR(__xludf.DUMMYFUNCTION("""COMPUTED_VALUE"""),5.6)</f>
        <v>5.6</v>
      </c>
      <c r="I50" s="1" t="str">
        <f>IFERROR(__xludf.DUMMYFUNCTION("""COMPUTED_VALUE"""),"17.8-13.2")</f>
        <v>17.8-13.2</v>
      </c>
      <c r="J50" s="1" t="str">
        <f>IFERROR(__xludf.DUMMYFUNCTION("""COMPUTED_VALUE"""),"9.8-10.2")</f>
        <v>9.8-10.2</v>
      </c>
      <c r="K50" s="2">
        <f>IFERROR(__xludf.DUMMYFUNCTION("""COMPUTED_VALUE"""),0.017)</f>
        <v>0.017</v>
      </c>
      <c r="L50" s="1" t="str">
        <f>IFERROR(__xludf.DUMMYFUNCTION("""COMPUTED_VALUE"""),"58th")</f>
        <v>58th</v>
      </c>
    </row>
    <row r="51">
      <c r="A51" s="1" t="str">
        <f>IFERROR(__xludf.DUMMYFUNCTION("""COMPUTED_VALUE"""),"SMU Mustangs")</f>
        <v>SMU Mustangs</v>
      </c>
      <c r="B51" s="1" t="str">
        <f>IFERROR(__xludf.DUMMYFUNCTION("""COMPUTED_VALUE"""),"ACC")</f>
        <v>ACC</v>
      </c>
      <c r="C51" s="1" t="str">
        <f>IFERROR(__xludf.DUMMYFUNCTION("""COMPUTED_VALUE"""),"13-4")</f>
        <v>13-4</v>
      </c>
      <c r="D51" s="1">
        <f>IFERROR(__xludf.DUMMYFUNCTION("""COMPUTED_VALUE"""),11.2)</f>
        <v>11.2</v>
      </c>
      <c r="E51" s="1">
        <f>IFERROR(__xludf.DUMMYFUNCTION("""COMPUTED_VALUE"""),48.0)</f>
        <v>48</v>
      </c>
      <c r="F51" s="1">
        <f>IFERROR(__xludf.DUMMYFUNCTION("""COMPUTED_VALUE"""),1.0)</f>
        <v>1</v>
      </c>
      <c r="G51" s="1">
        <f>IFERROR(__xludf.DUMMYFUNCTION("""COMPUTED_VALUE"""),6.6)</f>
        <v>6.6</v>
      </c>
      <c r="H51" s="1">
        <f>IFERROR(__xludf.DUMMYFUNCTION("""COMPUTED_VALUE"""),4.7)</f>
        <v>4.7</v>
      </c>
      <c r="I51" s="1" t="str">
        <f>IFERROR(__xludf.DUMMYFUNCTION("""COMPUTED_VALUE"""),"22.0-9.0")</f>
        <v>22.0-9.0</v>
      </c>
      <c r="J51" s="1" t="str">
        <f>IFERROR(__xludf.DUMMYFUNCTION("""COMPUTED_VALUE"""),"13.0-7.0")</f>
        <v>13.0-7.0</v>
      </c>
      <c r="K51" s="2">
        <f>IFERROR(__xludf.DUMMYFUNCTION("""COMPUTED_VALUE"""),0.013)</f>
        <v>0.013</v>
      </c>
      <c r="L51" s="1" t="str">
        <f>IFERROR(__xludf.DUMMYFUNCTION("""COMPUTED_VALUE"""),"74th")</f>
        <v>74th</v>
      </c>
    </row>
    <row r="52">
      <c r="A52" s="1" t="str">
        <f>IFERROR(__xludf.DUMMYFUNCTION("""COMPUTED_VALUE"""),"Arkansas Razorbacks")</f>
        <v>Arkansas Razorbacks</v>
      </c>
      <c r="B52" s="1" t="str">
        <f>IFERROR(__xludf.DUMMYFUNCTION("""COMPUTED_VALUE"""),"SEC")</f>
        <v>SEC</v>
      </c>
      <c r="C52" s="3">
        <f>IFERROR(__xludf.DUMMYFUNCTION("""COMPUTED_VALUE"""),45967.0)</f>
        <v>45967</v>
      </c>
      <c r="D52" s="1">
        <f>IFERROR(__xludf.DUMMYFUNCTION("""COMPUTED_VALUE"""),11.2)</f>
        <v>11.2</v>
      </c>
      <c r="E52" s="1">
        <f>IFERROR(__xludf.DUMMYFUNCTION("""COMPUTED_VALUE"""),49.0)</f>
        <v>49</v>
      </c>
      <c r="F52" s="1">
        <f>IFERROR(__xludf.DUMMYFUNCTION("""COMPUTED_VALUE"""),4.0)</f>
        <v>4</v>
      </c>
      <c r="G52" s="1">
        <f>IFERROR(__xludf.DUMMYFUNCTION("""COMPUTED_VALUE"""),4.6)</f>
        <v>4.6</v>
      </c>
      <c r="H52" s="1">
        <f>IFERROR(__xludf.DUMMYFUNCTION("""COMPUTED_VALUE"""),6.6)</f>
        <v>6.6</v>
      </c>
      <c r="I52" s="1" t="str">
        <f>IFERROR(__xludf.DUMMYFUNCTION("""COMPUTED_VALUE"""),"16.6-14.4")</f>
        <v>16.6-14.4</v>
      </c>
      <c r="J52" s="1" t="str">
        <f>IFERROR(__xludf.DUMMYFUNCTION("""COMPUTED_VALUE"""),"5.6-12.4")</f>
        <v>5.6-12.4</v>
      </c>
      <c r="K52" s="2">
        <f>IFERROR(__xludf.DUMMYFUNCTION("""COMPUTED_VALUE"""),0.001)</f>
        <v>0.001</v>
      </c>
      <c r="L52" s="1" t="str">
        <f>IFERROR(__xludf.DUMMYFUNCTION("""COMPUTED_VALUE"""),"11th")</f>
        <v>11th</v>
      </c>
    </row>
    <row r="53">
      <c r="A53" s="1" t="str">
        <f>IFERROR(__xludf.DUMMYFUNCTION("""COMPUTED_VALUE"""),"VCU Rams")</f>
        <v>VCU Rams</v>
      </c>
      <c r="B53" s="1" t="str">
        <f>IFERROR(__xludf.DUMMYFUNCTION("""COMPUTED_VALUE"""),"A-10")</f>
        <v>A-10</v>
      </c>
      <c r="C53" s="1" t="str">
        <f>IFERROR(__xludf.DUMMYFUNCTION("""COMPUTED_VALUE"""),"14-4")</f>
        <v>14-4</v>
      </c>
      <c r="D53" s="1">
        <f>IFERROR(__xludf.DUMMYFUNCTION("""COMPUTED_VALUE"""),11.1)</f>
        <v>11.1</v>
      </c>
      <c r="E53" s="1">
        <f>IFERROR(__xludf.DUMMYFUNCTION("""COMPUTED_VALUE"""),50.0)</f>
        <v>50</v>
      </c>
      <c r="F53" s="1">
        <f>IFERROR(__xludf.DUMMYFUNCTION("""COMPUTED_VALUE"""),2.0)</f>
        <v>2</v>
      </c>
      <c r="G53" s="1">
        <f>IFERROR(__xludf.DUMMYFUNCTION("""COMPUTED_VALUE"""),3.6)</f>
        <v>3.6</v>
      </c>
      <c r="H53" s="1">
        <f>IFERROR(__xludf.DUMMYFUNCTION("""COMPUTED_VALUE"""),7.5)</f>
        <v>7.5</v>
      </c>
      <c r="I53" s="1" t="str">
        <f>IFERROR(__xludf.DUMMYFUNCTION("""COMPUTED_VALUE"""),"24.1-6.9")</f>
        <v>24.1-6.9</v>
      </c>
      <c r="J53" s="1" t="str">
        <f>IFERROR(__xludf.DUMMYFUNCTION("""COMPUTED_VALUE"""),"14.1-3.9")</f>
        <v>14.1-3.9</v>
      </c>
      <c r="K53" s="2">
        <f>IFERROR(__xludf.DUMMYFUNCTION("""COMPUTED_VALUE"""),0.549)</f>
        <v>0.549</v>
      </c>
      <c r="L53" s="1" t="str">
        <f>IFERROR(__xludf.DUMMYFUNCTION("""COMPUTED_VALUE"""),"107th")</f>
        <v>107th</v>
      </c>
    </row>
    <row r="54">
      <c r="A54" s="1" t="str">
        <f>IFERROR(__xludf.DUMMYFUNCTION("""COMPUTED_VALUE"""),"Oklahoma Sooners")</f>
        <v>Oklahoma Sooners</v>
      </c>
      <c r="B54" s="1" t="str">
        <f>IFERROR(__xludf.DUMMYFUNCTION("""COMPUTED_VALUE"""),"SEC")</f>
        <v>SEC</v>
      </c>
      <c r="C54" s="1" t="str">
        <f>IFERROR(__xludf.DUMMYFUNCTION("""COMPUTED_VALUE"""),"13-4")</f>
        <v>13-4</v>
      </c>
      <c r="D54" s="1">
        <f>IFERROR(__xludf.DUMMYFUNCTION("""COMPUTED_VALUE"""),11.0)</f>
        <v>11</v>
      </c>
      <c r="E54" s="1">
        <f>IFERROR(__xludf.DUMMYFUNCTION("""COMPUTED_VALUE"""),51.0)</f>
        <v>51</v>
      </c>
      <c r="F54" s="1">
        <f>IFERROR(__xludf.DUMMYFUNCTION("""COMPUTED_VALUE"""),5.0)</f>
        <v>5</v>
      </c>
      <c r="G54" s="1">
        <f>IFERROR(__xludf.DUMMYFUNCTION("""COMPUTED_VALUE"""),6.7)</f>
        <v>6.7</v>
      </c>
      <c r="H54" s="1">
        <f>IFERROR(__xludf.DUMMYFUNCTION("""COMPUTED_VALUE"""),4.3)</f>
        <v>4.3</v>
      </c>
      <c r="I54" s="1" t="str">
        <f>IFERROR(__xludf.DUMMYFUNCTION("""COMPUTED_VALUE"""),"18.3-12.7")</f>
        <v>18.3-12.7</v>
      </c>
      <c r="J54" s="1" t="str">
        <f>IFERROR(__xludf.DUMMYFUNCTION("""COMPUTED_VALUE"""),"5.3-12.7")</f>
        <v>5.3-12.7</v>
      </c>
      <c r="K54" s="1" t="str">
        <f>IFERROR(__xludf.DUMMYFUNCTION("""COMPUTED_VALUE"""),"&lt;0.1%")</f>
        <v>&lt;0.1%</v>
      </c>
      <c r="L54" s="1" t="str">
        <f>IFERROR(__xludf.DUMMYFUNCTION("""COMPUTED_VALUE"""),"13th")</f>
        <v>13th</v>
      </c>
    </row>
    <row r="55">
      <c r="A55" s="1" t="str">
        <f>IFERROR(__xludf.DUMMYFUNCTION("""COMPUTED_VALUE"""),"Iowa Hawkeyes")</f>
        <v>Iowa Hawkeyes</v>
      </c>
      <c r="B55" s="1" t="str">
        <f>IFERROR(__xludf.DUMMYFUNCTION("""COMPUTED_VALUE"""),"Big Ten")</f>
        <v>Big Ten</v>
      </c>
      <c r="C55" s="3">
        <f>IFERROR(__xludf.DUMMYFUNCTION("""COMPUTED_VALUE"""),45997.0)</f>
        <v>45997</v>
      </c>
      <c r="D55" s="1">
        <f>IFERROR(__xludf.DUMMYFUNCTION("""COMPUTED_VALUE"""),10.9)</f>
        <v>10.9</v>
      </c>
      <c r="E55" s="1">
        <f>IFERROR(__xludf.DUMMYFUNCTION("""COMPUTED_VALUE"""),52.0)</f>
        <v>52</v>
      </c>
      <c r="F55" s="1">
        <f>IFERROR(__xludf.DUMMYFUNCTION("""COMPUTED_VALUE"""),4.0)</f>
        <v>4</v>
      </c>
      <c r="G55" s="1">
        <f>IFERROR(__xludf.DUMMYFUNCTION("""COMPUTED_VALUE"""),8.7)</f>
        <v>8.7</v>
      </c>
      <c r="H55" s="1">
        <f>IFERROR(__xludf.DUMMYFUNCTION("""COMPUTED_VALUE"""),2.2)</f>
        <v>2.2</v>
      </c>
      <c r="I55" s="1" t="str">
        <f>IFERROR(__xludf.DUMMYFUNCTION("""COMPUTED_VALUE"""),"17.8-13.2")</f>
        <v>17.8-13.2</v>
      </c>
      <c r="J55" s="1" t="str">
        <f>IFERROR(__xludf.DUMMYFUNCTION("""COMPUTED_VALUE"""),"8.8-11.2")</f>
        <v>8.8-11.2</v>
      </c>
      <c r="K55" s="2">
        <f>IFERROR(__xludf.DUMMYFUNCTION("""COMPUTED_VALUE"""),0.005)</f>
        <v>0.005</v>
      </c>
      <c r="L55" s="1" t="str">
        <f>IFERROR(__xludf.DUMMYFUNCTION("""COMPUTED_VALUE"""),"39th")</f>
        <v>39th</v>
      </c>
    </row>
    <row r="56">
      <c r="A56" s="1" t="str">
        <f>IFERROR(__xludf.DUMMYFUNCTION("""COMPUTED_VALUE"""),"Penn State Nittany Lions")</f>
        <v>Penn State Nittany Lions</v>
      </c>
      <c r="B56" s="1" t="str">
        <f>IFERROR(__xludf.DUMMYFUNCTION("""COMPUTED_VALUE"""),"Big Ten")</f>
        <v>Big Ten</v>
      </c>
      <c r="C56" s="3">
        <f>IFERROR(__xludf.DUMMYFUNCTION("""COMPUTED_VALUE"""),45997.0)</f>
        <v>45997</v>
      </c>
      <c r="D56" s="1">
        <f>IFERROR(__xludf.DUMMYFUNCTION("""COMPUTED_VALUE"""),10.8)</f>
        <v>10.8</v>
      </c>
      <c r="E56" s="1">
        <f>IFERROR(__xludf.DUMMYFUNCTION("""COMPUTED_VALUE"""),53.0)</f>
        <v>53</v>
      </c>
      <c r="F56" s="1" t="str">
        <f>IFERROR(__xludf.DUMMYFUNCTION("""COMPUTED_VALUE"""),"--")</f>
        <v>--</v>
      </c>
      <c r="G56" s="1">
        <f>IFERROR(__xludf.DUMMYFUNCTION("""COMPUTED_VALUE"""),5.3)</f>
        <v>5.3</v>
      </c>
      <c r="H56" s="1">
        <f>IFERROR(__xludf.DUMMYFUNCTION("""COMPUTED_VALUE"""),5.5)</f>
        <v>5.5</v>
      </c>
      <c r="I56" s="1" t="str">
        <f>IFERROR(__xludf.DUMMYFUNCTION("""COMPUTED_VALUE"""),"18.4-12.6")</f>
        <v>18.4-12.6</v>
      </c>
      <c r="J56" s="1" t="str">
        <f>IFERROR(__xludf.DUMMYFUNCTION("""COMPUTED_VALUE"""),"8.4-11.6")</f>
        <v>8.4-11.6</v>
      </c>
      <c r="K56" s="2">
        <f>IFERROR(__xludf.DUMMYFUNCTION("""COMPUTED_VALUE"""),0.007)</f>
        <v>0.007</v>
      </c>
      <c r="L56" s="1" t="str">
        <f>IFERROR(__xludf.DUMMYFUNCTION("""COMPUTED_VALUE"""),"52nd")</f>
        <v>52nd</v>
      </c>
    </row>
    <row r="57">
      <c r="A57" s="1" t="str">
        <f>IFERROR(__xludf.DUMMYFUNCTION("""COMPUTED_VALUE"""),"Vanderbilt Commodores")</f>
        <v>Vanderbilt Commodores</v>
      </c>
      <c r="B57" s="1" t="str">
        <f>IFERROR(__xludf.DUMMYFUNCTION("""COMPUTED_VALUE"""),"SEC")</f>
        <v>SEC</v>
      </c>
      <c r="C57" s="1" t="str">
        <f>IFERROR(__xludf.DUMMYFUNCTION("""COMPUTED_VALUE"""),"14-3")</f>
        <v>14-3</v>
      </c>
      <c r="D57" s="1">
        <f>IFERROR(__xludf.DUMMYFUNCTION("""COMPUTED_VALUE"""),10.5)</f>
        <v>10.5</v>
      </c>
      <c r="E57" s="1">
        <f>IFERROR(__xludf.DUMMYFUNCTION("""COMPUTED_VALUE"""),54.0)</f>
        <v>54</v>
      </c>
      <c r="F57" s="1">
        <f>IFERROR(__xludf.DUMMYFUNCTION("""COMPUTED_VALUE"""),3.0)</f>
        <v>3</v>
      </c>
      <c r="G57" s="1">
        <f>IFERROR(__xludf.DUMMYFUNCTION("""COMPUTED_VALUE"""),5.3)</f>
        <v>5.3</v>
      </c>
      <c r="H57" s="1">
        <f>IFERROR(__xludf.DUMMYFUNCTION("""COMPUTED_VALUE"""),5.2)</f>
        <v>5.2</v>
      </c>
      <c r="I57" s="1" t="str">
        <f>IFERROR(__xludf.DUMMYFUNCTION("""COMPUTED_VALUE"""),"18.2-12.8")</f>
        <v>18.2-12.8</v>
      </c>
      <c r="J57" s="1" t="str">
        <f>IFERROR(__xludf.DUMMYFUNCTION("""COMPUTED_VALUE"""),"6.2-11.8")</f>
        <v>6.2-11.8</v>
      </c>
      <c r="K57" s="1" t="str">
        <f>IFERROR(__xludf.DUMMYFUNCTION("""COMPUTED_VALUE"""),"&lt;0.1%")</f>
        <v>&lt;0.1%</v>
      </c>
      <c r="L57" s="1" t="str">
        <f>IFERROR(__xludf.DUMMYFUNCTION("""COMPUTED_VALUE"""),"1st")</f>
        <v>1st</v>
      </c>
    </row>
    <row r="58">
      <c r="A58" s="1" t="str">
        <f>IFERROR(__xludf.DUMMYFUNCTION("""COMPUTED_VALUE"""),"Utah Utes")</f>
        <v>Utah Utes</v>
      </c>
      <c r="B58" s="1" t="str">
        <f>IFERROR(__xludf.DUMMYFUNCTION("""COMPUTED_VALUE"""),"Big 12")</f>
        <v>Big 12</v>
      </c>
      <c r="C58" s="3">
        <f>IFERROR(__xludf.DUMMYFUNCTION("""COMPUTED_VALUE"""),45936.0)</f>
        <v>45936</v>
      </c>
      <c r="D58" s="1">
        <f>IFERROR(__xludf.DUMMYFUNCTION("""COMPUTED_VALUE"""),10.4)</f>
        <v>10.4</v>
      </c>
      <c r="E58" s="1">
        <f>IFERROR(__xludf.DUMMYFUNCTION("""COMPUTED_VALUE"""),55.0)</f>
        <v>55</v>
      </c>
      <c r="F58" s="1">
        <f>IFERROR(__xludf.DUMMYFUNCTION("""COMPUTED_VALUE"""),5.0)</f>
        <v>5</v>
      </c>
      <c r="G58" s="1">
        <f>IFERROR(__xludf.DUMMYFUNCTION("""COMPUTED_VALUE"""),4.8)</f>
        <v>4.8</v>
      </c>
      <c r="H58" s="1">
        <f>IFERROR(__xludf.DUMMYFUNCTION("""COMPUTED_VALUE"""),5.7)</f>
        <v>5.7</v>
      </c>
      <c r="I58" s="1" t="str">
        <f>IFERROR(__xludf.DUMMYFUNCTION("""COMPUTED_VALUE"""),"16.6-14.4")</f>
        <v>16.6-14.4</v>
      </c>
      <c r="J58" s="1" t="str">
        <f>IFERROR(__xludf.DUMMYFUNCTION("""COMPUTED_VALUE"""),"8.6-11.4")</f>
        <v>8.6-11.4</v>
      </c>
      <c r="K58" s="1" t="str">
        <f>IFERROR(__xludf.DUMMYFUNCTION("""COMPUTED_VALUE"""),"&lt;0.1%")</f>
        <v>&lt;0.1%</v>
      </c>
      <c r="L58" s="1" t="str">
        <f>IFERROR(__xludf.DUMMYFUNCTION("""COMPUTED_VALUE"""),"43rd")</f>
        <v>43rd</v>
      </c>
    </row>
    <row r="59">
      <c r="A59" s="1" t="str">
        <f>IFERROR(__xludf.DUMMYFUNCTION("""COMPUTED_VALUE"""),"LSU Tigers")</f>
        <v>LSU Tigers</v>
      </c>
      <c r="B59" s="1" t="str">
        <f>IFERROR(__xludf.DUMMYFUNCTION("""COMPUTED_VALUE"""),"SEC")</f>
        <v>SEC</v>
      </c>
      <c r="C59" s="3">
        <f>IFERROR(__xludf.DUMMYFUNCTION("""COMPUTED_VALUE"""),45996.0)</f>
        <v>45996</v>
      </c>
      <c r="D59" s="1">
        <f>IFERROR(__xludf.DUMMYFUNCTION("""COMPUTED_VALUE"""),10.1)</f>
        <v>10.1</v>
      </c>
      <c r="E59" s="1">
        <f>IFERROR(__xludf.DUMMYFUNCTION("""COMPUTED_VALUE"""),56.0)</f>
        <v>56</v>
      </c>
      <c r="F59" s="1" t="str">
        <f>IFERROR(__xludf.DUMMYFUNCTION("""COMPUTED_VALUE"""),"--")</f>
        <v>--</v>
      </c>
      <c r="G59" s="1">
        <f>IFERROR(__xludf.DUMMYFUNCTION("""COMPUTED_VALUE"""),4.1)</f>
        <v>4.1</v>
      </c>
      <c r="H59" s="1">
        <f>IFERROR(__xludf.DUMMYFUNCTION("""COMPUTED_VALUE"""),6.1)</f>
        <v>6.1</v>
      </c>
      <c r="I59" s="1" t="str">
        <f>IFERROR(__xludf.DUMMYFUNCTION("""COMPUTED_VALUE"""),"16.3-14.7")</f>
        <v>16.3-14.7</v>
      </c>
      <c r="J59" s="1" t="str">
        <f>IFERROR(__xludf.DUMMYFUNCTION("""COMPUTED_VALUE"""),"5.3-12.7")</f>
        <v>5.3-12.7</v>
      </c>
      <c r="K59" s="1" t="str">
        <f>IFERROR(__xludf.DUMMYFUNCTION("""COMPUTED_VALUE"""),"&lt;0.1%")</f>
        <v>&lt;0.1%</v>
      </c>
      <c r="L59" s="1" t="str">
        <f>IFERROR(__xludf.DUMMYFUNCTION("""COMPUTED_VALUE"""),"2nd")</f>
        <v>2nd</v>
      </c>
    </row>
    <row r="60">
      <c r="A60" s="1" t="str">
        <f>IFERROR(__xludf.DUMMYFUNCTION("""COMPUTED_VALUE"""),"Boise State Broncos")</f>
        <v>Boise State Broncos</v>
      </c>
      <c r="B60" s="1" t="str">
        <f>IFERROR(__xludf.DUMMYFUNCTION("""COMPUTED_VALUE"""),"Mountain West")</f>
        <v>Mountain West</v>
      </c>
      <c r="C60" s="1" t="str">
        <f>IFERROR(__xludf.DUMMYFUNCTION("""COMPUTED_VALUE"""),"13-6")</f>
        <v>13-6</v>
      </c>
      <c r="D60" s="1">
        <f>IFERROR(__xludf.DUMMYFUNCTION("""COMPUTED_VALUE"""),9.9)</f>
        <v>9.9</v>
      </c>
      <c r="E60" s="1">
        <f>IFERROR(__xludf.DUMMYFUNCTION("""COMPUTED_VALUE"""),57.0)</f>
        <v>57</v>
      </c>
      <c r="F60" s="1">
        <f>IFERROR(__xludf.DUMMYFUNCTION("""COMPUTED_VALUE"""),1.0)</f>
        <v>1</v>
      </c>
      <c r="G60" s="1">
        <f>IFERROR(__xludf.DUMMYFUNCTION("""COMPUTED_VALUE"""),5.7)</f>
        <v>5.7</v>
      </c>
      <c r="H60" s="1">
        <f>IFERROR(__xludf.DUMMYFUNCTION("""COMPUTED_VALUE"""),4.2)</f>
        <v>4.2</v>
      </c>
      <c r="I60" s="1" t="str">
        <f>IFERROR(__xludf.DUMMYFUNCTION("""COMPUTED_VALUE"""),"21.1-9.9")</f>
        <v>21.1-9.9</v>
      </c>
      <c r="J60" s="1" t="str">
        <f>IFERROR(__xludf.DUMMYFUNCTION("""COMPUTED_VALUE"""),"13.1-6.9")</f>
        <v>13.1-6.9</v>
      </c>
      <c r="K60" s="2">
        <f>IFERROR(__xludf.DUMMYFUNCTION("""COMPUTED_VALUE"""),0.178)</f>
        <v>0.178</v>
      </c>
      <c r="L60" s="1" t="str">
        <f>IFERROR(__xludf.DUMMYFUNCTION("""COMPUTED_VALUE"""),"88th")</f>
        <v>88th</v>
      </c>
    </row>
    <row r="61">
      <c r="A61" s="1" t="str">
        <f>IFERROR(__xludf.DUMMYFUNCTION("""COMPUTED_VALUE"""),"USC Trojans")</f>
        <v>USC Trojans</v>
      </c>
      <c r="B61" s="1" t="str">
        <f>IFERROR(__xludf.DUMMYFUNCTION("""COMPUTED_VALUE"""),"Big Ten")</f>
        <v>Big Ten</v>
      </c>
      <c r="C61" s="3">
        <f>IFERROR(__xludf.DUMMYFUNCTION("""COMPUTED_VALUE"""),45967.0)</f>
        <v>45967</v>
      </c>
      <c r="D61" s="1">
        <f>IFERROR(__xludf.DUMMYFUNCTION("""COMPUTED_VALUE"""),9.8)</f>
        <v>9.8</v>
      </c>
      <c r="E61" s="1">
        <f>IFERROR(__xludf.DUMMYFUNCTION("""COMPUTED_VALUE"""),58.0)</f>
        <v>58</v>
      </c>
      <c r="F61" s="1">
        <f>IFERROR(__xludf.DUMMYFUNCTION("""COMPUTED_VALUE"""),8.0)</f>
        <v>8</v>
      </c>
      <c r="G61" s="1">
        <f>IFERROR(__xludf.DUMMYFUNCTION("""COMPUTED_VALUE"""),4.8)</f>
        <v>4.8</v>
      </c>
      <c r="H61" s="1">
        <f>IFERROR(__xludf.DUMMYFUNCTION("""COMPUTED_VALUE"""),4.9)</f>
        <v>4.9</v>
      </c>
      <c r="I61" s="1" t="str">
        <f>IFERROR(__xludf.DUMMYFUNCTION("""COMPUTED_VALUE"""),"16.8-14.2")</f>
        <v>16.8-14.2</v>
      </c>
      <c r="J61" s="1" t="str">
        <f>IFERROR(__xludf.DUMMYFUNCTION("""COMPUTED_VALUE"""),"8.8-11.2")</f>
        <v>8.8-11.2</v>
      </c>
      <c r="K61" s="1" t="str">
        <f>IFERROR(__xludf.DUMMYFUNCTION("""COMPUTED_VALUE"""),"&lt;0.1%")</f>
        <v>&lt;0.1%</v>
      </c>
      <c r="L61" s="1" t="str">
        <f>IFERROR(__xludf.DUMMYFUNCTION("""COMPUTED_VALUE"""),"38th")</f>
        <v>38th</v>
      </c>
    </row>
    <row r="62">
      <c r="A62" s="1" t="str">
        <f>IFERROR(__xludf.DUMMYFUNCTION("""COMPUTED_VALUE"""),"TCU Horned Frogs")</f>
        <v>TCU Horned Frogs</v>
      </c>
      <c r="B62" s="1" t="str">
        <f>IFERROR(__xludf.DUMMYFUNCTION("""COMPUTED_VALUE"""),"Big 12")</f>
        <v>Big 12</v>
      </c>
      <c r="C62" s="3">
        <f>IFERROR(__xludf.DUMMYFUNCTION("""COMPUTED_VALUE"""),45907.0)</f>
        <v>45907</v>
      </c>
      <c r="D62" s="1">
        <f>IFERROR(__xludf.DUMMYFUNCTION("""COMPUTED_VALUE"""),9.7)</f>
        <v>9.7</v>
      </c>
      <c r="E62" s="1">
        <f>IFERROR(__xludf.DUMMYFUNCTION("""COMPUTED_VALUE"""),59.0)</f>
        <v>59</v>
      </c>
      <c r="F62" s="1">
        <f>IFERROR(__xludf.DUMMYFUNCTION("""COMPUTED_VALUE"""),2.0)</f>
        <v>2</v>
      </c>
      <c r="G62" s="1">
        <f>IFERROR(__xludf.DUMMYFUNCTION("""COMPUTED_VALUE"""),1.9)</f>
        <v>1.9</v>
      </c>
      <c r="H62" s="1">
        <f>IFERROR(__xludf.DUMMYFUNCTION("""COMPUTED_VALUE"""),7.8)</f>
        <v>7.8</v>
      </c>
      <c r="I62" s="1" t="str">
        <f>IFERROR(__xludf.DUMMYFUNCTION("""COMPUTED_VALUE"""),"15.1-15.9")</f>
        <v>15.1-15.9</v>
      </c>
      <c r="J62" s="1" t="str">
        <f>IFERROR(__xludf.DUMMYFUNCTION("""COMPUTED_VALUE"""),"8.1-11.9")</f>
        <v>8.1-11.9</v>
      </c>
      <c r="K62" s="1" t="str">
        <f>IFERROR(__xludf.DUMMYFUNCTION("""COMPUTED_VALUE"""),"&lt;0.1%")</f>
        <v>&lt;0.1%</v>
      </c>
      <c r="L62" s="1" t="str">
        <f>IFERROR(__xludf.DUMMYFUNCTION("""COMPUTED_VALUE"""),"42nd")</f>
        <v>42nd</v>
      </c>
    </row>
    <row r="63">
      <c r="A63" s="1" t="str">
        <f>IFERROR(__xludf.DUMMYFUNCTION("""COMPUTED_VALUE"""),"New Mexico Lobos")</f>
        <v>New Mexico Lobos</v>
      </c>
      <c r="B63" s="1" t="str">
        <f>IFERROR(__xludf.DUMMYFUNCTION("""COMPUTED_VALUE"""),"Mountain West")</f>
        <v>Mountain West</v>
      </c>
      <c r="C63" s="1" t="str">
        <f>IFERROR(__xludf.DUMMYFUNCTION("""COMPUTED_VALUE"""),"15-4")</f>
        <v>15-4</v>
      </c>
      <c r="D63" s="1">
        <f>IFERROR(__xludf.DUMMYFUNCTION("""COMPUTED_VALUE"""),9.7)</f>
        <v>9.7</v>
      </c>
      <c r="E63" s="1">
        <f>IFERROR(__xludf.DUMMYFUNCTION("""COMPUTED_VALUE"""),60.0)</f>
        <v>60</v>
      </c>
      <c r="F63" s="1">
        <f>IFERROR(__xludf.DUMMYFUNCTION("""COMPUTED_VALUE"""),2.0)</f>
        <v>2</v>
      </c>
      <c r="G63" s="1">
        <f>IFERROR(__xludf.DUMMYFUNCTION("""COMPUTED_VALUE"""),3.5)</f>
        <v>3.5</v>
      </c>
      <c r="H63" s="1">
        <f>IFERROR(__xludf.DUMMYFUNCTION("""COMPUTED_VALUE"""),6.2)</f>
        <v>6.2</v>
      </c>
      <c r="I63" s="1" t="str">
        <f>IFERROR(__xludf.DUMMYFUNCTION("""COMPUTED_VALUE"""),"22.7-8.3")</f>
        <v>22.7-8.3</v>
      </c>
      <c r="J63" s="1" t="str">
        <f>IFERROR(__xludf.DUMMYFUNCTION("""COMPUTED_VALUE"""),"14.7-5.3")</f>
        <v>14.7-5.3</v>
      </c>
      <c r="K63" s="4">
        <f>IFERROR(__xludf.DUMMYFUNCTION("""COMPUTED_VALUE"""),0.13)</f>
        <v>0.13</v>
      </c>
      <c r="L63" s="1" t="str">
        <f>IFERROR(__xludf.DUMMYFUNCTION("""COMPUTED_VALUE"""),"96th")</f>
        <v>96th</v>
      </c>
    </row>
    <row r="64">
      <c r="A64" s="1" t="str">
        <f>IFERROR(__xludf.DUMMYFUNCTION("""COMPUTED_VALUE"""),"Indiana Hoosiers")</f>
        <v>Indiana Hoosiers</v>
      </c>
      <c r="B64" s="1" t="str">
        <f>IFERROR(__xludf.DUMMYFUNCTION("""COMPUTED_VALUE"""),"Big Ten")</f>
        <v>Big Ten</v>
      </c>
      <c r="C64" s="1" t="str">
        <f>IFERROR(__xludf.DUMMYFUNCTION("""COMPUTED_VALUE"""),"14-5")</f>
        <v>14-5</v>
      </c>
      <c r="D64" s="1">
        <f>IFERROR(__xludf.DUMMYFUNCTION("""COMPUTED_VALUE"""),9.6)</f>
        <v>9.6</v>
      </c>
      <c r="E64" s="1">
        <f>IFERROR(__xludf.DUMMYFUNCTION("""COMPUTED_VALUE"""),61.0)</f>
        <v>61</v>
      </c>
      <c r="F64" s="1">
        <f>IFERROR(__xludf.DUMMYFUNCTION("""COMPUTED_VALUE"""),6.0)</f>
        <v>6</v>
      </c>
      <c r="G64" s="1">
        <f>IFERROR(__xludf.DUMMYFUNCTION("""COMPUTED_VALUE"""),4.1)</f>
        <v>4.1</v>
      </c>
      <c r="H64" s="1">
        <f>IFERROR(__xludf.DUMMYFUNCTION("""COMPUTED_VALUE"""),5.4)</f>
        <v>5.4</v>
      </c>
      <c r="I64" s="1" t="str">
        <f>IFERROR(__xludf.DUMMYFUNCTION("""COMPUTED_VALUE"""),"18.2-12.8")</f>
        <v>18.2-12.8</v>
      </c>
      <c r="J64" s="1" t="str">
        <f>IFERROR(__xludf.DUMMYFUNCTION("""COMPUTED_VALUE"""),"9.2-10.8")</f>
        <v>9.2-10.8</v>
      </c>
      <c r="K64" s="1" t="str">
        <f>IFERROR(__xludf.DUMMYFUNCTION("""COMPUTED_VALUE"""),"&lt;0.1%")</f>
        <v>&lt;0.1%</v>
      </c>
      <c r="L64" s="1" t="str">
        <f>IFERROR(__xludf.DUMMYFUNCTION("""COMPUTED_VALUE"""),"8th")</f>
        <v>8th</v>
      </c>
    </row>
    <row r="65">
      <c r="A65" s="1" t="str">
        <f>IFERROR(__xludf.DUMMYFUNCTION("""COMPUTED_VALUE"""),"Nevada Wolf Pack")</f>
        <v>Nevada Wolf Pack</v>
      </c>
      <c r="B65" s="1" t="str">
        <f>IFERROR(__xludf.DUMMYFUNCTION("""COMPUTED_VALUE"""),"Mountain West")</f>
        <v>Mountain West</v>
      </c>
      <c r="C65" s="3">
        <f>IFERROR(__xludf.DUMMYFUNCTION("""COMPUTED_VALUE"""),45937.0)</f>
        <v>45937</v>
      </c>
      <c r="D65" s="1">
        <f>IFERROR(__xludf.DUMMYFUNCTION("""COMPUTED_VALUE"""),9.0)</f>
        <v>9</v>
      </c>
      <c r="E65" s="1">
        <f>IFERROR(__xludf.DUMMYFUNCTION("""COMPUTED_VALUE"""),62.0)</f>
        <v>62</v>
      </c>
      <c r="F65" s="1">
        <f>IFERROR(__xludf.DUMMYFUNCTION("""COMPUTED_VALUE"""),3.0)</f>
        <v>3</v>
      </c>
      <c r="G65" s="1">
        <f>IFERROR(__xludf.DUMMYFUNCTION("""COMPUTED_VALUE"""),5.0)</f>
        <v>5</v>
      </c>
      <c r="H65" s="1">
        <f>IFERROR(__xludf.DUMMYFUNCTION("""COMPUTED_VALUE"""),3.9)</f>
        <v>3.9</v>
      </c>
      <c r="I65" s="1" t="str">
        <f>IFERROR(__xludf.DUMMYFUNCTION("""COMPUTED_VALUE"""),"18.8-12.2")</f>
        <v>18.8-12.2</v>
      </c>
      <c r="J65" s="1" t="str">
        <f>IFERROR(__xludf.DUMMYFUNCTION("""COMPUTED_VALUE"""),"10.8-9.2")</f>
        <v>10.8-9.2</v>
      </c>
      <c r="K65" s="2">
        <f>IFERROR(__xludf.DUMMYFUNCTION("""COMPUTED_VALUE"""),0.139)</f>
        <v>0.139</v>
      </c>
      <c r="L65" s="1" t="str">
        <f>IFERROR(__xludf.DUMMYFUNCTION("""COMPUTED_VALUE"""),"86th")</f>
        <v>86th</v>
      </c>
    </row>
    <row r="66">
      <c r="A66" s="1" t="str">
        <f>IFERROR(__xludf.DUMMYFUNCTION("""COMPUTED_VALUE"""),"Wake Forest Demon Deacons")</f>
        <v>Wake Forest Demon Deacons</v>
      </c>
      <c r="B66" s="1" t="str">
        <f>IFERROR(__xludf.DUMMYFUNCTION("""COMPUTED_VALUE"""),"ACC")</f>
        <v>ACC</v>
      </c>
      <c r="C66" s="1" t="str">
        <f>IFERROR(__xludf.DUMMYFUNCTION("""COMPUTED_VALUE"""),"13-4")</f>
        <v>13-4</v>
      </c>
      <c r="D66" s="1">
        <f>IFERROR(__xludf.DUMMYFUNCTION("""COMPUTED_VALUE"""),8.7)</f>
        <v>8.7</v>
      </c>
      <c r="E66" s="1">
        <f>IFERROR(__xludf.DUMMYFUNCTION("""COMPUTED_VALUE"""),63.0)</f>
        <v>63</v>
      </c>
      <c r="F66" s="1">
        <f>IFERROR(__xludf.DUMMYFUNCTION("""COMPUTED_VALUE"""),6.0)</f>
        <v>6</v>
      </c>
      <c r="G66" s="1">
        <f>IFERROR(__xludf.DUMMYFUNCTION("""COMPUTED_VALUE"""),2.0)</f>
        <v>2</v>
      </c>
      <c r="H66" s="1">
        <f>IFERROR(__xludf.DUMMYFUNCTION("""COMPUTED_VALUE"""),6.7)</f>
        <v>6.7</v>
      </c>
      <c r="I66" s="1" t="str">
        <f>IFERROR(__xludf.DUMMYFUNCTION("""COMPUTED_VALUE"""),"19.5-11.5")</f>
        <v>19.5-11.5</v>
      </c>
      <c r="J66" s="1" t="str">
        <f>IFERROR(__xludf.DUMMYFUNCTION("""COMPUTED_VALUE"""),"11.5-8.5")</f>
        <v>11.5-8.5</v>
      </c>
      <c r="K66" s="1" t="str">
        <f>IFERROR(__xludf.DUMMYFUNCTION("""COMPUTED_VALUE"""),"&lt;0.1%")</f>
        <v>&lt;0.1%</v>
      </c>
      <c r="L66" s="1" t="str">
        <f>IFERROR(__xludf.DUMMYFUNCTION("""COMPUTED_VALUE"""),"62nd")</f>
        <v>62nd</v>
      </c>
    </row>
    <row r="67">
      <c r="A67" s="1" t="str">
        <f>IFERROR(__xludf.DUMMYFUNCTION("""COMPUTED_VALUE"""),"Florida State Seminoles")</f>
        <v>Florida State Seminoles</v>
      </c>
      <c r="B67" s="1" t="str">
        <f>IFERROR(__xludf.DUMMYFUNCTION("""COMPUTED_VALUE"""),"ACC")</f>
        <v>ACC</v>
      </c>
      <c r="C67" s="3">
        <f>IFERROR(__xludf.DUMMYFUNCTION("""COMPUTED_VALUE"""),45996.0)</f>
        <v>45996</v>
      </c>
      <c r="D67" s="1">
        <f>IFERROR(__xludf.DUMMYFUNCTION("""COMPUTED_VALUE"""),8.6)</f>
        <v>8.6</v>
      </c>
      <c r="E67" s="1">
        <f>IFERROR(__xludf.DUMMYFUNCTION("""COMPUTED_VALUE"""),64.0)</f>
        <v>64</v>
      </c>
      <c r="F67" s="1">
        <f>IFERROR(__xludf.DUMMYFUNCTION("""COMPUTED_VALUE"""),1.0)</f>
        <v>1</v>
      </c>
      <c r="G67" s="1">
        <f>IFERROR(__xludf.DUMMYFUNCTION("""COMPUTED_VALUE"""),2.4)</f>
        <v>2.4</v>
      </c>
      <c r="H67" s="1">
        <f>IFERROR(__xludf.DUMMYFUNCTION("""COMPUTED_VALUE"""),6.3)</f>
        <v>6.3</v>
      </c>
      <c r="I67" s="1" t="str">
        <f>IFERROR(__xludf.DUMMYFUNCTION("""COMPUTED_VALUE"""),"19.3-11.7")</f>
        <v>19.3-11.7</v>
      </c>
      <c r="J67" s="1" t="str">
        <f>IFERROR(__xludf.DUMMYFUNCTION("""COMPUTED_VALUE"""),"10.3-9.7")</f>
        <v>10.3-9.7</v>
      </c>
      <c r="K67" s="1" t="str">
        <f>IFERROR(__xludf.DUMMYFUNCTION("""COMPUTED_VALUE"""),"&lt;0.1%")</f>
        <v>&lt;0.1%</v>
      </c>
      <c r="L67" s="1" t="str">
        <f>IFERROR(__xludf.DUMMYFUNCTION("""COMPUTED_VALUE"""),"75th")</f>
        <v>75th</v>
      </c>
    </row>
    <row r="68">
      <c r="A68" s="1" t="str">
        <f>IFERROR(__xludf.DUMMYFUNCTION("""COMPUTED_VALUE"""),"George Mason Patriots")</f>
        <v>George Mason Patriots</v>
      </c>
      <c r="B68" s="1" t="str">
        <f>IFERROR(__xludf.DUMMYFUNCTION("""COMPUTED_VALUE"""),"A-10")</f>
        <v>A-10</v>
      </c>
      <c r="C68" s="1" t="str">
        <f>IFERROR(__xludf.DUMMYFUNCTION("""COMPUTED_VALUE"""),"13-5")</f>
        <v>13-5</v>
      </c>
      <c r="D68" s="1">
        <f>IFERROR(__xludf.DUMMYFUNCTION("""COMPUTED_VALUE"""),8.6)</f>
        <v>8.6</v>
      </c>
      <c r="E68" s="1">
        <f>IFERROR(__xludf.DUMMYFUNCTION("""COMPUTED_VALUE"""),65.0)</f>
        <v>65</v>
      </c>
      <c r="F68" s="1">
        <f>IFERROR(__xludf.DUMMYFUNCTION("""COMPUTED_VALUE"""),2.0)</f>
        <v>2</v>
      </c>
      <c r="G68" s="1">
        <f>IFERROR(__xludf.DUMMYFUNCTION("""COMPUTED_VALUE"""),2.0)</f>
        <v>2</v>
      </c>
      <c r="H68" s="1">
        <f>IFERROR(__xludf.DUMMYFUNCTION("""COMPUTED_VALUE"""),6.6)</f>
        <v>6.6</v>
      </c>
      <c r="I68" s="1" t="str">
        <f>IFERROR(__xludf.DUMMYFUNCTION("""COMPUTED_VALUE"""),"22.1-8.9")</f>
        <v>22.1-8.9</v>
      </c>
      <c r="J68" s="1" t="str">
        <f>IFERROR(__xludf.DUMMYFUNCTION("""COMPUTED_VALUE"""),"13.1-4.9")</f>
        <v>13.1-4.9</v>
      </c>
      <c r="K68" s="2">
        <f>IFERROR(__xludf.DUMMYFUNCTION("""COMPUTED_VALUE"""),0.289)</f>
        <v>0.289</v>
      </c>
      <c r="L68" s="1" t="str">
        <f>IFERROR(__xludf.DUMMYFUNCTION("""COMPUTED_VALUE"""),"103rd")</f>
        <v>103rd</v>
      </c>
    </row>
    <row r="69">
      <c r="A69" s="1" t="str">
        <f>IFERROR(__xludf.DUMMYFUNCTION("""COMPUTED_VALUE"""),"Arizona State Sun Devils")</f>
        <v>Arizona State Sun Devils</v>
      </c>
      <c r="B69" s="1" t="str">
        <f>IFERROR(__xludf.DUMMYFUNCTION("""COMPUTED_VALUE"""),"Big 12")</f>
        <v>Big 12</v>
      </c>
      <c r="C69" s="3">
        <f>IFERROR(__xludf.DUMMYFUNCTION("""COMPUTED_VALUE"""),45936.0)</f>
        <v>45936</v>
      </c>
      <c r="D69" s="1">
        <f>IFERROR(__xludf.DUMMYFUNCTION("""COMPUTED_VALUE"""),8.6)</f>
        <v>8.6</v>
      </c>
      <c r="E69" s="1">
        <f>IFERROR(__xludf.DUMMYFUNCTION("""COMPUTED_VALUE"""),66.0)</f>
        <v>66</v>
      </c>
      <c r="F69" s="1">
        <f>IFERROR(__xludf.DUMMYFUNCTION("""COMPUTED_VALUE"""),5.0)</f>
        <v>5</v>
      </c>
      <c r="G69" s="1">
        <f>IFERROR(__xludf.DUMMYFUNCTION("""COMPUTED_VALUE"""),3.0)</f>
        <v>3</v>
      </c>
      <c r="H69" s="1">
        <f>IFERROR(__xludf.DUMMYFUNCTION("""COMPUTED_VALUE"""),5.6)</f>
        <v>5.6</v>
      </c>
      <c r="I69" s="1" t="str">
        <f>IFERROR(__xludf.DUMMYFUNCTION("""COMPUTED_VALUE"""),"15.1-15.9")</f>
        <v>15.1-15.9</v>
      </c>
      <c r="J69" s="1" t="str">
        <f>IFERROR(__xludf.DUMMYFUNCTION("""COMPUTED_VALUE"""),"6.1-13.9")</f>
        <v>6.1-13.9</v>
      </c>
      <c r="K69" s="1" t="str">
        <f>IFERROR(__xludf.DUMMYFUNCTION("""COMPUTED_VALUE"""),"&lt;0.1%")</f>
        <v>&lt;0.1%</v>
      </c>
      <c r="L69" s="1" t="str">
        <f>IFERROR(__xludf.DUMMYFUNCTION("""COMPUTED_VALUE"""),"24th")</f>
        <v>24th</v>
      </c>
    </row>
    <row r="70">
      <c r="A70" s="1" t="str">
        <f>IFERROR(__xludf.DUMMYFUNCTION("""COMPUTED_VALUE"""),"NC State Wolfpack")</f>
        <v>NC State Wolfpack</v>
      </c>
      <c r="B70" s="1" t="str">
        <f>IFERROR(__xludf.DUMMYFUNCTION("""COMPUTED_VALUE"""),"ACC")</f>
        <v>ACC</v>
      </c>
      <c r="C70" s="3">
        <f>IFERROR(__xludf.DUMMYFUNCTION("""COMPUTED_VALUE"""),45908.0)</f>
        <v>45908</v>
      </c>
      <c r="D70" s="1">
        <f>IFERROR(__xludf.DUMMYFUNCTION("""COMPUTED_VALUE"""),8.4)</f>
        <v>8.4</v>
      </c>
      <c r="E70" s="1">
        <f>IFERROR(__xludf.DUMMYFUNCTION("""COMPUTED_VALUE"""),67.0)</f>
        <v>67</v>
      </c>
      <c r="F70" s="1">
        <f>IFERROR(__xludf.DUMMYFUNCTION("""COMPUTED_VALUE"""),2.0)</f>
        <v>2</v>
      </c>
      <c r="G70" s="1">
        <f>IFERROR(__xludf.DUMMYFUNCTION("""COMPUTED_VALUE"""),4.7)</f>
        <v>4.7</v>
      </c>
      <c r="H70" s="1">
        <f>IFERROR(__xludf.DUMMYFUNCTION("""COMPUTED_VALUE"""),3.7)</f>
        <v>3.7</v>
      </c>
      <c r="I70" s="1" t="str">
        <f>IFERROR(__xludf.DUMMYFUNCTION("""COMPUTED_VALUE"""),"16.0-15.0")</f>
        <v>16.0-15.0</v>
      </c>
      <c r="J70" s="1" t="str">
        <f>IFERROR(__xludf.DUMMYFUNCTION("""COMPUTED_VALUE"""),"9.0-11.0")</f>
        <v>9.0-11.0</v>
      </c>
      <c r="K70" s="2">
        <f>IFERROR(__xludf.DUMMYFUNCTION("""COMPUTED_VALUE"""),0.001)</f>
        <v>0.001</v>
      </c>
      <c r="L70" s="1" t="str">
        <f>IFERROR(__xludf.DUMMYFUNCTION("""COMPUTED_VALUE"""),"67th")</f>
        <v>67th</v>
      </c>
    </row>
    <row r="71">
      <c r="A71" s="1" t="str">
        <f>IFERROR(__xludf.DUMMYFUNCTION("""COMPUTED_VALUE"""),"Dayton Flyers")</f>
        <v>Dayton Flyers</v>
      </c>
      <c r="B71" s="1" t="str">
        <f>IFERROR(__xludf.DUMMYFUNCTION("""COMPUTED_VALUE"""),"A-10")</f>
        <v>A-10</v>
      </c>
      <c r="C71" s="3">
        <f>IFERROR(__xludf.DUMMYFUNCTION("""COMPUTED_VALUE"""),45967.0)</f>
        <v>45967</v>
      </c>
      <c r="D71" s="1">
        <f>IFERROR(__xludf.DUMMYFUNCTION("""COMPUTED_VALUE"""),8.2)</f>
        <v>8.2</v>
      </c>
      <c r="E71" s="1">
        <f>IFERROR(__xludf.DUMMYFUNCTION("""COMPUTED_VALUE"""),68.0)</f>
        <v>68</v>
      </c>
      <c r="F71" s="1">
        <f>IFERROR(__xludf.DUMMYFUNCTION("""COMPUTED_VALUE"""),4.0)</f>
        <v>4</v>
      </c>
      <c r="G71" s="1">
        <f>IFERROR(__xludf.DUMMYFUNCTION("""COMPUTED_VALUE"""),5.4)</f>
        <v>5.4</v>
      </c>
      <c r="H71" s="1">
        <f>IFERROR(__xludf.DUMMYFUNCTION("""COMPUTED_VALUE"""),2.8)</f>
        <v>2.8</v>
      </c>
      <c r="I71" s="1" t="str">
        <f>IFERROR(__xludf.DUMMYFUNCTION("""COMPUTED_VALUE"""),"20.4-10.6")</f>
        <v>20.4-10.6</v>
      </c>
      <c r="J71" s="1" t="str">
        <f>IFERROR(__xludf.DUMMYFUNCTION("""COMPUTED_VALUE"""),"10.4-7.6")</f>
        <v>10.4-7.6</v>
      </c>
      <c r="K71" s="2">
        <f>IFERROR(__xludf.DUMMYFUNCTION("""COMPUTED_VALUE"""),0.257)</f>
        <v>0.257</v>
      </c>
      <c r="L71" s="1" t="str">
        <f>IFERROR(__xludf.DUMMYFUNCTION("""COMPUTED_VALUE"""),"95th")</f>
        <v>95th</v>
      </c>
    </row>
    <row r="72">
      <c r="A72" s="1" t="str">
        <f>IFERROR(__xludf.DUMMYFUNCTION("""COMPUTED_VALUE"""),"McNeese Cowboys")</f>
        <v>McNeese Cowboys</v>
      </c>
      <c r="B72" s="1" t="str">
        <f>IFERROR(__xludf.DUMMYFUNCTION("""COMPUTED_VALUE"""),"Southland")</f>
        <v>Southland</v>
      </c>
      <c r="C72" s="3">
        <f>IFERROR(__xludf.DUMMYFUNCTION("""COMPUTED_VALUE"""),45996.0)</f>
        <v>45996</v>
      </c>
      <c r="D72" s="1">
        <f>IFERROR(__xludf.DUMMYFUNCTION("""COMPUTED_VALUE"""),8.1)</f>
        <v>8.1</v>
      </c>
      <c r="E72" s="1">
        <f>IFERROR(__xludf.DUMMYFUNCTION("""COMPUTED_VALUE"""),69.0)</f>
        <v>69</v>
      </c>
      <c r="F72" s="1">
        <f>IFERROR(__xludf.DUMMYFUNCTION("""COMPUTED_VALUE"""),1.0)</f>
        <v>1</v>
      </c>
      <c r="G72" s="1">
        <f>IFERROR(__xludf.DUMMYFUNCTION("""COMPUTED_VALUE"""),3.8)</f>
        <v>3.8</v>
      </c>
      <c r="H72" s="1">
        <f>IFERROR(__xludf.DUMMYFUNCTION("""COMPUTED_VALUE"""),4.4)</f>
        <v>4.4</v>
      </c>
      <c r="I72" s="1" t="str">
        <f>IFERROR(__xludf.DUMMYFUNCTION("""COMPUTED_VALUE"""),"24.3-6.7")</f>
        <v>24.3-6.7</v>
      </c>
      <c r="J72" s="1" t="str">
        <f>IFERROR(__xludf.DUMMYFUNCTION("""COMPUTED_VALUE"""),"18.3-1.7")</f>
        <v>18.3-1.7</v>
      </c>
      <c r="K72" s="2">
        <f>IFERROR(__xludf.DUMMYFUNCTION("""COMPUTED_VALUE"""),0.955)</f>
        <v>0.955</v>
      </c>
      <c r="L72" s="1" t="str">
        <f>IFERROR(__xludf.DUMMYFUNCTION("""COMPUTED_VALUE"""),"263rd")</f>
        <v>263rd</v>
      </c>
    </row>
    <row r="73">
      <c r="A73" s="1" t="str">
        <f>IFERROR(__xludf.DUMMYFUNCTION("""COMPUTED_VALUE"""),"South Carolina Gamecocks")</f>
        <v>South Carolina Gamecocks</v>
      </c>
      <c r="B73" s="1" t="str">
        <f>IFERROR(__xludf.DUMMYFUNCTION("""COMPUTED_VALUE"""),"SEC")</f>
        <v>SEC</v>
      </c>
      <c r="C73" s="3">
        <f>IFERROR(__xludf.DUMMYFUNCTION("""COMPUTED_VALUE"""),45937.0)</f>
        <v>45937</v>
      </c>
      <c r="D73" s="1">
        <f>IFERROR(__xludf.DUMMYFUNCTION("""COMPUTED_VALUE"""),8.0)</f>
        <v>8</v>
      </c>
      <c r="E73" s="1">
        <f>IFERROR(__xludf.DUMMYFUNCTION("""COMPUTED_VALUE"""),70.0)</f>
        <v>70</v>
      </c>
      <c r="F73" s="1">
        <f>IFERROR(__xludf.DUMMYFUNCTION("""COMPUTED_VALUE"""),3.0)</f>
        <v>3</v>
      </c>
      <c r="G73" s="1">
        <f>IFERROR(__xludf.DUMMYFUNCTION("""COMPUTED_VALUE"""),2.4)</f>
        <v>2.4</v>
      </c>
      <c r="H73" s="1">
        <f>IFERROR(__xludf.DUMMYFUNCTION("""COMPUTED_VALUE"""),5.6)</f>
        <v>5.6</v>
      </c>
      <c r="I73" s="1" t="str">
        <f>IFERROR(__xludf.DUMMYFUNCTION("""COMPUTED_VALUE"""),"13.9-17.1")</f>
        <v>13.9-17.1</v>
      </c>
      <c r="J73" s="1" t="str">
        <f>IFERROR(__xludf.DUMMYFUNCTION("""COMPUTED_VALUE"""),"3.9-14.1")</f>
        <v>3.9-14.1</v>
      </c>
      <c r="K73" s="1" t="str">
        <f>IFERROR(__xludf.DUMMYFUNCTION("""COMPUTED_VALUE"""),"&lt;0.1%")</f>
        <v>&lt;0.1%</v>
      </c>
      <c r="L73" s="1" t="str">
        <f>IFERROR(__xludf.DUMMYFUNCTION("""COMPUTED_VALUE"""),"6th")</f>
        <v>6th</v>
      </c>
    </row>
    <row r="74">
      <c r="A74" s="1" t="str">
        <f>IFERROR(__xludf.DUMMYFUNCTION("""COMPUTED_VALUE"""),"Notre Dame Fighting Irish")</f>
        <v>Notre Dame Fighting Irish</v>
      </c>
      <c r="B74" s="1" t="str">
        <f>IFERROR(__xludf.DUMMYFUNCTION("""COMPUTED_VALUE"""),"ACC")</f>
        <v>ACC</v>
      </c>
      <c r="C74" s="3">
        <f>IFERROR(__xludf.DUMMYFUNCTION("""COMPUTED_VALUE"""),45878.0)</f>
        <v>45878</v>
      </c>
      <c r="D74" s="1">
        <f>IFERROR(__xludf.DUMMYFUNCTION("""COMPUTED_VALUE"""),7.8)</f>
        <v>7.8</v>
      </c>
      <c r="E74" s="1">
        <f>IFERROR(__xludf.DUMMYFUNCTION("""COMPUTED_VALUE"""),71.0)</f>
        <v>71</v>
      </c>
      <c r="F74" s="1">
        <f>IFERROR(__xludf.DUMMYFUNCTION("""COMPUTED_VALUE"""),5.0)</f>
        <v>5</v>
      </c>
      <c r="G74" s="1">
        <f>IFERROR(__xludf.DUMMYFUNCTION("""COMPUTED_VALUE"""),4.7)</f>
        <v>4.7</v>
      </c>
      <c r="H74" s="1">
        <f>IFERROR(__xludf.DUMMYFUNCTION("""COMPUTED_VALUE"""),3.2)</f>
        <v>3.2</v>
      </c>
      <c r="I74" s="1" t="str">
        <f>IFERROR(__xludf.DUMMYFUNCTION("""COMPUTED_VALUE"""),"15.5-15.5")</f>
        <v>15.5-15.5</v>
      </c>
      <c r="J74" s="1" t="str">
        <f>IFERROR(__xludf.DUMMYFUNCTION("""COMPUTED_VALUE"""),"9.5-10.5")</f>
        <v>9.5-10.5</v>
      </c>
      <c r="K74" s="1" t="str">
        <f>IFERROR(__xludf.DUMMYFUNCTION("""COMPUTED_VALUE"""),"&lt;0.1%")</f>
        <v>&lt;0.1%</v>
      </c>
      <c r="L74" s="1" t="str">
        <f>IFERROR(__xludf.DUMMYFUNCTION("""COMPUTED_VALUE"""),"78th")</f>
        <v>78th</v>
      </c>
    </row>
    <row r="75">
      <c r="A75" s="1" t="str">
        <f>IFERROR(__xludf.DUMMYFUNCTION("""COMPUTED_VALUE"""),"UCF Knights")</f>
        <v>UCF Knights</v>
      </c>
      <c r="B75" s="1" t="str">
        <f>IFERROR(__xludf.DUMMYFUNCTION("""COMPUTED_VALUE"""),"Big 12")</f>
        <v>Big 12</v>
      </c>
      <c r="C75" s="3">
        <f>IFERROR(__xludf.DUMMYFUNCTION("""COMPUTED_VALUE"""),45995.0)</f>
        <v>45995</v>
      </c>
      <c r="D75" s="1">
        <f>IFERROR(__xludf.DUMMYFUNCTION("""COMPUTED_VALUE"""),7.7)</f>
        <v>7.7</v>
      </c>
      <c r="E75" s="1">
        <f>IFERROR(__xludf.DUMMYFUNCTION("""COMPUTED_VALUE"""),72.0)</f>
        <v>72</v>
      </c>
      <c r="F75" s="1">
        <f>IFERROR(__xludf.DUMMYFUNCTION("""COMPUTED_VALUE"""),5.0)</f>
        <v>5</v>
      </c>
      <c r="G75" s="1">
        <f>IFERROR(__xludf.DUMMYFUNCTION("""COMPUTED_VALUE"""),3.4)</f>
        <v>3.4</v>
      </c>
      <c r="H75" s="1">
        <f>IFERROR(__xludf.DUMMYFUNCTION("""COMPUTED_VALUE"""),4.3)</f>
        <v>4.3</v>
      </c>
      <c r="I75" s="1" t="str">
        <f>IFERROR(__xludf.DUMMYFUNCTION("""COMPUTED_VALUE"""),"17.3-13.7")</f>
        <v>17.3-13.7</v>
      </c>
      <c r="J75" s="1" t="str">
        <f>IFERROR(__xludf.DUMMYFUNCTION("""COMPUTED_VALUE"""),"8.3-11.7")</f>
        <v>8.3-11.7</v>
      </c>
      <c r="K75" s="1" t="str">
        <f>IFERROR(__xludf.DUMMYFUNCTION("""COMPUTED_VALUE"""),"&lt;0.1%")</f>
        <v>&lt;0.1%</v>
      </c>
      <c r="L75" s="1" t="str">
        <f>IFERROR(__xludf.DUMMYFUNCTION("""COMPUTED_VALUE"""),"47th")</f>
        <v>47th</v>
      </c>
    </row>
    <row r="76">
      <c r="A76" s="1" t="str">
        <f>IFERROR(__xludf.DUMMYFUNCTION("""COMPUTED_VALUE"""),"Rutgers Scarlet Knights")</f>
        <v>Rutgers Scarlet Knights</v>
      </c>
      <c r="B76" s="1" t="str">
        <f>IFERROR(__xludf.DUMMYFUNCTION("""COMPUTED_VALUE"""),"Big Ten")</f>
        <v>Big Ten</v>
      </c>
      <c r="C76" s="3">
        <f>IFERROR(__xludf.DUMMYFUNCTION("""COMPUTED_VALUE"""),45938.0)</f>
        <v>45938</v>
      </c>
      <c r="D76" s="1">
        <f>IFERROR(__xludf.DUMMYFUNCTION("""COMPUTED_VALUE"""),7.6)</f>
        <v>7.6</v>
      </c>
      <c r="E76" s="1">
        <f>IFERROR(__xludf.DUMMYFUNCTION("""COMPUTED_VALUE"""),73.0)</f>
        <v>73</v>
      </c>
      <c r="F76" s="1">
        <f>IFERROR(__xludf.DUMMYFUNCTION("""COMPUTED_VALUE"""),2.0)</f>
        <v>2</v>
      </c>
      <c r="G76" s="1">
        <f>IFERROR(__xludf.DUMMYFUNCTION("""COMPUTED_VALUE"""),3.3)</f>
        <v>3.3</v>
      </c>
      <c r="H76" s="1">
        <f>IFERROR(__xludf.DUMMYFUNCTION("""COMPUTED_VALUE"""),4.3)</f>
        <v>4.3</v>
      </c>
      <c r="I76" s="1" t="str">
        <f>IFERROR(__xludf.DUMMYFUNCTION("""COMPUTED_VALUE"""),"14.0-17.0")</f>
        <v>14.0-17.0</v>
      </c>
      <c r="J76" s="1" t="str">
        <f>IFERROR(__xludf.DUMMYFUNCTION("""COMPUTED_VALUE"""),"7.0-13.0")</f>
        <v>7.0-13.0</v>
      </c>
      <c r="K76" s="1" t="str">
        <f>IFERROR(__xludf.DUMMYFUNCTION("""COMPUTED_VALUE"""),"&lt;0.1%")</f>
        <v>&lt;0.1%</v>
      </c>
      <c r="L76" s="1" t="str">
        <f>IFERROR(__xludf.DUMMYFUNCTION("""COMPUTED_VALUE"""),"25th")</f>
        <v>25th</v>
      </c>
    </row>
    <row r="77">
      <c r="A77" s="1" t="str">
        <f>IFERROR(__xludf.DUMMYFUNCTION("""COMPUTED_VALUE"""),"Butler Bulldogs")</f>
        <v>Butler Bulldogs</v>
      </c>
      <c r="B77" s="1" t="str">
        <f>IFERROR(__xludf.DUMMYFUNCTION("""COMPUTED_VALUE"""),"Big East")</f>
        <v>Big East</v>
      </c>
      <c r="C77" s="3">
        <f>IFERROR(__xludf.DUMMYFUNCTION("""COMPUTED_VALUE"""),45879.0)</f>
        <v>45879</v>
      </c>
      <c r="D77" s="1">
        <f>IFERROR(__xludf.DUMMYFUNCTION("""COMPUTED_VALUE"""),7.6)</f>
        <v>7.6</v>
      </c>
      <c r="E77" s="1">
        <f>IFERROR(__xludf.DUMMYFUNCTION("""COMPUTED_VALUE"""),74.0)</f>
        <v>74</v>
      </c>
      <c r="F77" s="1">
        <f>IFERROR(__xludf.DUMMYFUNCTION("""COMPUTED_VALUE"""),4.0)</f>
        <v>4</v>
      </c>
      <c r="G77" s="1">
        <f>IFERROR(__xludf.DUMMYFUNCTION("""COMPUTED_VALUE"""),4.3)</f>
        <v>4.3</v>
      </c>
      <c r="H77" s="1">
        <f>IFERROR(__xludf.DUMMYFUNCTION("""COMPUTED_VALUE"""),3.3)</f>
        <v>3.3</v>
      </c>
      <c r="I77" s="1" t="str">
        <f>IFERROR(__xludf.DUMMYFUNCTION("""COMPUTED_VALUE"""),"13.3-17.7")</f>
        <v>13.3-17.7</v>
      </c>
      <c r="J77" s="1" t="str">
        <f>IFERROR(__xludf.DUMMYFUNCTION("""COMPUTED_VALUE"""),"6.3-13.7")</f>
        <v>6.3-13.7</v>
      </c>
      <c r="K77" s="2">
        <f>IFERROR(__xludf.DUMMYFUNCTION("""COMPUTED_VALUE"""),0.001)</f>
        <v>0.001</v>
      </c>
      <c r="L77" s="1" t="str">
        <f>IFERROR(__xludf.DUMMYFUNCTION("""COMPUTED_VALUE"""),"57th")</f>
        <v>57th</v>
      </c>
    </row>
    <row r="78">
      <c r="A78" s="1" t="str">
        <f>IFERROR(__xludf.DUMMYFUNCTION("""COMPUTED_VALUE"""),"Oregon State Beavers")</f>
        <v>Oregon State Beavers</v>
      </c>
      <c r="B78" s="1" t="str">
        <f>IFERROR(__xludf.DUMMYFUNCTION("""COMPUTED_VALUE"""),"WCC")</f>
        <v>WCC</v>
      </c>
      <c r="C78" s="1" t="str">
        <f>IFERROR(__xludf.DUMMYFUNCTION("""COMPUTED_VALUE"""),"14-5")</f>
        <v>14-5</v>
      </c>
      <c r="D78" s="1">
        <f>IFERROR(__xludf.DUMMYFUNCTION("""COMPUTED_VALUE"""),7.5)</f>
        <v>7.5</v>
      </c>
      <c r="E78" s="1">
        <f>IFERROR(__xludf.DUMMYFUNCTION("""COMPUTED_VALUE"""),75.0)</f>
        <v>75</v>
      </c>
      <c r="F78" s="1">
        <f>IFERROR(__xludf.DUMMYFUNCTION("""COMPUTED_VALUE"""),13.0)</f>
        <v>13</v>
      </c>
      <c r="G78" s="1">
        <f>IFERROR(__xludf.DUMMYFUNCTION("""COMPUTED_VALUE"""),3.9)</f>
        <v>3.9</v>
      </c>
      <c r="H78" s="1">
        <f>IFERROR(__xludf.DUMMYFUNCTION("""COMPUTED_VALUE"""),3.5)</f>
        <v>3.5</v>
      </c>
      <c r="I78" s="1" t="str">
        <f>IFERROR(__xludf.DUMMYFUNCTION("""COMPUTED_VALUE"""),"21.7-9.3")</f>
        <v>21.7-9.3</v>
      </c>
      <c r="J78" s="1" t="str">
        <f>IFERROR(__xludf.DUMMYFUNCTION("""COMPUTED_VALUE"""),"11.7-6.3")</f>
        <v>11.7-6.3</v>
      </c>
      <c r="K78" s="2">
        <f>IFERROR(__xludf.DUMMYFUNCTION("""COMPUTED_VALUE"""),0.033)</f>
        <v>0.033</v>
      </c>
      <c r="L78" s="1" t="str">
        <f>IFERROR(__xludf.DUMMYFUNCTION("""COMPUTED_VALUE"""),"118th")</f>
        <v>118th</v>
      </c>
    </row>
    <row r="79">
      <c r="A79" s="1" t="str">
        <f>IFERROR(__xludf.DUMMYFUNCTION("""COMPUTED_VALUE"""),"Bradley Braves")</f>
        <v>Bradley Braves</v>
      </c>
      <c r="B79" s="1" t="str">
        <f>IFERROR(__xludf.DUMMYFUNCTION("""COMPUTED_VALUE"""),"MVC")</f>
        <v>MVC</v>
      </c>
      <c r="C79" s="1" t="str">
        <f>IFERROR(__xludf.DUMMYFUNCTION("""COMPUTED_VALUE"""),"15-3")</f>
        <v>15-3</v>
      </c>
      <c r="D79" s="1">
        <f>IFERROR(__xludf.DUMMYFUNCTION("""COMPUTED_VALUE"""),7.5)</f>
        <v>7.5</v>
      </c>
      <c r="E79" s="1">
        <f>IFERROR(__xludf.DUMMYFUNCTION("""COMPUTED_VALUE"""),76.0)</f>
        <v>76</v>
      </c>
      <c r="F79" s="1">
        <f>IFERROR(__xludf.DUMMYFUNCTION("""COMPUTED_VALUE"""),6.0)</f>
        <v>6</v>
      </c>
      <c r="G79" s="1">
        <f>IFERROR(__xludf.DUMMYFUNCTION("""COMPUTED_VALUE"""),3.6)</f>
        <v>3.6</v>
      </c>
      <c r="H79" s="1">
        <f>IFERROR(__xludf.DUMMYFUNCTION("""COMPUTED_VALUE"""),3.9)</f>
        <v>3.9</v>
      </c>
      <c r="I79" s="1" t="str">
        <f>IFERROR(__xludf.DUMMYFUNCTION("""COMPUTED_VALUE"""),"24.4-6.6")</f>
        <v>24.4-6.6</v>
      </c>
      <c r="J79" s="1" t="str">
        <f>IFERROR(__xludf.DUMMYFUNCTION("""COMPUTED_VALUE"""),"15.4-4.6")</f>
        <v>15.4-4.6</v>
      </c>
      <c r="K79" s="4">
        <f>IFERROR(__xludf.DUMMYFUNCTION("""COMPUTED_VALUE"""),0.51)</f>
        <v>0.51</v>
      </c>
      <c r="L79" s="1" t="str">
        <f>IFERROR(__xludf.DUMMYFUNCTION("""COMPUTED_VALUE"""),"124th")</f>
        <v>124th</v>
      </c>
    </row>
    <row r="80">
      <c r="A80" s="1" t="str">
        <f>IFERROR(__xludf.DUMMYFUNCTION("""COMPUTED_VALUE"""),"Providence Friars")</f>
        <v>Providence Friars</v>
      </c>
      <c r="B80" s="1" t="str">
        <f>IFERROR(__xludf.DUMMYFUNCTION("""COMPUTED_VALUE"""),"Big East")</f>
        <v>Big East</v>
      </c>
      <c r="C80" s="3">
        <f>IFERROR(__xludf.DUMMYFUNCTION("""COMPUTED_VALUE"""),45910.0)</f>
        <v>45910</v>
      </c>
      <c r="D80" s="1">
        <f>IFERROR(__xludf.DUMMYFUNCTION("""COMPUTED_VALUE"""),7.5)</f>
        <v>7.5</v>
      </c>
      <c r="E80" s="1">
        <f>IFERROR(__xludf.DUMMYFUNCTION("""COMPUTED_VALUE"""),77.0)</f>
        <v>77</v>
      </c>
      <c r="F80" s="1">
        <f>IFERROR(__xludf.DUMMYFUNCTION("""COMPUTED_VALUE"""),6.0)</f>
        <v>6</v>
      </c>
      <c r="G80" s="1">
        <f>IFERROR(__xludf.DUMMYFUNCTION("""COMPUTED_VALUE"""),2.9)</f>
        <v>2.9</v>
      </c>
      <c r="H80" s="1">
        <f>IFERROR(__xludf.DUMMYFUNCTION("""COMPUTED_VALUE"""),4.6)</f>
        <v>4.6</v>
      </c>
      <c r="I80" s="1" t="str">
        <f>IFERROR(__xludf.DUMMYFUNCTION("""COMPUTED_VALUE"""),"13.7-17.3")</f>
        <v>13.7-17.3</v>
      </c>
      <c r="J80" s="1" t="str">
        <f>IFERROR(__xludf.DUMMYFUNCTION("""COMPUTED_VALUE"""),"7.7-12.3")</f>
        <v>7.7-12.3</v>
      </c>
      <c r="K80" s="1" t="str">
        <f>IFERROR(__xludf.DUMMYFUNCTION("""COMPUTED_VALUE"""),"&lt;0.1%")</f>
        <v>&lt;0.1%</v>
      </c>
      <c r="L80" s="1" t="str">
        <f>IFERROR(__xludf.DUMMYFUNCTION("""COMPUTED_VALUE"""),"56th")</f>
        <v>56th</v>
      </c>
    </row>
    <row r="81">
      <c r="A81" s="1" t="str">
        <f>IFERROR(__xludf.DUMMYFUNCTION("""COMPUTED_VALUE"""),"Yale Bulldogs")</f>
        <v>Yale Bulldogs</v>
      </c>
      <c r="B81" s="1" t="str">
        <f>IFERROR(__xludf.DUMMYFUNCTION("""COMPUTED_VALUE"""),"Ivy")</f>
        <v>Ivy</v>
      </c>
      <c r="C81" s="3">
        <f>IFERROR(__xludf.DUMMYFUNCTION("""COMPUTED_VALUE"""),45875.0)</f>
        <v>45875</v>
      </c>
      <c r="D81" s="1">
        <f>IFERROR(__xludf.DUMMYFUNCTION("""COMPUTED_VALUE"""),7.3)</f>
        <v>7.3</v>
      </c>
      <c r="E81" s="1">
        <f>IFERROR(__xludf.DUMMYFUNCTION("""COMPUTED_VALUE"""),78.0)</f>
        <v>78</v>
      </c>
      <c r="F81" s="1" t="str">
        <f>IFERROR(__xludf.DUMMYFUNCTION("""COMPUTED_VALUE"""),"--")</f>
        <v>--</v>
      </c>
      <c r="G81" s="1">
        <f>IFERROR(__xludf.DUMMYFUNCTION("""COMPUTED_VALUE"""),4.6)</f>
        <v>4.6</v>
      </c>
      <c r="H81" s="1">
        <f>IFERROR(__xludf.DUMMYFUNCTION("""COMPUTED_VALUE"""),2.7)</f>
        <v>2.7</v>
      </c>
      <c r="I81" s="1" t="str">
        <f>IFERROR(__xludf.DUMMYFUNCTION("""COMPUTED_VALUE"""),"18.3-8.7")</f>
        <v>18.3-8.7</v>
      </c>
      <c r="J81" s="1" t="str">
        <f>IFERROR(__xludf.DUMMYFUNCTION("""COMPUTED_VALUE"""),"11.3-2.7")</f>
        <v>11.3-2.7</v>
      </c>
      <c r="K81" s="2">
        <f>IFERROR(__xludf.DUMMYFUNCTION("""COMPUTED_VALUE"""),0.771)</f>
        <v>0.771</v>
      </c>
      <c r="L81" s="1" t="str">
        <f>IFERROR(__xludf.DUMMYFUNCTION("""COMPUTED_VALUE"""),"167th")</f>
        <v>167th</v>
      </c>
    </row>
    <row r="82">
      <c r="A82" s="1" t="str">
        <f>IFERROR(__xludf.DUMMYFUNCTION("""COMPUTED_VALUE"""),"Georgetown Hoyas")</f>
        <v>Georgetown Hoyas</v>
      </c>
      <c r="B82" s="1" t="str">
        <f>IFERROR(__xludf.DUMMYFUNCTION("""COMPUTED_VALUE"""),"Big East")</f>
        <v>Big East</v>
      </c>
      <c r="C82" s="3">
        <f>IFERROR(__xludf.DUMMYFUNCTION("""COMPUTED_VALUE"""),45997.0)</f>
        <v>45997</v>
      </c>
      <c r="D82" s="1">
        <f>IFERROR(__xludf.DUMMYFUNCTION("""COMPUTED_VALUE"""),7.2)</f>
        <v>7.2</v>
      </c>
      <c r="E82" s="1">
        <f>IFERROR(__xludf.DUMMYFUNCTION("""COMPUTED_VALUE"""),79.0)</f>
        <v>79</v>
      </c>
      <c r="F82" s="1">
        <f>IFERROR(__xludf.DUMMYFUNCTION("""COMPUTED_VALUE"""),7.0)</f>
        <v>7</v>
      </c>
      <c r="G82" s="1">
        <f>IFERROR(__xludf.DUMMYFUNCTION("""COMPUTED_VALUE"""),1.1)</f>
        <v>1.1</v>
      </c>
      <c r="H82" s="1">
        <f>IFERROR(__xludf.DUMMYFUNCTION("""COMPUTED_VALUE"""),6.1)</f>
        <v>6.1</v>
      </c>
      <c r="I82" s="1" t="str">
        <f>IFERROR(__xludf.DUMMYFUNCTION("""COMPUTED_VALUE"""),"16.8-14.2")</f>
        <v>16.8-14.2</v>
      </c>
      <c r="J82" s="1" t="str">
        <f>IFERROR(__xludf.DUMMYFUNCTION("""COMPUTED_VALUE"""),"7.8-12.2")</f>
        <v>7.8-12.2</v>
      </c>
      <c r="K82" s="1" t="str">
        <f>IFERROR(__xludf.DUMMYFUNCTION("""COMPUTED_VALUE"""),"&lt;0.1%")</f>
        <v>&lt;0.1%</v>
      </c>
      <c r="L82" s="1" t="str">
        <f>IFERROR(__xludf.DUMMYFUNCTION("""COMPUTED_VALUE"""),"55th")</f>
        <v>55th</v>
      </c>
    </row>
    <row r="83">
      <c r="A83" s="1" t="str">
        <f>IFERROR(__xludf.DUMMYFUNCTION("""COMPUTED_VALUE"""),"Colorado State Rams")</f>
        <v>Colorado State Rams</v>
      </c>
      <c r="B83" s="1" t="str">
        <f>IFERROR(__xludf.DUMMYFUNCTION("""COMPUTED_VALUE"""),"Mountain West")</f>
        <v>Mountain West</v>
      </c>
      <c r="C83" s="3">
        <f>IFERROR(__xludf.DUMMYFUNCTION("""COMPUTED_VALUE"""),45937.0)</f>
        <v>45937</v>
      </c>
      <c r="D83" s="1">
        <f>IFERROR(__xludf.DUMMYFUNCTION("""COMPUTED_VALUE"""),7.0)</f>
        <v>7</v>
      </c>
      <c r="E83" s="1">
        <f>IFERROR(__xludf.DUMMYFUNCTION("""COMPUTED_VALUE"""),80.0)</f>
        <v>80</v>
      </c>
      <c r="F83" s="1">
        <f>IFERROR(__xludf.DUMMYFUNCTION("""COMPUTED_VALUE"""),3.0)</f>
        <v>3</v>
      </c>
      <c r="G83" s="1">
        <f>IFERROR(__xludf.DUMMYFUNCTION("""COMPUTED_VALUE"""),2.1)</f>
        <v>2.1</v>
      </c>
      <c r="H83" s="1">
        <f>IFERROR(__xludf.DUMMYFUNCTION("""COMPUTED_VALUE"""),4.9)</f>
        <v>4.9</v>
      </c>
      <c r="I83" s="1" t="str">
        <f>IFERROR(__xludf.DUMMYFUNCTION("""COMPUTED_VALUE"""),"18.2-12.8")</f>
        <v>18.2-12.8</v>
      </c>
      <c r="J83" s="1" t="str">
        <f>IFERROR(__xludf.DUMMYFUNCTION("""COMPUTED_VALUE"""),"12.2-7.8")</f>
        <v>12.2-7.8</v>
      </c>
      <c r="K83" s="4">
        <f>IFERROR(__xludf.DUMMYFUNCTION("""COMPUTED_VALUE"""),0.03)</f>
        <v>0.03</v>
      </c>
      <c r="L83" s="1" t="str">
        <f>IFERROR(__xludf.DUMMYFUNCTION("""COMPUTED_VALUE"""),"94th")</f>
        <v>94th</v>
      </c>
    </row>
    <row r="84">
      <c r="A84" s="1" t="str">
        <f>IFERROR(__xludf.DUMMYFUNCTION("""COMPUTED_VALUE"""),"San Francisco Dons")</f>
        <v>San Francisco Dons</v>
      </c>
      <c r="B84" s="1" t="str">
        <f>IFERROR(__xludf.DUMMYFUNCTION("""COMPUTED_VALUE"""),"WCC")</f>
        <v>WCC</v>
      </c>
      <c r="C84" s="1" t="str">
        <f>IFERROR(__xludf.DUMMYFUNCTION("""COMPUTED_VALUE"""),"15-5")</f>
        <v>15-5</v>
      </c>
      <c r="D84" s="1">
        <f>IFERROR(__xludf.DUMMYFUNCTION("""COMPUTED_VALUE"""),6.9)</f>
        <v>6.9</v>
      </c>
      <c r="E84" s="1">
        <f>IFERROR(__xludf.DUMMYFUNCTION("""COMPUTED_VALUE"""),81.0)</f>
        <v>81</v>
      </c>
      <c r="F84" s="1">
        <f>IFERROR(__xludf.DUMMYFUNCTION("""COMPUTED_VALUE"""),7.0)</f>
        <v>7</v>
      </c>
      <c r="G84" s="1">
        <f>IFERROR(__xludf.DUMMYFUNCTION("""COMPUTED_VALUE"""),2.3)</f>
        <v>2.3</v>
      </c>
      <c r="H84" s="1">
        <f>IFERROR(__xludf.DUMMYFUNCTION("""COMPUTED_VALUE"""),4.6)</f>
        <v>4.6</v>
      </c>
      <c r="I84" s="1" t="str">
        <f>IFERROR(__xludf.DUMMYFUNCTION("""COMPUTED_VALUE"""),"21.0-10.0")</f>
        <v>21.0-10.0</v>
      </c>
      <c r="J84" s="1" t="str">
        <f>IFERROR(__xludf.DUMMYFUNCTION("""COMPUTED_VALUE"""),"11.0-7.0")</f>
        <v>11.0-7.0</v>
      </c>
      <c r="K84" s="2">
        <f>IFERROR(__xludf.DUMMYFUNCTION("""COMPUTED_VALUE"""),0.015)</f>
        <v>0.015</v>
      </c>
      <c r="L84" s="1" t="str">
        <f>IFERROR(__xludf.DUMMYFUNCTION("""COMPUTED_VALUE"""),"93rd")</f>
        <v>93rd</v>
      </c>
    </row>
    <row r="85">
      <c r="A85" s="1" t="str">
        <f>IFERROR(__xludf.DUMMYFUNCTION("""COMPUTED_VALUE"""),"UC San Diego Tritons")</f>
        <v>UC San Diego Tritons</v>
      </c>
      <c r="B85" s="1" t="str">
        <f>IFERROR(__xludf.DUMMYFUNCTION("""COMPUTED_VALUE"""),"Big West")</f>
        <v>Big West</v>
      </c>
      <c r="C85" s="1" t="str">
        <f>IFERROR(__xludf.DUMMYFUNCTION("""COMPUTED_VALUE"""),"15-3")</f>
        <v>15-3</v>
      </c>
      <c r="D85" s="1">
        <f>IFERROR(__xludf.DUMMYFUNCTION("""COMPUTED_VALUE"""),6.8)</f>
        <v>6.8</v>
      </c>
      <c r="E85" s="1">
        <f>IFERROR(__xludf.DUMMYFUNCTION("""COMPUTED_VALUE"""),82.0)</f>
        <v>82</v>
      </c>
      <c r="F85" s="1">
        <f>IFERROR(__xludf.DUMMYFUNCTION("""COMPUTED_VALUE"""),3.0)</f>
        <v>3</v>
      </c>
      <c r="G85" s="1">
        <f>IFERROR(__xludf.DUMMYFUNCTION("""COMPUTED_VALUE"""),3.3)</f>
        <v>3.3</v>
      </c>
      <c r="H85" s="1">
        <f>IFERROR(__xludf.DUMMYFUNCTION("""COMPUTED_VALUE"""),3.5)</f>
        <v>3.5</v>
      </c>
      <c r="I85" s="1" t="str">
        <f>IFERROR(__xludf.DUMMYFUNCTION("""COMPUTED_VALUE"""),"26.4-5.6")</f>
        <v>26.4-5.6</v>
      </c>
      <c r="J85" s="1" t="str">
        <f>IFERROR(__xludf.DUMMYFUNCTION("""COMPUTED_VALUE"""),"16.4-3.6")</f>
        <v>16.4-3.6</v>
      </c>
      <c r="K85" s="2">
        <f>IFERROR(__xludf.DUMMYFUNCTION("""COMPUTED_VALUE"""),0.579)</f>
        <v>0.579</v>
      </c>
      <c r="L85" s="1" t="str">
        <f>IFERROR(__xludf.DUMMYFUNCTION("""COMPUTED_VALUE"""),"211th")</f>
        <v>211th</v>
      </c>
    </row>
    <row r="86">
      <c r="A86" s="1" t="str">
        <f>IFERROR(__xludf.DUMMYFUNCTION("""COMPUTED_VALUE"""),"North Texas Mean Green")</f>
        <v>North Texas Mean Green</v>
      </c>
      <c r="B86" s="1" t="str">
        <f>IFERROR(__xludf.DUMMYFUNCTION("""COMPUTED_VALUE"""),"American")</f>
        <v>American</v>
      </c>
      <c r="C86" s="3">
        <f>IFERROR(__xludf.DUMMYFUNCTION("""COMPUTED_VALUE"""),45995.0)</f>
        <v>45995</v>
      </c>
      <c r="D86" s="1">
        <f>IFERROR(__xludf.DUMMYFUNCTION("""COMPUTED_VALUE"""),6.5)</f>
        <v>6.5</v>
      </c>
      <c r="E86" s="1">
        <f>IFERROR(__xludf.DUMMYFUNCTION("""COMPUTED_VALUE"""),83.0)</f>
        <v>83</v>
      </c>
      <c r="F86" s="1">
        <f>IFERROR(__xludf.DUMMYFUNCTION("""COMPUTED_VALUE"""),4.0)</f>
        <v>4</v>
      </c>
      <c r="G86" s="1">
        <f>IFERROR(__xludf.DUMMYFUNCTION("""COMPUTED_VALUE"""),1.9)</f>
        <v>1.9</v>
      </c>
      <c r="H86" s="1">
        <f>IFERROR(__xludf.DUMMYFUNCTION("""COMPUTED_VALUE"""),4.6)</f>
        <v>4.6</v>
      </c>
      <c r="I86" s="1" t="str">
        <f>IFERROR(__xludf.DUMMYFUNCTION("""COMPUTED_VALUE"""),"21.9-8.1")</f>
        <v>21.9-8.1</v>
      </c>
      <c r="J86" s="1" t="str">
        <f>IFERROR(__xludf.DUMMYFUNCTION("""COMPUTED_VALUE"""),"12.9-5.1")</f>
        <v>12.9-5.1</v>
      </c>
      <c r="K86" s="2">
        <f>IFERROR(__xludf.DUMMYFUNCTION("""COMPUTED_VALUE"""),0.126)</f>
        <v>0.126</v>
      </c>
      <c r="L86" s="1" t="str">
        <f>IFERROR(__xludf.DUMMYFUNCTION("""COMPUTED_VALUE"""),"128th")</f>
        <v>128th</v>
      </c>
    </row>
    <row r="87">
      <c r="A87" s="1" t="str">
        <f>IFERROR(__xludf.DUMMYFUNCTION("""COMPUTED_VALUE"""),"Saint Joseph's Hawks")</f>
        <v>Saint Joseph's Hawks</v>
      </c>
      <c r="B87" s="1" t="str">
        <f>IFERROR(__xludf.DUMMYFUNCTION("""COMPUTED_VALUE"""),"A-10")</f>
        <v>A-10</v>
      </c>
      <c r="C87" s="3">
        <f>IFERROR(__xludf.DUMMYFUNCTION("""COMPUTED_VALUE"""),45968.0)</f>
        <v>45968</v>
      </c>
      <c r="D87" s="1">
        <f>IFERROR(__xludf.DUMMYFUNCTION("""COMPUTED_VALUE"""),6.5)</f>
        <v>6.5</v>
      </c>
      <c r="E87" s="1">
        <f>IFERROR(__xludf.DUMMYFUNCTION("""COMPUTED_VALUE"""),84.0)</f>
        <v>84</v>
      </c>
      <c r="F87" s="1">
        <f>IFERROR(__xludf.DUMMYFUNCTION("""COMPUTED_VALUE"""),9.0)</f>
        <v>9</v>
      </c>
      <c r="G87" s="1">
        <f>IFERROR(__xludf.DUMMYFUNCTION("""COMPUTED_VALUE"""),2.0)</f>
        <v>2</v>
      </c>
      <c r="H87" s="1">
        <f>IFERROR(__xludf.DUMMYFUNCTION("""COMPUTED_VALUE"""),4.5)</f>
        <v>4.5</v>
      </c>
      <c r="I87" s="1" t="str">
        <f>IFERROR(__xludf.DUMMYFUNCTION("""COMPUTED_VALUE"""),"19.2-11.8")</f>
        <v>19.2-11.8</v>
      </c>
      <c r="J87" s="1" t="str">
        <f>IFERROR(__xludf.DUMMYFUNCTION("""COMPUTED_VALUE"""),"10.2-7.8")</f>
        <v>10.2-7.8</v>
      </c>
      <c r="K87" s="2">
        <f>IFERROR(__xludf.DUMMYFUNCTION("""COMPUTED_VALUE"""),0.102)</f>
        <v>0.102</v>
      </c>
      <c r="L87" s="1" t="str">
        <f>IFERROR(__xludf.DUMMYFUNCTION("""COMPUTED_VALUE"""),"104th")</f>
        <v>104th</v>
      </c>
    </row>
    <row r="88">
      <c r="A88" s="1" t="str">
        <f>IFERROR(__xludf.DUMMYFUNCTION("""COMPUTED_VALUE"""),"Washington State Cougars")</f>
        <v>Washington State Cougars</v>
      </c>
      <c r="B88" s="1" t="str">
        <f>IFERROR(__xludf.DUMMYFUNCTION("""COMPUTED_VALUE"""),"WCC")</f>
        <v>WCC</v>
      </c>
      <c r="C88" s="1" t="str">
        <f>IFERROR(__xludf.DUMMYFUNCTION("""COMPUTED_VALUE"""),"14-5")</f>
        <v>14-5</v>
      </c>
      <c r="D88" s="1">
        <f>IFERROR(__xludf.DUMMYFUNCTION("""COMPUTED_VALUE"""),6.3)</f>
        <v>6.3</v>
      </c>
      <c r="E88" s="1">
        <f>IFERROR(__xludf.DUMMYFUNCTION("""COMPUTED_VALUE"""),85.0)</f>
        <v>85</v>
      </c>
      <c r="F88" s="1">
        <f>IFERROR(__xludf.DUMMYFUNCTION("""COMPUTED_VALUE"""),4.0)</f>
        <v>4</v>
      </c>
      <c r="G88" s="1">
        <f>IFERROR(__xludf.DUMMYFUNCTION("""COMPUTED_VALUE"""),3.3)</f>
        <v>3.3</v>
      </c>
      <c r="H88" s="1">
        <f>IFERROR(__xludf.DUMMYFUNCTION("""COMPUTED_VALUE"""),3.0)</f>
        <v>3</v>
      </c>
      <c r="I88" s="1" t="str">
        <f>IFERROR(__xludf.DUMMYFUNCTION("""COMPUTED_VALUE"""),"20.9-10.1")</f>
        <v>20.9-10.1</v>
      </c>
      <c r="J88" s="1" t="str">
        <f>IFERROR(__xludf.DUMMYFUNCTION("""COMPUTED_VALUE"""),"10.9-7.1")</f>
        <v>10.9-7.1</v>
      </c>
      <c r="K88" s="2">
        <f>IFERROR(__xludf.DUMMYFUNCTION("""COMPUTED_VALUE"""),0.017)</f>
        <v>0.017</v>
      </c>
      <c r="L88" s="1" t="str">
        <f>IFERROR(__xludf.DUMMYFUNCTION("""COMPUTED_VALUE"""),"111th")</f>
        <v>111th</v>
      </c>
    </row>
    <row r="89">
      <c r="A89" s="1" t="str">
        <f>IFERROR(__xludf.DUMMYFUNCTION("""COMPUTED_VALUE"""),"Grand Canyon Lopes")</f>
        <v>Grand Canyon Lopes</v>
      </c>
      <c r="B89" s="1" t="str">
        <f>IFERROR(__xludf.DUMMYFUNCTION("""COMPUTED_VALUE"""),"WAC")</f>
        <v>WAC</v>
      </c>
      <c r="C89" s="3">
        <f>IFERROR(__xludf.DUMMYFUNCTION("""COMPUTED_VALUE"""),45996.0)</f>
        <v>45996</v>
      </c>
      <c r="D89" s="1">
        <f>IFERROR(__xludf.DUMMYFUNCTION("""COMPUTED_VALUE"""),6.3)</f>
        <v>6.3</v>
      </c>
      <c r="E89" s="1">
        <f>IFERROR(__xludf.DUMMYFUNCTION("""COMPUTED_VALUE"""),86.0)</f>
        <v>86</v>
      </c>
      <c r="F89" s="1">
        <f>IFERROR(__xludf.DUMMYFUNCTION("""COMPUTED_VALUE"""),4.0)</f>
        <v>4</v>
      </c>
      <c r="G89" s="1">
        <f>IFERROR(__xludf.DUMMYFUNCTION("""COMPUTED_VALUE"""),0.6)</f>
        <v>0.6</v>
      </c>
      <c r="H89" s="1">
        <f>IFERROR(__xludf.DUMMYFUNCTION("""COMPUTED_VALUE"""),5.7)</f>
        <v>5.7</v>
      </c>
      <c r="I89" s="1" t="str">
        <f>IFERROR(__xludf.DUMMYFUNCTION("""COMPUTED_VALUE"""),"22.6-7.4")</f>
        <v>22.6-7.4</v>
      </c>
      <c r="J89" s="1" t="str">
        <f>IFERROR(__xludf.DUMMYFUNCTION("""COMPUTED_VALUE"""),"12.6-3.4")</f>
        <v>12.6-3.4</v>
      </c>
      <c r="K89" s="2">
        <f>IFERROR(__xludf.DUMMYFUNCTION("""COMPUTED_VALUE"""),0.873)</f>
        <v>0.873</v>
      </c>
      <c r="L89" s="1" t="str">
        <f>IFERROR(__xludf.DUMMYFUNCTION("""COMPUTED_VALUE"""),"225th")</f>
        <v>225th</v>
      </c>
    </row>
    <row r="90">
      <c r="A90" s="1" t="str">
        <f>IFERROR(__xludf.DUMMYFUNCTION("""COMPUTED_VALUE"""),"Colorado Buffaloes")</f>
        <v>Colorado Buffaloes</v>
      </c>
      <c r="B90" s="1" t="str">
        <f>IFERROR(__xludf.DUMMYFUNCTION("""COMPUTED_VALUE"""),"Big 12")</f>
        <v>Big 12</v>
      </c>
      <c r="C90" s="3">
        <f>IFERROR(__xludf.DUMMYFUNCTION("""COMPUTED_VALUE"""),45907.0)</f>
        <v>45907</v>
      </c>
      <c r="D90" s="1">
        <f>IFERROR(__xludf.DUMMYFUNCTION("""COMPUTED_VALUE"""),6.0)</f>
        <v>6</v>
      </c>
      <c r="E90" s="1">
        <f>IFERROR(__xludf.DUMMYFUNCTION("""COMPUTED_VALUE"""),87.0)</f>
        <v>87</v>
      </c>
      <c r="F90" s="1">
        <f>IFERROR(__xludf.DUMMYFUNCTION("""COMPUTED_VALUE"""),1.0)</f>
        <v>1</v>
      </c>
      <c r="G90" s="1">
        <f>IFERROR(__xludf.DUMMYFUNCTION("""COMPUTED_VALUE"""),1.2)</f>
        <v>1.2</v>
      </c>
      <c r="H90" s="1">
        <f>IFERROR(__xludf.DUMMYFUNCTION("""COMPUTED_VALUE"""),4.9)</f>
        <v>4.9</v>
      </c>
      <c r="I90" s="1" t="str">
        <f>IFERROR(__xludf.DUMMYFUNCTION("""COMPUTED_VALUE"""),"12.9-18.1")</f>
        <v>12.9-18.1</v>
      </c>
      <c r="J90" s="1" t="str">
        <f>IFERROR(__xludf.DUMMYFUNCTION("""COMPUTED_VALUE"""),"3.9-16.1")</f>
        <v>3.9-16.1</v>
      </c>
      <c r="K90" s="1" t="str">
        <f>IFERROR(__xludf.DUMMYFUNCTION("""COMPUTED_VALUE"""),"&lt;0.1%")</f>
        <v>&lt;0.1%</v>
      </c>
      <c r="L90" s="1" t="str">
        <f>IFERROR(__xludf.DUMMYFUNCTION("""COMPUTED_VALUE"""),"23rd")</f>
        <v>23rd</v>
      </c>
    </row>
    <row r="91">
      <c r="A91" s="1" t="str">
        <f>IFERROR(__xludf.DUMMYFUNCTION("""COMPUTED_VALUE"""),"UC Irvine Anteaters")</f>
        <v>UC Irvine Anteaters</v>
      </c>
      <c r="B91" s="1" t="str">
        <f>IFERROR(__xludf.DUMMYFUNCTION("""COMPUTED_VALUE"""),"Big West")</f>
        <v>Big West</v>
      </c>
      <c r="C91" s="1" t="str">
        <f>IFERROR(__xludf.DUMMYFUNCTION("""COMPUTED_VALUE"""),"16-2")</f>
        <v>16-2</v>
      </c>
      <c r="D91" s="1">
        <f>IFERROR(__xludf.DUMMYFUNCTION("""COMPUTED_VALUE"""),6.0)</f>
        <v>6</v>
      </c>
      <c r="E91" s="1">
        <f>IFERROR(__xludf.DUMMYFUNCTION("""COMPUTED_VALUE"""),88.0)</f>
        <v>88</v>
      </c>
      <c r="F91" s="1">
        <f>IFERROR(__xludf.DUMMYFUNCTION("""COMPUTED_VALUE"""),6.0)</f>
        <v>6</v>
      </c>
      <c r="G91" s="1">
        <f>IFERROR(__xludf.DUMMYFUNCTION("""COMPUTED_VALUE"""),-1.3)</f>
        <v>-1.3</v>
      </c>
      <c r="H91" s="1">
        <f>IFERROR(__xludf.DUMMYFUNCTION("""COMPUTED_VALUE"""),7.3)</f>
        <v>7.3</v>
      </c>
      <c r="I91" s="1" t="str">
        <f>IFERROR(__xludf.DUMMYFUNCTION("""COMPUTED_VALUE"""),"27.3-4.7")</f>
        <v>27.3-4.7</v>
      </c>
      <c r="J91" s="1" t="str">
        <f>IFERROR(__xludf.DUMMYFUNCTION("""COMPUTED_VALUE"""),"17.3-2.7")</f>
        <v>17.3-2.7</v>
      </c>
      <c r="K91" s="2">
        <f>IFERROR(__xludf.DUMMYFUNCTION("""COMPUTED_VALUE"""),0.509)</f>
        <v>0.509</v>
      </c>
      <c r="L91" s="1" t="str">
        <f>IFERROR(__xludf.DUMMYFUNCTION("""COMPUTED_VALUE"""),"224th")</f>
        <v>224th</v>
      </c>
    </row>
    <row r="92">
      <c r="A92" s="1" t="str">
        <f>IFERROR(__xludf.DUMMYFUNCTION("""COMPUTED_VALUE"""),"Kansas State Wildcats")</f>
        <v>Kansas State Wildcats</v>
      </c>
      <c r="B92" s="1" t="str">
        <f>IFERROR(__xludf.DUMMYFUNCTION("""COMPUTED_VALUE"""),"Big 12")</f>
        <v>Big 12</v>
      </c>
      <c r="C92" s="3">
        <f>IFERROR(__xludf.DUMMYFUNCTION("""COMPUTED_VALUE"""),45847.0)</f>
        <v>45847</v>
      </c>
      <c r="D92" s="1">
        <f>IFERROR(__xludf.DUMMYFUNCTION("""COMPUTED_VALUE"""),5.9)</f>
        <v>5.9</v>
      </c>
      <c r="E92" s="1">
        <f>IFERROR(__xludf.DUMMYFUNCTION("""COMPUTED_VALUE"""),89.0)</f>
        <v>89</v>
      </c>
      <c r="F92" s="1">
        <f>IFERROR(__xludf.DUMMYFUNCTION("""COMPUTED_VALUE"""),9.0)</f>
        <v>9</v>
      </c>
      <c r="G92" s="1">
        <f>IFERROR(__xludf.DUMMYFUNCTION("""COMPUTED_VALUE"""),2.1)</f>
        <v>2.1</v>
      </c>
      <c r="H92" s="1">
        <f>IFERROR(__xludf.DUMMYFUNCTION("""COMPUTED_VALUE"""),3.8)</f>
        <v>3.8</v>
      </c>
      <c r="I92" s="1" t="str">
        <f>IFERROR(__xludf.DUMMYFUNCTION("""COMPUTED_VALUE"""),"11.0-20.0")</f>
        <v>11.0-20.0</v>
      </c>
      <c r="J92" s="1" t="str">
        <f>IFERROR(__xludf.DUMMYFUNCTION("""COMPUTED_VALUE"""),"5.0-15.0")</f>
        <v>5.0-15.0</v>
      </c>
      <c r="K92" s="1" t="str">
        <f>IFERROR(__xludf.DUMMYFUNCTION("""COMPUTED_VALUE"""),"&lt;0.1%")</f>
        <v>&lt;0.1%</v>
      </c>
      <c r="L92" s="1" t="str">
        <f>IFERROR(__xludf.DUMMYFUNCTION("""COMPUTED_VALUE"""),"33rd")</f>
        <v>33rd</v>
      </c>
    </row>
    <row r="93">
      <c r="A93" s="1" t="str">
        <f>IFERROR(__xludf.DUMMYFUNCTION("""COMPUTED_VALUE"""),"Drake Bulldogs")</f>
        <v>Drake Bulldogs</v>
      </c>
      <c r="B93" s="1" t="str">
        <f>IFERROR(__xludf.DUMMYFUNCTION("""COMPUTED_VALUE"""),"MVC")</f>
        <v>MVC</v>
      </c>
      <c r="C93" s="1" t="str">
        <f>IFERROR(__xludf.DUMMYFUNCTION("""COMPUTED_VALUE"""),"15-2")</f>
        <v>15-2</v>
      </c>
      <c r="D93" s="1">
        <f>IFERROR(__xludf.DUMMYFUNCTION("""COMPUTED_VALUE"""),5.9)</f>
        <v>5.9</v>
      </c>
      <c r="E93" s="1">
        <f>IFERROR(__xludf.DUMMYFUNCTION("""COMPUTED_VALUE"""),90.0)</f>
        <v>90</v>
      </c>
      <c r="F93" s="1">
        <f>IFERROR(__xludf.DUMMYFUNCTION("""COMPUTED_VALUE"""),2.0)</f>
        <v>2</v>
      </c>
      <c r="G93" s="1">
        <f>IFERROR(__xludf.DUMMYFUNCTION("""COMPUTED_VALUE"""),1.3)</f>
        <v>1.3</v>
      </c>
      <c r="H93" s="1">
        <f>IFERROR(__xludf.DUMMYFUNCTION("""COMPUTED_VALUE"""),4.6)</f>
        <v>4.6</v>
      </c>
      <c r="I93" s="1" t="str">
        <f>IFERROR(__xludf.DUMMYFUNCTION("""COMPUTED_VALUE"""),"24.3-5.7")</f>
        <v>24.3-5.7</v>
      </c>
      <c r="J93" s="1" t="str">
        <f>IFERROR(__xludf.DUMMYFUNCTION("""COMPUTED_VALUE"""),"14.3-5.7")</f>
        <v>14.3-5.7</v>
      </c>
      <c r="K93" s="2">
        <f>IFERROR(__xludf.DUMMYFUNCTION("""COMPUTED_VALUE"""),0.389)</f>
        <v>0.389</v>
      </c>
      <c r="L93" s="1" t="str">
        <f>IFERROR(__xludf.DUMMYFUNCTION("""COMPUTED_VALUE"""),"139th")</f>
        <v>139th</v>
      </c>
    </row>
    <row r="94">
      <c r="A94" s="1" t="str">
        <f>IFERROR(__xludf.DUMMYFUNCTION("""COMPUTED_VALUE"""),"Santa Clara Broncos")</f>
        <v>Santa Clara Broncos</v>
      </c>
      <c r="B94" s="1" t="str">
        <f>IFERROR(__xludf.DUMMYFUNCTION("""COMPUTED_VALUE"""),"WCC")</f>
        <v>WCC</v>
      </c>
      <c r="C94" s="3">
        <f>IFERROR(__xludf.DUMMYFUNCTION("""COMPUTED_VALUE"""),45998.0)</f>
        <v>45998</v>
      </c>
      <c r="D94" s="1">
        <f>IFERROR(__xludf.DUMMYFUNCTION("""COMPUTED_VALUE"""),5.8)</f>
        <v>5.8</v>
      </c>
      <c r="E94" s="1">
        <f>IFERROR(__xludf.DUMMYFUNCTION("""COMPUTED_VALUE"""),91.0)</f>
        <v>91</v>
      </c>
      <c r="F94" s="1">
        <f>IFERROR(__xludf.DUMMYFUNCTION("""COMPUTED_VALUE"""),8.0)</f>
        <v>8</v>
      </c>
      <c r="G94" s="1">
        <f>IFERROR(__xludf.DUMMYFUNCTION("""COMPUTED_VALUE"""),3.6)</f>
        <v>3.6</v>
      </c>
      <c r="H94" s="1">
        <f>IFERROR(__xludf.DUMMYFUNCTION("""COMPUTED_VALUE"""),2.2)</f>
        <v>2.2</v>
      </c>
      <c r="I94" s="1" t="str">
        <f>IFERROR(__xludf.DUMMYFUNCTION("""COMPUTED_VALUE"""),"18.6-12.4")</f>
        <v>18.6-12.4</v>
      </c>
      <c r="J94" s="1" t="str">
        <f>IFERROR(__xludf.DUMMYFUNCTION("""COMPUTED_VALUE"""),"10.6-7.4")</f>
        <v>10.6-7.4</v>
      </c>
      <c r="K94" s="2">
        <f>IFERROR(__xludf.DUMMYFUNCTION("""COMPUTED_VALUE"""),0.007)</f>
        <v>0.007</v>
      </c>
      <c r="L94" s="1" t="str">
        <f>IFERROR(__xludf.DUMMYFUNCTION("""COMPUTED_VALUE"""),"113th")</f>
        <v>113th</v>
      </c>
    </row>
    <row r="95">
      <c r="A95" s="1" t="str">
        <f>IFERROR(__xludf.DUMMYFUNCTION("""COMPUTED_VALUE"""),"Liberty Flames")</f>
        <v>Liberty Flames</v>
      </c>
      <c r="B95" s="1" t="str">
        <f>IFERROR(__xludf.DUMMYFUNCTION("""COMPUTED_VALUE"""),"CUSA")</f>
        <v>CUSA</v>
      </c>
      <c r="C95" s="1" t="str">
        <f>IFERROR(__xludf.DUMMYFUNCTION("""COMPUTED_VALUE"""),"14-4")</f>
        <v>14-4</v>
      </c>
      <c r="D95" s="1">
        <f>IFERROR(__xludf.DUMMYFUNCTION("""COMPUTED_VALUE"""),5.5)</f>
        <v>5.5</v>
      </c>
      <c r="E95" s="1">
        <f>IFERROR(__xludf.DUMMYFUNCTION("""COMPUTED_VALUE"""),92.0)</f>
        <v>92</v>
      </c>
      <c r="F95" s="1">
        <f>IFERROR(__xludf.DUMMYFUNCTION("""COMPUTED_VALUE"""),7.0)</f>
        <v>7</v>
      </c>
      <c r="G95" s="1">
        <f>IFERROR(__xludf.DUMMYFUNCTION("""COMPUTED_VALUE"""),1.4)</f>
        <v>1.4</v>
      </c>
      <c r="H95" s="1">
        <f>IFERROR(__xludf.DUMMYFUNCTION("""COMPUTED_VALUE"""),4.1)</f>
        <v>4.1</v>
      </c>
      <c r="I95" s="1" t="str">
        <f>IFERROR(__xludf.DUMMYFUNCTION("""COMPUTED_VALUE"""),"23.8-7.2")</f>
        <v>23.8-7.2</v>
      </c>
      <c r="J95" s="1" t="str">
        <f>IFERROR(__xludf.DUMMYFUNCTION("""COMPUTED_VALUE"""),"11.8-6.2")</f>
        <v>11.8-6.2</v>
      </c>
      <c r="K95" s="2">
        <f>IFERROR(__xludf.DUMMYFUNCTION("""COMPUTED_VALUE"""),0.764)</f>
        <v>0.764</v>
      </c>
      <c r="L95" s="1" t="str">
        <f>IFERROR(__xludf.DUMMYFUNCTION("""COMPUTED_VALUE"""),"165th")</f>
        <v>165th</v>
      </c>
    </row>
    <row r="96">
      <c r="A96" s="1" t="str">
        <f>IFERROR(__xludf.DUMMYFUNCTION("""COMPUTED_VALUE"""),"Minnesota Golden Gophers")</f>
        <v>Minnesota Golden Gophers</v>
      </c>
      <c r="B96" s="1" t="str">
        <f>IFERROR(__xludf.DUMMYFUNCTION("""COMPUTED_VALUE"""),"Big Ten")</f>
        <v>Big Ten</v>
      </c>
      <c r="C96" s="3">
        <f>IFERROR(__xludf.DUMMYFUNCTION("""COMPUTED_VALUE"""),45909.0)</f>
        <v>45909</v>
      </c>
      <c r="D96" s="1">
        <f>IFERROR(__xludf.DUMMYFUNCTION("""COMPUTED_VALUE"""),5.5)</f>
        <v>5.5</v>
      </c>
      <c r="E96" s="1">
        <f>IFERROR(__xludf.DUMMYFUNCTION("""COMPUTED_VALUE"""),93.0)</f>
        <v>93</v>
      </c>
      <c r="F96" s="1">
        <f>IFERROR(__xludf.DUMMYFUNCTION("""COMPUTED_VALUE"""),9.0)</f>
        <v>9</v>
      </c>
      <c r="G96" s="1">
        <f>IFERROR(__xludf.DUMMYFUNCTION("""COMPUTED_VALUE"""),2.4)</f>
        <v>2.4</v>
      </c>
      <c r="H96" s="1">
        <f>IFERROR(__xludf.DUMMYFUNCTION("""COMPUTED_VALUE"""),3.0)</f>
        <v>3</v>
      </c>
      <c r="I96" s="1" t="str">
        <f>IFERROR(__xludf.DUMMYFUNCTION("""COMPUTED_VALUE"""),"12.5-18.5")</f>
        <v>12.5-18.5</v>
      </c>
      <c r="J96" s="1" t="str">
        <f>IFERROR(__xludf.DUMMYFUNCTION("""COMPUTED_VALUE"""),"4.5-15.5")</f>
        <v>4.5-15.5</v>
      </c>
      <c r="K96" s="1" t="str">
        <f>IFERROR(__xludf.DUMMYFUNCTION("""COMPUTED_VALUE"""),"&lt;0.1%")</f>
        <v>&lt;0.1%</v>
      </c>
      <c r="L96" s="1" t="str">
        <f>IFERROR(__xludf.DUMMYFUNCTION("""COMPUTED_VALUE"""),"31st")</f>
        <v>31st</v>
      </c>
    </row>
    <row r="97">
      <c r="A97" s="1" t="str">
        <f>IFERROR(__xludf.DUMMYFUNCTION("""COMPUTED_VALUE"""),"Arkansas State Red Wolves")</f>
        <v>Arkansas State Red Wolves</v>
      </c>
      <c r="B97" s="1" t="str">
        <f>IFERROR(__xludf.DUMMYFUNCTION("""COMPUTED_VALUE"""),"Sun Belt")</f>
        <v>Sun Belt</v>
      </c>
      <c r="C97" s="1" t="str">
        <f>IFERROR(__xludf.DUMMYFUNCTION("""COMPUTED_VALUE"""),"13-5")</f>
        <v>13-5</v>
      </c>
      <c r="D97" s="1">
        <f>IFERROR(__xludf.DUMMYFUNCTION("""COMPUTED_VALUE"""),5.5)</f>
        <v>5.5</v>
      </c>
      <c r="E97" s="1">
        <f>IFERROR(__xludf.DUMMYFUNCTION("""COMPUTED_VALUE"""),94.0)</f>
        <v>94</v>
      </c>
      <c r="F97" s="1">
        <f>IFERROR(__xludf.DUMMYFUNCTION("""COMPUTED_VALUE"""),6.0)</f>
        <v>6</v>
      </c>
      <c r="G97" s="1">
        <f>IFERROR(__xludf.DUMMYFUNCTION("""COMPUTED_VALUE"""),2.9)</f>
        <v>2.9</v>
      </c>
      <c r="H97" s="1">
        <f>IFERROR(__xludf.DUMMYFUNCTION("""COMPUTED_VALUE"""),2.6)</f>
        <v>2.6</v>
      </c>
      <c r="I97" s="1" t="str">
        <f>IFERROR(__xludf.DUMMYFUNCTION("""COMPUTED_VALUE"""),"23.4-7.6")</f>
        <v>23.4-7.6</v>
      </c>
      <c r="J97" s="1" t="str">
        <f>IFERROR(__xludf.DUMMYFUNCTION("""COMPUTED_VALUE"""),"13.8-4.2")</f>
        <v>13.8-4.2</v>
      </c>
      <c r="K97" s="2">
        <f>IFERROR(__xludf.DUMMYFUNCTION("""COMPUTED_VALUE"""),0.562)</f>
        <v>0.562</v>
      </c>
      <c r="L97" s="1" t="str">
        <f>IFERROR(__xludf.DUMMYFUNCTION("""COMPUTED_VALUE"""),"234th")</f>
        <v>234th</v>
      </c>
    </row>
    <row r="98">
      <c r="A98" s="1" t="str">
        <f>IFERROR(__xludf.DUMMYFUNCTION("""COMPUTED_VALUE"""),"High Point Panthers")</f>
        <v>High Point Panthers</v>
      </c>
      <c r="B98" s="1" t="str">
        <f>IFERROR(__xludf.DUMMYFUNCTION("""COMPUTED_VALUE"""),"Big South")</f>
        <v>Big South</v>
      </c>
      <c r="C98" s="1" t="str">
        <f>IFERROR(__xludf.DUMMYFUNCTION("""COMPUTED_VALUE"""),"15-5")</f>
        <v>15-5</v>
      </c>
      <c r="D98" s="1">
        <f>IFERROR(__xludf.DUMMYFUNCTION("""COMPUTED_VALUE"""),5.4)</f>
        <v>5.4</v>
      </c>
      <c r="E98" s="1">
        <f>IFERROR(__xludf.DUMMYFUNCTION("""COMPUTED_VALUE"""),95.0)</f>
        <v>95</v>
      </c>
      <c r="F98" s="1">
        <f>IFERROR(__xludf.DUMMYFUNCTION("""COMPUTED_VALUE"""),9.0)</f>
        <v>9</v>
      </c>
      <c r="G98" s="1">
        <f>IFERROR(__xludf.DUMMYFUNCTION("""COMPUTED_VALUE"""),6.3)</f>
        <v>6.3</v>
      </c>
      <c r="H98" s="1">
        <f>IFERROR(__xludf.DUMMYFUNCTION("""COMPUTED_VALUE"""),-0.9)</f>
        <v>-0.9</v>
      </c>
      <c r="I98" s="1" t="str">
        <f>IFERROR(__xludf.DUMMYFUNCTION("""COMPUTED_VALUE"""),"24.1-6.9")</f>
        <v>24.1-6.9</v>
      </c>
      <c r="J98" s="1" t="str">
        <f>IFERROR(__xludf.DUMMYFUNCTION("""COMPUTED_VALUE"""),"12.1-3.9")</f>
        <v>12.1-3.9</v>
      </c>
      <c r="K98" s="2">
        <f>IFERROR(__xludf.DUMMYFUNCTION("""COMPUTED_VALUE"""),0.847)</f>
        <v>0.847</v>
      </c>
      <c r="L98" s="1" t="str">
        <f>IFERROR(__xludf.DUMMYFUNCTION("""COMPUTED_VALUE"""),"260th")</f>
        <v>260th</v>
      </c>
    </row>
    <row r="99">
      <c r="A99" s="1" t="str">
        <f>IFERROR(__xludf.DUMMYFUNCTION("""COMPUTED_VALUE"""),"Washington Huskies")</f>
        <v>Washington Huskies</v>
      </c>
      <c r="B99" s="1" t="str">
        <f>IFERROR(__xludf.DUMMYFUNCTION("""COMPUTED_VALUE"""),"Big Ten")</f>
        <v>Big Ten</v>
      </c>
      <c r="C99" s="3">
        <f>IFERROR(__xludf.DUMMYFUNCTION("""COMPUTED_VALUE"""),45938.0)</f>
        <v>45938</v>
      </c>
      <c r="D99" s="1">
        <f>IFERROR(__xludf.DUMMYFUNCTION("""COMPUTED_VALUE"""),5.3)</f>
        <v>5.3</v>
      </c>
      <c r="E99" s="1">
        <f>IFERROR(__xludf.DUMMYFUNCTION("""COMPUTED_VALUE"""),96.0)</f>
        <v>96</v>
      </c>
      <c r="F99" s="1">
        <f>IFERROR(__xludf.DUMMYFUNCTION("""COMPUTED_VALUE"""),1.0)</f>
        <v>1</v>
      </c>
      <c r="G99" s="1">
        <f>IFERROR(__xludf.DUMMYFUNCTION("""COMPUTED_VALUE"""),1.0)</f>
        <v>1</v>
      </c>
      <c r="H99" s="1">
        <f>IFERROR(__xludf.DUMMYFUNCTION("""COMPUTED_VALUE"""),4.3)</f>
        <v>4.3</v>
      </c>
      <c r="I99" s="1" t="str">
        <f>IFERROR(__xludf.DUMMYFUNCTION("""COMPUTED_VALUE"""),"13.6-17.4")</f>
        <v>13.6-17.4</v>
      </c>
      <c r="J99" s="1" t="str">
        <f>IFERROR(__xludf.DUMMYFUNCTION("""COMPUTED_VALUE"""),"4.6-15.4")</f>
        <v>4.6-15.4</v>
      </c>
      <c r="K99" s="1" t="str">
        <f>IFERROR(__xludf.DUMMYFUNCTION("""COMPUTED_VALUE"""),"&lt;0.1%")</f>
        <v>&lt;0.1%</v>
      </c>
      <c r="L99" s="1" t="str">
        <f>IFERROR(__xludf.DUMMYFUNCTION("""COMPUTED_VALUE"""),"37th")</f>
        <v>37th</v>
      </c>
    </row>
    <row r="100">
      <c r="A100" s="1" t="str">
        <f>IFERROR(__xludf.DUMMYFUNCTION("""COMPUTED_VALUE"""),"Miami Hurricanes")</f>
        <v>Miami Hurricanes</v>
      </c>
      <c r="B100" s="1" t="str">
        <f>IFERROR(__xludf.DUMMYFUNCTION("""COMPUTED_VALUE"""),"ACC")</f>
        <v>ACC</v>
      </c>
      <c r="C100" s="3">
        <f>IFERROR(__xludf.DUMMYFUNCTION("""COMPUTED_VALUE"""),45760.0)</f>
        <v>45760</v>
      </c>
      <c r="D100" s="1">
        <f>IFERROR(__xludf.DUMMYFUNCTION("""COMPUTED_VALUE"""),5.3)</f>
        <v>5.3</v>
      </c>
      <c r="E100" s="1">
        <f>IFERROR(__xludf.DUMMYFUNCTION("""COMPUTED_VALUE"""),97.0)</f>
        <v>97</v>
      </c>
      <c r="F100" s="1">
        <f>IFERROR(__xludf.DUMMYFUNCTION("""COMPUTED_VALUE"""),13.0)</f>
        <v>13</v>
      </c>
      <c r="G100" s="1">
        <f>IFERROR(__xludf.DUMMYFUNCTION("""COMPUTED_VALUE"""),6.4)</f>
        <v>6.4</v>
      </c>
      <c r="H100" s="1">
        <f>IFERROR(__xludf.DUMMYFUNCTION("""COMPUTED_VALUE"""),-1.1)</f>
        <v>-1.1</v>
      </c>
      <c r="I100" s="1" t="str">
        <f>IFERROR(__xludf.DUMMYFUNCTION("""COMPUTED_VALUE"""),"9.5-21.5")</f>
        <v>9.5-21.5</v>
      </c>
      <c r="J100" s="1" t="str">
        <f>IFERROR(__xludf.DUMMYFUNCTION("""COMPUTED_VALUE"""),"5.5-14.5")</f>
        <v>5.5-14.5</v>
      </c>
      <c r="K100" s="1" t="str">
        <f>IFERROR(__xludf.DUMMYFUNCTION("""COMPUTED_VALUE"""),"&lt;0.1%")</f>
        <v>&lt;0.1%</v>
      </c>
      <c r="L100" s="1" t="str">
        <f>IFERROR(__xludf.DUMMYFUNCTION("""COMPUTED_VALUE"""),"68th")</f>
        <v>68th</v>
      </c>
    </row>
    <row r="101">
      <c r="A101" s="1" t="str">
        <f>IFERROR(__xludf.DUMMYFUNCTION("""COMPUTED_VALUE"""),"Syracuse Orange")</f>
        <v>Syracuse Orange</v>
      </c>
      <c r="B101" s="1" t="str">
        <f>IFERROR(__xludf.DUMMYFUNCTION("""COMPUTED_VALUE"""),"ACC")</f>
        <v>ACC</v>
      </c>
      <c r="C101" s="3">
        <f>IFERROR(__xludf.DUMMYFUNCTION("""COMPUTED_VALUE"""),45878.0)</f>
        <v>45878</v>
      </c>
      <c r="D101" s="1">
        <f>IFERROR(__xludf.DUMMYFUNCTION("""COMPUTED_VALUE"""),5.3)</f>
        <v>5.3</v>
      </c>
      <c r="E101" s="1">
        <f>IFERROR(__xludf.DUMMYFUNCTION("""COMPUTED_VALUE"""),98.0)</f>
        <v>98</v>
      </c>
      <c r="F101" s="1">
        <f>IFERROR(__xludf.DUMMYFUNCTION("""COMPUTED_VALUE"""),9.0)</f>
        <v>9</v>
      </c>
      <c r="G101" s="1">
        <f>IFERROR(__xludf.DUMMYFUNCTION("""COMPUTED_VALUE"""),2.8)</f>
        <v>2.8</v>
      </c>
      <c r="H101" s="1">
        <f>IFERROR(__xludf.DUMMYFUNCTION("""COMPUTED_VALUE"""),2.5)</f>
        <v>2.5</v>
      </c>
      <c r="I101" s="1" t="str">
        <f>IFERROR(__xludf.DUMMYFUNCTION("""COMPUTED_VALUE"""),"13.3-17.7")</f>
        <v>13.3-17.7</v>
      </c>
      <c r="J101" s="1" t="str">
        <f>IFERROR(__xludf.DUMMYFUNCTION("""COMPUTED_VALUE"""),"7.3-12.7")</f>
        <v>7.3-12.7</v>
      </c>
      <c r="K101" s="1" t="str">
        <f>IFERROR(__xludf.DUMMYFUNCTION("""COMPUTED_VALUE"""),"&lt;0.1%")</f>
        <v>&lt;0.1%</v>
      </c>
      <c r="L101" s="1" t="str">
        <f>IFERROR(__xludf.DUMMYFUNCTION("""COMPUTED_VALUE"""),"66th")</f>
        <v>66th</v>
      </c>
    </row>
    <row r="102">
      <c r="A102" s="1" t="str">
        <f>IFERROR(__xludf.DUMMYFUNCTION("""COMPUTED_VALUE"""),"St. Bonaventure Bonnies")</f>
        <v>St. Bonaventure Bonnies</v>
      </c>
      <c r="B102" s="1" t="str">
        <f>IFERROR(__xludf.DUMMYFUNCTION("""COMPUTED_VALUE"""),"A-10")</f>
        <v>A-10</v>
      </c>
      <c r="C102" s="1" t="str">
        <f>IFERROR(__xludf.DUMMYFUNCTION("""COMPUTED_VALUE"""),"15-3")</f>
        <v>15-3</v>
      </c>
      <c r="D102" s="1">
        <f>IFERROR(__xludf.DUMMYFUNCTION("""COMPUTED_VALUE"""),5.2)</f>
        <v>5.2</v>
      </c>
      <c r="E102" s="1">
        <f>IFERROR(__xludf.DUMMYFUNCTION("""COMPUTED_VALUE"""),99.0)</f>
        <v>99</v>
      </c>
      <c r="F102" s="1">
        <f>IFERROR(__xludf.DUMMYFUNCTION("""COMPUTED_VALUE"""),1.0)</f>
        <v>1</v>
      </c>
      <c r="G102" s="1">
        <f>IFERROR(__xludf.DUMMYFUNCTION("""COMPUTED_VALUE"""),1.3)</f>
        <v>1.3</v>
      </c>
      <c r="H102" s="1">
        <f>IFERROR(__xludf.DUMMYFUNCTION("""COMPUTED_VALUE"""),4.0)</f>
        <v>4</v>
      </c>
      <c r="I102" s="1" t="str">
        <f>IFERROR(__xludf.DUMMYFUNCTION("""COMPUTED_VALUE"""),"22.3-8.7")</f>
        <v>22.3-8.7</v>
      </c>
      <c r="J102" s="1" t="str">
        <f>IFERROR(__xludf.DUMMYFUNCTION("""COMPUTED_VALUE"""),"10.3-7.7")</f>
        <v>10.3-7.7</v>
      </c>
      <c r="K102" s="2">
        <f>IFERROR(__xludf.DUMMYFUNCTION("""COMPUTED_VALUE"""),0.053)</f>
        <v>0.053</v>
      </c>
      <c r="L102" s="1" t="str">
        <f>IFERROR(__xludf.DUMMYFUNCTION("""COMPUTED_VALUE"""),"92nd")</f>
        <v>92nd</v>
      </c>
    </row>
    <row r="103">
      <c r="A103" s="1" t="str">
        <f>IFERROR(__xludf.DUMMYFUNCTION("""COMPUTED_VALUE"""),"Stanford Cardinal")</f>
        <v>Stanford Cardinal</v>
      </c>
      <c r="B103" s="1" t="str">
        <f>IFERROR(__xludf.DUMMYFUNCTION("""COMPUTED_VALUE"""),"ACC")</f>
        <v>ACC</v>
      </c>
      <c r="C103" s="3">
        <f>IFERROR(__xludf.DUMMYFUNCTION("""COMPUTED_VALUE"""),45967.0)</f>
        <v>45967</v>
      </c>
      <c r="D103" s="1">
        <f>IFERROR(__xludf.DUMMYFUNCTION("""COMPUTED_VALUE"""),5.2)</f>
        <v>5.2</v>
      </c>
      <c r="E103" s="1">
        <f>IFERROR(__xludf.DUMMYFUNCTION("""COMPUTED_VALUE"""),100.0)</f>
        <v>100</v>
      </c>
      <c r="F103" s="1">
        <f>IFERROR(__xludf.DUMMYFUNCTION("""COMPUTED_VALUE"""),1.0)</f>
        <v>1</v>
      </c>
      <c r="G103" s="1">
        <f>IFERROR(__xludf.DUMMYFUNCTION("""COMPUTED_VALUE"""),3.7)</f>
        <v>3.7</v>
      </c>
      <c r="H103" s="1">
        <f>IFERROR(__xludf.DUMMYFUNCTION("""COMPUTED_VALUE"""),1.5)</f>
        <v>1.5</v>
      </c>
      <c r="I103" s="1" t="str">
        <f>IFERROR(__xludf.DUMMYFUNCTION("""COMPUTED_VALUE"""),"16.7-14.3")</f>
        <v>16.7-14.3</v>
      </c>
      <c r="J103" s="1" t="str">
        <f>IFERROR(__xludf.DUMMYFUNCTION("""COMPUTED_VALUE"""),"8.7-11.3")</f>
        <v>8.7-11.3</v>
      </c>
      <c r="K103" s="1" t="str">
        <f>IFERROR(__xludf.DUMMYFUNCTION("""COMPUTED_VALUE"""),"&lt;0.1%")</f>
        <v>&lt;0.1%</v>
      </c>
      <c r="L103" s="1" t="str">
        <f>IFERROR(__xludf.DUMMYFUNCTION("""COMPUTED_VALUE"""),"76th")</f>
        <v>76th</v>
      </c>
    </row>
    <row r="104">
      <c r="A104" s="1" t="str">
        <f>IFERROR(__xludf.DUMMYFUNCTION("""COMPUTED_VALUE"""),"UNLV Rebels")</f>
        <v>UNLV Rebels</v>
      </c>
      <c r="B104" s="1" t="str">
        <f>IFERROR(__xludf.DUMMYFUNCTION("""COMPUTED_VALUE"""),"Mountain West")</f>
        <v>Mountain West</v>
      </c>
      <c r="C104" s="3">
        <f>IFERROR(__xludf.DUMMYFUNCTION("""COMPUTED_VALUE"""),45937.0)</f>
        <v>45937</v>
      </c>
      <c r="D104" s="1">
        <f>IFERROR(__xludf.DUMMYFUNCTION("""COMPUTED_VALUE"""),4.9)</f>
        <v>4.9</v>
      </c>
      <c r="E104" s="1">
        <f>IFERROR(__xludf.DUMMYFUNCTION("""COMPUTED_VALUE"""),101.0)</f>
        <v>101</v>
      </c>
      <c r="F104" s="1">
        <f>IFERROR(__xludf.DUMMYFUNCTION("""COMPUTED_VALUE"""),5.0)</f>
        <v>5</v>
      </c>
      <c r="G104" s="1">
        <f>IFERROR(__xludf.DUMMYFUNCTION("""COMPUTED_VALUE"""),2.8)</f>
        <v>2.8</v>
      </c>
      <c r="H104" s="1">
        <f>IFERROR(__xludf.DUMMYFUNCTION("""COMPUTED_VALUE"""),2.1)</f>
        <v>2.1</v>
      </c>
      <c r="I104" s="1" t="str">
        <f>IFERROR(__xludf.DUMMYFUNCTION("""COMPUTED_VALUE"""),"16.8-14.2")</f>
        <v>16.8-14.2</v>
      </c>
      <c r="J104" s="1" t="str">
        <f>IFERROR(__xludf.DUMMYFUNCTION("""COMPUTED_VALUE"""),"10.8-9.2")</f>
        <v>10.8-9.2</v>
      </c>
      <c r="K104" s="2">
        <f>IFERROR(__xludf.DUMMYFUNCTION("""COMPUTED_VALUE"""),0.009)</f>
        <v>0.009</v>
      </c>
      <c r="L104" s="1" t="str">
        <f>IFERROR(__xludf.DUMMYFUNCTION("""COMPUTED_VALUE"""),"82nd")</f>
        <v>82nd</v>
      </c>
    </row>
    <row r="105">
      <c r="A105" s="1" t="str">
        <f>IFERROR(__xludf.DUMMYFUNCTION("""COMPUTED_VALUE"""),"Georgia Tech Yellow Jackets")</f>
        <v>Georgia Tech Yellow Jackets</v>
      </c>
      <c r="B105" s="1" t="str">
        <f>IFERROR(__xludf.DUMMYFUNCTION("""COMPUTED_VALUE"""),"ACC")</f>
        <v>ACC</v>
      </c>
      <c r="C105" s="3">
        <f>IFERROR(__xludf.DUMMYFUNCTION("""COMPUTED_VALUE"""),45879.0)</f>
        <v>45879</v>
      </c>
      <c r="D105" s="1">
        <f>IFERROR(__xludf.DUMMYFUNCTION("""COMPUTED_VALUE"""),4.7)</f>
        <v>4.7</v>
      </c>
      <c r="E105" s="1">
        <f>IFERROR(__xludf.DUMMYFUNCTION("""COMPUTED_VALUE"""),102.0)</f>
        <v>102</v>
      </c>
      <c r="F105" s="1">
        <f>IFERROR(__xludf.DUMMYFUNCTION("""COMPUTED_VALUE"""),5.0)</f>
        <v>5</v>
      </c>
      <c r="G105" s="1">
        <f>IFERROR(__xludf.DUMMYFUNCTION("""COMPUTED_VALUE"""),0.7)</f>
        <v>0.7</v>
      </c>
      <c r="H105" s="1">
        <f>IFERROR(__xludf.DUMMYFUNCTION("""COMPUTED_VALUE"""),4.0)</f>
        <v>4</v>
      </c>
      <c r="I105" s="1" t="str">
        <f>IFERROR(__xludf.DUMMYFUNCTION("""COMPUTED_VALUE"""),"13.3-17.7")</f>
        <v>13.3-17.7</v>
      </c>
      <c r="J105" s="1" t="str">
        <f>IFERROR(__xludf.DUMMYFUNCTION("""COMPUTED_VALUE"""),"7.3-12.7")</f>
        <v>7.3-12.7</v>
      </c>
      <c r="K105" s="1" t="str">
        <f>IFERROR(__xludf.DUMMYFUNCTION("""COMPUTED_VALUE"""),"&lt;0.1%")</f>
        <v>&lt;0.1%</v>
      </c>
      <c r="L105" s="1" t="str">
        <f>IFERROR(__xludf.DUMMYFUNCTION("""COMPUTED_VALUE"""),"77th")</f>
        <v>77th</v>
      </c>
    </row>
    <row r="106">
      <c r="A106" s="1" t="str">
        <f>IFERROR(__xludf.DUMMYFUNCTION("""COMPUTED_VALUE"""),"UAB Blazers")</f>
        <v>UAB Blazers</v>
      </c>
      <c r="B106" s="1" t="str">
        <f>IFERROR(__xludf.DUMMYFUNCTION("""COMPUTED_VALUE"""),"American")</f>
        <v>American</v>
      </c>
      <c r="C106" s="3">
        <f>IFERROR(__xludf.DUMMYFUNCTION("""COMPUTED_VALUE"""),45968.0)</f>
        <v>45968</v>
      </c>
      <c r="D106" s="1">
        <f>IFERROR(__xludf.DUMMYFUNCTION("""COMPUTED_VALUE"""),4.6)</f>
        <v>4.6</v>
      </c>
      <c r="E106" s="1">
        <f>IFERROR(__xludf.DUMMYFUNCTION("""COMPUTED_VALUE"""),103.0)</f>
        <v>103</v>
      </c>
      <c r="F106" s="1">
        <f>IFERROR(__xludf.DUMMYFUNCTION("""COMPUTED_VALUE"""),6.0)</f>
        <v>6</v>
      </c>
      <c r="G106" s="1">
        <f>IFERROR(__xludf.DUMMYFUNCTION("""COMPUTED_VALUE"""),5.4)</f>
        <v>5.4</v>
      </c>
      <c r="H106" s="1">
        <f>IFERROR(__xludf.DUMMYFUNCTION("""COMPUTED_VALUE"""),-0.7)</f>
        <v>-0.7</v>
      </c>
      <c r="I106" s="1" t="str">
        <f>IFERROR(__xludf.DUMMYFUNCTION("""COMPUTED_VALUE"""),"18.8-12.2")</f>
        <v>18.8-12.2</v>
      </c>
      <c r="J106" s="1" t="str">
        <f>IFERROR(__xludf.DUMMYFUNCTION("""COMPUTED_VALUE"""),"11.8-6.2")</f>
        <v>11.8-6.2</v>
      </c>
      <c r="K106" s="2">
        <f>IFERROR(__xludf.DUMMYFUNCTION("""COMPUTED_VALUE"""),0.033)</f>
        <v>0.033</v>
      </c>
      <c r="L106" s="1" t="str">
        <f>IFERROR(__xludf.DUMMYFUNCTION("""COMPUTED_VALUE"""),"119th")</f>
        <v>119th</v>
      </c>
    </row>
    <row r="107">
      <c r="A107" s="1" t="str">
        <f>IFERROR(__xludf.DUMMYFUNCTION("""COMPUTED_VALUE"""),"Florida Atlantic Owls")</f>
        <v>Florida Atlantic Owls</v>
      </c>
      <c r="B107" s="1" t="str">
        <f>IFERROR(__xludf.DUMMYFUNCTION("""COMPUTED_VALUE"""),"American")</f>
        <v>American</v>
      </c>
      <c r="C107" s="3">
        <f>IFERROR(__xludf.DUMMYFUNCTION("""COMPUTED_VALUE"""),45909.0)</f>
        <v>45909</v>
      </c>
      <c r="D107" s="1">
        <f>IFERROR(__xludf.DUMMYFUNCTION("""COMPUTED_VALUE"""),4.5)</f>
        <v>4.5</v>
      </c>
      <c r="E107" s="1">
        <f>IFERROR(__xludf.DUMMYFUNCTION("""COMPUTED_VALUE"""),104.0)</f>
        <v>104</v>
      </c>
      <c r="F107" s="1">
        <f>IFERROR(__xludf.DUMMYFUNCTION("""COMPUTED_VALUE"""),13.0)</f>
        <v>13</v>
      </c>
      <c r="G107" s="1">
        <f>IFERROR(__xludf.DUMMYFUNCTION("""COMPUTED_VALUE"""),3.0)</f>
        <v>3</v>
      </c>
      <c r="H107" s="1">
        <f>IFERROR(__xludf.DUMMYFUNCTION("""COMPUTED_VALUE"""),1.6)</f>
        <v>1.6</v>
      </c>
      <c r="I107" s="1" t="str">
        <f>IFERROR(__xludf.DUMMYFUNCTION("""COMPUTED_VALUE"""),"16.8-14.2")</f>
        <v>16.8-14.2</v>
      </c>
      <c r="J107" s="1" t="str">
        <f>IFERROR(__xludf.DUMMYFUNCTION("""COMPUTED_VALUE"""),"9.8-8.2")</f>
        <v>9.8-8.2</v>
      </c>
      <c r="K107" s="2">
        <f>IFERROR(__xludf.DUMMYFUNCTION("""COMPUTED_VALUE"""),0.041)</f>
        <v>0.041</v>
      </c>
      <c r="L107" s="1" t="str">
        <f>IFERROR(__xludf.DUMMYFUNCTION("""COMPUTED_VALUE"""),"122nd")</f>
        <v>122nd</v>
      </c>
    </row>
    <row r="108">
      <c r="A108" s="1" t="str">
        <f>IFERROR(__xludf.DUMMYFUNCTION("""COMPUTED_VALUE"""),"DePaul Blue Demons")</f>
        <v>DePaul Blue Demons</v>
      </c>
      <c r="B108" s="1" t="str">
        <f>IFERROR(__xludf.DUMMYFUNCTION("""COMPUTED_VALUE"""),"Big East")</f>
        <v>Big East</v>
      </c>
      <c r="C108" s="3">
        <f>IFERROR(__xludf.DUMMYFUNCTION("""COMPUTED_VALUE"""),45939.0)</f>
        <v>45939</v>
      </c>
      <c r="D108" s="1">
        <f>IFERROR(__xludf.DUMMYFUNCTION("""COMPUTED_VALUE"""),4.3)</f>
        <v>4.3</v>
      </c>
      <c r="E108" s="1">
        <f>IFERROR(__xludf.DUMMYFUNCTION("""COMPUTED_VALUE"""),105.0)</f>
        <v>105</v>
      </c>
      <c r="F108" s="1">
        <f>IFERROR(__xludf.DUMMYFUNCTION("""COMPUTED_VALUE"""),3.0)</f>
        <v>3</v>
      </c>
      <c r="G108" s="1">
        <f>IFERROR(__xludf.DUMMYFUNCTION("""COMPUTED_VALUE"""),2.8)</f>
        <v>2.8</v>
      </c>
      <c r="H108" s="1">
        <f>IFERROR(__xludf.DUMMYFUNCTION("""COMPUTED_VALUE"""),1.4)</f>
        <v>1.4</v>
      </c>
      <c r="I108" s="1" t="str">
        <f>IFERROR(__xludf.DUMMYFUNCTION("""COMPUTED_VALUE"""),"13.3-17.7")</f>
        <v>13.3-17.7</v>
      </c>
      <c r="J108" s="1" t="str">
        <f>IFERROR(__xludf.DUMMYFUNCTION("""COMPUTED_VALUE"""),"4.3-15.7")</f>
        <v>4.3-15.7</v>
      </c>
      <c r="K108" s="1" t="str">
        <f>IFERROR(__xludf.DUMMYFUNCTION("""COMPUTED_VALUE"""),"&lt;0.1%")</f>
        <v>&lt;0.1%</v>
      </c>
      <c r="L108" s="1" t="str">
        <f>IFERROR(__xludf.DUMMYFUNCTION("""COMPUTED_VALUE"""),"54th")</f>
        <v>54th</v>
      </c>
    </row>
    <row r="109">
      <c r="A109" s="1" t="str">
        <f>IFERROR(__xludf.DUMMYFUNCTION("""COMPUTED_VALUE"""),"Lipscomb Bisons")</f>
        <v>Lipscomb Bisons</v>
      </c>
      <c r="B109" s="1" t="str">
        <f>IFERROR(__xludf.DUMMYFUNCTION("""COMPUTED_VALUE"""),"ASUN")</f>
        <v>ASUN</v>
      </c>
      <c r="C109" s="3">
        <f>IFERROR(__xludf.DUMMYFUNCTION("""COMPUTED_VALUE"""),45997.0)</f>
        <v>45997</v>
      </c>
      <c r="D109" s="1">
        <f>IFERROR(__xludf.DUMMYFUNCTION("""COMPUTED_VALUE"""),4.2)</f>
        <v>4.2</v>
      </c>
      <c r="E109" s="1">
        <f>IFERROR(__xludf.DUMMYFUNCTION("""COMPUTED_VALUE"""),106.0)</f>
        <v>106</v>
      </c>
      <c r="F109" s="1">
        <f>IFERROR(__xludf.DUMMYFUNCTION("""COMPUTED_VALUE"""),11.0)</f>
        <v>11</v>
      </c>
      <c r="G109" s="1">
        <f>IFERROR(__xludf.DUMMYFUNCTION("""COMPUTED_VALUE"""),1.6)</f>
        <v>1.6</v>
      </c>
      <c r="H109" s="1">
        <f>IFERROR(__xludf.DUMMYFUNCTION("""COMPUTED_VALUE"""),2.6)</f>
        <v>2.6</v>
      </c>
      <c r="I109" s="1" t="str">
        <f>IFERROR(__xludf.DUMMYFUNCTION("""COMPUTED_VALUE"""),"23.1-7.9")</f>
        <v>23.1-7.9</v>
      </c>
      <c r="J109" s="1" t="str">
        <f>IFERROR(__xludf.DUMMYFUNCTION("""COMPUTED_VALUE"""),"15.1-2.9")</f>
        <v>15.1-2.9</v>
      </c>
      <c r="K109" s="2">
        <f>IFERROR(__xludf.DUMMYFUNCTION("""COMPUTED_VALUE"""),0.826)</f>
        <v>0.826</v>
      </c>
      <c r="L109" s="1" t="str">
        <f>IFERROR(__xludf.DUMMYFUNCTION("""COMPUTED_VALUE"""),"326th")</f>
        <v>326th</v>
      </c>
    </row>
    <row r="110">
      <c r="A110" s="1" t="str">
        <f>IFERROR(__xludf.DUMMYFUNCTION("""COMPUTED_VALUE"""),"Murray State Racers")</f>
        <v>Murray State Racers</v>
      </c>
      <c r="B110" s="1" t="str">
        <f>IFERROR(__xludf.DUMMYFUNCTION("""COMPUTED_VALUE"""),"MVC")</f>
        <v>MVC</v>
      </c>
      <c r="C110" s="3">
        <f>IFERROR(__xludf.DUMMYFUNCTION("""COMPUTED_VALUE"""),45938.0)</f>
        <v>45938</v>
      </c>
      <c r="D110" s="1">
        <f>IFERROR(__xludf.DUMMYFUNCTION("""COMPUTED_VALUE"""),4.1)</f>
        <v>4.1</v>
      </c>
      <c r="E110" s="1">
        <f>IFERROR(__xludf.DUMMYFUNCTION("""COMPUTED_VALUE"""),107.0)</f>
        <v>107</v>
      </c>
      <c r="F110" s="1">
        <f>IFERROR(__xludf.DUMMYFUNCTION("""COMPUTED_VALUE"""),1.0)</f>
        <v>1</v>
      </c>
      <c r="G110" s="1">
        <f>IFERROR(__xludf.DUMMYFUNCTION("""COMPUTED_VALUE"""),1.3)</f>
        <v>1.3</v>
      </c>
      <c r="H110" s="1">
        <f>IFERROR(__xludf.DUMMYFUNCTION("""COMPUTED_VALUE"""),2.8)</f>
        <v>2.8</v>
      </c>
      <c r="I110" s="1" t="str">
        <f>IFERROR(__xludf.DUMMYFUNCTION("""COMPUTED_VALUE"""),"18.7-12.3")</f>
        <v>18.7-12.3</v>
      </c>
      <c r="J110" s="1" t="str">
        <f>IFERROR(__xludf.DUMMYFUNCTION("""COMPUTED_VALUE"""),"12.7-7.3")</f>
        <v>12.7-7.3</v>
      </c>
      <c r="K110" s="2">
        <f>IFERROR(__xludf.DUMMYFUNCTION("""COMPUTED_VALUE"""),0.178)</f>
        <v>0.178</v>
      </c>
      <c r="L110" s="1" t="str">
        <f>IFERROR(__xludf.DUMMYFUNCTION("""COMPUTED_VALUE"""),"144th")</f>
        <v>144th</v>
      </c>
    </row>
    <row r="111">
      <c r="A111" s="1" t="str">
        <f>IFERROR(__xludf.DUMMYFUNCTION("""COMPUTED_VALUE"""),"Oklahoma State Cowboys")</f>
        <v>Oklahoma State Cowboys</v>
      </c>
      <c r="B111" s="1" t="str">
        <f>IFERROR(__xludf.DUMMYFUNCTION("""COMPUTED_VALUE"""),"Big 12")</f>
        <v>Big 12</v>
      </c>
      <c r="C111" s="3">
        <f>IFERROR(__xludf.DUMMYFUNCTION("""COMPUTED_VALUE"""),45907.0)</f>
        <v>45907</v>
      </c>
      <c r="D111" s="1">
        <f>IFERROR(__xludf.DUMMYFUNCTION("""COMPUTED_VALUE"""),3.8)</f>
        <v>3.8</v>
      </c>
      <c r="E111" s="1">
        <f>IFERROR(__xludf.DUMMYFUNCTION("""COMPUTED_VALUE"""),108.0)</f>
        <v>108</v>
      </c>
      <c r="F111" s="1">
        <f>IFERROR(__xludf.DUMMYFUNCTION("""COMPUTED_VALUE"""),3.0)</f>
        <v>3</v>
      </c>
      <c r="G111" s="1">
        <f>IFERROR(__xludf.DUMMYFUNCTION("""COMPUTED_VALUE"""),0.3)</f>
        <v>0.3</v>
      </c>
      <c r="H111" s="1">
        <f>IFERROR(__xludf.DUMMYFUNCTION("""COMPUTED_VALUE"""),3.5)</f>
        <v>3.5</v>
      </c>
      <c r="I111" s="1" t="str">
        <f>IFERROR(__xludf.DUMMYFUNCTION("""COMPUTED_VALUE"""),"12.3-18.7")</f>
        <v>12.3-18.7</v>
      </c>
      <c r="J111" s="1" t="str">
        <f>IFERROR(__xludf.DUMMYFUNCTION("""COMPUTED_VALUE"""),"4.3-15.7")</f>
        <v>4.3-15.7</v>
      </c>
      <c r="K111" s="1" t="str">
        <f>IFERROR(__xludf.DUMMYFUNCTION("""COMPUTED_VALUE"""),"&lt;0.1%")</f>
        <v>&lt;0.1%</v>
      </c>
      <c r="L111" s="1" t="str">
        <f>IFERROR(__xludf.DUMMYFUNCTION("""COMPUTED_VALUE"""),"35th")</f>
        <v>35th</v>
      </c>
    </row>
    <row r="112">
      <c r="A112" s="1" t="str">
        <f>IFERROR(__xludf.DUMMYFUNCTION("""COMPUTED_VALUE"""),"Samford Bulldogs")</f>
        <v>Samford Bulldogs</v>
      </c>
      <c r="B112" s="1" t="str">
        <f>IFERROR(__xludf.DUMMYFUNCTION("""COMPUTED_VALUE"""),"SoCon")</f>
        <v>SoCon</v>
      </c>
      <c r="C112" s="1" t="str">
        <f>IFERROR(__xludf.DUMMYFUNCTION("""COMPUTED_VALUE"""),"15-3")</f>
        <v>15-3</v>
      </c>
      <c r="D112" s="1">
        <f>IFERROR(__xludf.DUMMYFUNCTION("""COMPUTED_VALUE"""),3.7)</f>
        <v>3.7</v>
      </c>
      <c r="E112" s="1">
        <f>IFERROR(__xludf.DUMMYFUNCTION("""COMPUTED_VALUE"""),109.0)</f>
        <v>109</v>
      </c>
      <c r="F112" s="1">
        <f>IFERROR(__xludf.DUMMYFUNCTION("""COMPUTED_VALUE"""),2.0)</f>
        <v>2</v>
      </c>
      <c r="G112" s="1">
        <f>IFERROR(__xludf.DUMMYFUNCTION("""COMPUTED_VALUE"""),3.4)</f>
        <v>3.4</v>
      </c>
      <c r="H112" s="1">
        <f>IFERROR(__xludf.DUMMYFUNCTION("""COMPUTED_VALUE"""),0.3)</f>
        <v>0.3</v>
      </c>
      <c r="I112" s="1" t="str">
        <f>IFERROR(__xludf.DUMMYFUNCTION("""COMPUTED_VALUE"""),"24.2-6.8")</f>
        <v>24.2-6.8</v>
      </c>
      <c r="J112" s="1" t="str">
        <f>IFERROR(__xludf.DUMMYFUNCTION("""COMPUTED_VALUE"""),"14.2-3.8")</f>
        <v>14.2-3.8</v>
      </c>
      <c r="K112" s="2">
        <f>IFERROR(__xludf.DUMMYFUNCTION("""COMPUTED_VALUE"""),0.493)</f>
        <v>0.493</v>
      </c>
      <c r="L112" s="1" t="str">
        <f>IFERROR(__xludf.DUMMYFUNCTION("""COMPUTED_VALUE"""),"184th")</f>
        <v>184th</v>
      </c>
    </row>
    <row r="113">
      <c r="A113" s="1" t="str">
        <f>IFERROR(__xludf.DUMMYFUNCTION("""COMPUTED_VALUE"""),"Princeton Tigers")</f>
        <v>Princeton Tigers</v>
      </c>
      <c r="B113" s="1" t="str">
        <f>IFERROR(__xludf.DUMMYFUNCTION("""COMPUTED_VALUE"""),"Ivy")</f>
        <v>Ivy</v>
      </c>
      <c r="C113" s="3">
        <f>IFERROR(__xludf.DUMMYFUNCTION("""COMPUTED_VALUE"""),45995.0)</f>
        <v>45995</v>
      </c>
      <c r="D113" s="1">
        <f>IFERROR(__xludf.DUMMYFUNCTION("""COMPUTED_VALUE"""),3.7)</f>
        <v>3.7</v>
      </c>
      <c r="E113" s="1">
        <f>IFERROR(__xludf.DUMMYFUNCTION("""COMPUTED_VALUE"""),110.0)</f>
        <v>110</v>
      </c>
      <c r="F113" s="1" t="str">
        <f>IFERROR(__xludf.DUMMYFUNCTION("""COMPUTED_VALUE"""),"--")</f>
        <v>--</v>
      </c>
      <c r="G113" s="1">
        <f>IFERROR(__xludf.DUMMYFUNCTION("""COMPUTED_VALUE"""),2.7)</f>
        <v>2.7</v>
      </c>
      <c r="H113" s="1">
        <f>IFERROR(__xludf.DUMMYFUNCTION("""COMPUTED_VALUE"""),0.9)</f>
        <v>0.9</v>
      </c>
      <c r="I113" s="1" t="str">
        <f>IFERROR(__xludf.DUMMYFUNCTION("""COMPUTED_VALUE"""),"20.8-8.2")</f>
        <v>20.8-8.2</v>
      </c>
      <c r="J113" s="1" t="str">
        <f>IFERROR(__xludf.DUMMYFUNCTION("""COMPUTED_VALUE"""),"9.8-4.2")</f>
        <v>9.8-4.2</v>
      </c>
      <c r="K113" s="2">
        <f>IFERROR(__xludf.DUMMYFUNCTION("""COMPUTED_VALUE"""),0.273)</f>
        <v>0.273</v>
      </c>
      <c r="L113" s="1" t="str">
        <f>IFERROR(__xludf.DUMMYFUNCTION("""COMPUTED_VALUE"""),"159th")</f>
        <v>159th</v>
      </c>
    </row>
    <row r="114">
      <c r="A114" s="1" t="str">
        <f>IFERROR(__xludf.DUMMYFUNCTION("""COMPUTED_VALUE"""),"Loyola Chicago Ramblers")</f>
        <v>Loyola Chicago Ramblers</v>
      </c>
      <c r="B114" s="1" t="str">
        <f>IFERROR(__xludf.DUMMYFUNCTION("""COMPUTED_VALUE"""),"A-10")</f>
        <v>A-10</v>
      </c>
      <c r="C114" s="3">
        <f>IFERROR(__xludf.DUMMYFUNCTION("""COMPUTED_VALUE"""),45967.0)</f>
        <v>45967</v>
      </c>
      <c r="D114" s="1">
        <f>IFERROR(__xludf.DUMMYFUNCTION("""COMPUTED_VALUE"""),3.3)</f>
        <v>3.3</v>
      </c>
      <c r="E114" s="1">
        <f>IFERROR(__xludf.DUMMYFUNCTION("""COMPUTED_VALUE"""),111.0)</f>
        <v>111</v>
      </c>
      <c r="F114" s="1">
        <f>IFERROR(__xludf.DUMMYFUNCTION("""COMPUTED_VALUE"""),8.0)</f>
        <v>8</v>
      </c>
      <c r="G114" s="1">
        <f>IFERROR(__xludf.DUMMYFUNCTION("""COMPUTED_VALUE"""),0.3)</f>
        <v>0.3</v>
      </c>
      <c r="H114" s="1">
        <f>IFERROR(__xludf.DUMMYFUNCTION("""COMPUTED_VALUE"""),3.1)</f>
        <v>3.1</v>
      </c>
      <c r="I114" s="1" t="str">
        <f>IFERROR(__xludf.DUMMYFUNCTION("""COMPUTED_VALUE"""),"18.1-12.9")</f>
        <v>18.1-12.9</v>
      </c>
      <c r="J114" s="1" t="str">
        <f>IFERROR(__xludf.DUMMYFUNCTION("""COMPUTED_VALUE"""),"9.1-8.9")</f>
        <v>9.1-8.9</v>
      </c>
      <c r="K114" s="2">
        <f>IFERROR(__xludf.DUMMYFUNCTION("""COMPUTED_VALUE"""),0.015)</f>
        <v>0.015</v>
      </c>
      <c r="L114" s="1" t="str">
        <f>IFERROR(__xludf.DUMMYFUNCTION("""COMPUTED_VALUE"""),"101st")</f>
        <v>101st</v>
      </c>
    </row>
    <row r="115">
      <c r="A115" s="1" t="str">
        <f>IFERROR(__xludf.DUMMYFUNCTION("""COMPUTED_VALUE"""),"Virginia Cavaliers")</f>
        <v>Virginia Cavaliers</v>
      </c>
      <c r="B115" s="1" t="str">
        <f>IFERROR(__xludf.DUMMYFUNCTION("""COMPUTED_VALUE"""),"ACC")</f>
        <v>ACC</v>
      </c>
      <c r="C115" s="3">
        <f>IFERROR(__xludf.DUMMYFUNCTION("""COMPUTED_VALUE"""),45878.0)</f>
        <v>45878</v>
      </c>
      <c r="D115" s="1">
        <f>IFERROR(__xludf.DUMMYFUNCTION("""COMPUTED_VALUE"""),3.3)</f>
        <v>3.3</v>
      </c>
      <c r="E115" s="1">
        <f>IFERROR(__xludf.DUMMYFUNCTION("""COMPUTED_VALUE"""),112.0)</f>
        <v>112</v>
      </c>
      <c r="F115" s="1">
        <f>IFERROR(__xludf.DUMMYFUNCTION("""COMPUTED_VALUE"""),5.0)</f>
        <v>5</v>
      </c>
      <c r="G115" s="1">
        <f>IFERROR(__xludf.DUMMYFUNCTION("""COMPUTED_VALUE"""),-1.7)</f>
        <v>-1.7</v>
      </c>
      <c r="H115" s="1">
        <f>IFERROR(__xludf.DUMMYFUNCTION("""COMPUTED_VALUE"""),5.0)</f>
        <v>5</v>
      </c>
      <c r="I115" s="1" t="str">
        <f>IFERROR(__xludf.DUMMYFUNCTION("""COMPUTED_VALUE"""),"12.7-18.3")</f>
        <v>12.7-18.3</v>
      </c>
      <c r="J115" s="1" t="str">
        <f>IFERROR(__xludf.DUMMYFUNCTION("""COMPUTED_VALUE"""),"5.7-14.3")</f>
        <v>5.7-14.3</v>
      </c>
      <c r="K115" s="1" t="str">
        <f>IFERROR(__xludf.DUMMYFUNCTION("""COMPUTED_VALUE"""),"&lt;0.1%")</f>
        <v>&lt;0.1%</v>
      </c>
      <c r="L115" s="1" t="str">
        <f>IFERROR(__xludf.DUMMYFUNCTION("""COMPUTED_VALUE"""),"70th")</f>
        <v>70th</v>
      </c>
    </row>
    <row r="116">
      <c r="A116" s="1" t="str">
        <f>IFERROR(__xludf.DUMMYFUNCTION("""COMPUTED_VALUE"""),"Seton Hall Pirates")</f>
        <v>Seton Hall Pirates</v>
      </c>
      <c r="B116" s="1" t="str">
        <f>IFERROR(__xludf.DUMMYFUNCTION("""COMPUTED_VALUE"""),"Big East")</f>
        <v>Big East</v>
      </c>
      <c r="C116" s="3">
        <f>IFERROR(__xludf.DUMMYFUNCTION("""COMPUTED_VALUE"""),45819.0)</f>
        <v>45819</v>
      </c>
      <c r="D116" s="1">
        <f>IFERROR(__xludf.DUMMYFUNCTION("""COMPUTED_VALUE"""),3.3)</f>
        <v>3.3</v>
      </c>
      <c r="E116" s="1">
        <f>IFERROR(__xludf.DUMMYFUNCTION("""COMPUTED_VALUE"""),113.0)</f>
        <v>113</v>
      </c>
      <c r="F116" s="1">
        <f>IFERROR(__xludf.DUMMYFUNCTION("""COMPUTED_VALUE"""),2.0)</f>
        <v>2</v>
      </c>
      <c r="G116" s="1">
        <f>IFERROR(__xludf.DUMMYFUNCTION("""COMPUTED_VALUE"""),-0.8)</f>
        <v>-0.8</v>
      </c>
      <c r="H116" s="1">
        <f>IFERROR(__xludf.DUMMYFUNCTION("""COMPUTED_VALUE"""),4.0)</f>
        <v>4</v>
      </c>
      <c r="I116" s="1" t="str">
        <f>IFERROR(__xludf.DUMMYFUNCTION("""COMPUTED_VALUE"""),"9.0-22.0")</f>
        <v>9.0-22.0</v>
      </c>
      <c r="J116" s="1" t="str">
        <f>IFERROR(__xludf.DUMMYFUNCTION("""COMPUTED_VALUE"""),"4.0-16.0")</f>
        <v>4.0-16.0</v>
      </c>
      <c r="K116" s="1" t="str">
        <f>IFERROR(__xludf.DUMMYFUNCTION("""COMPUTED_VALUE"""),"&lt;0.1%")</f>
        <v>&lt;0.1%</v>
      </c>
      <c r="L116" s="1" t="str">
        <f>IFERROR(__xludf.DUMMYFUNCTION("""COMPUTED_VALUE"""),"36th")</f>
        <v>36th</v>
      </c>
    </row>
    <row r="117">
      <c r="A117" s="1" t="str">
        <f>IFERROR(__xludf.DUMMYFUNCTION("""COMPUTED_VALUE"""),"Rhode Island Rams")</f>
        <v>Rhode Island Rams</v>
      </c>
      <c r="B117" s="1" t="str">
        <f>IFERROR(__xludf.DUMMYFUNCTION("""COMPUTED_VALUE"""),"A-10")</f>
        <v>A-10</v>
      </c>
      <c r="C117" s="1" t="str">
        <f>IFERROR(__xludf.DUMMYFUNCTION("""COMPUTED_VALUE"""),"13-4")</f>
        <v>13-4</v>
      </c>
      <c r="D117" s="1">
        <f>IFERROR(__xludf.DUMMYFUNCTION("""COMPUTED_VALUE"""),3.1)</f>
        <v>3.1</v>
      </c>
      <c r="E117" s="1">
        <f>IFERROR(__xludf.DUMMYFUNCTION("""COMPUTED_VALUE"""),114.0)</f>
        <v>114</v>
      </c>
      <c r="F117" s="1" t="str">
        <f>IFERROR(__xludf.DUMMYFUNCTION("""COMPUTED_VALUE"""),"--")</f>
        <v>--</v>
      </c>
      <c r="G117" s="1">
        <f>IFERROR(__xludf.DUMMYFUNCTION("""COMPUTED_VALUE"""),0.7)</f>
        <v>0.7</v>
      </c>
      <c r="H117" s="1">
        <f>IFERROR(__xludf.DUMMYFUNCTION("""COMPUTED_VALUE"""),2.4)</f>
        <v>2.4</v>
      </c>
      <c r="I117" s="1" t="str">
        <f>IFERROR(__xludf.DUMMYFUNCTION("""COMPUTED_VALUE"""),"19.6-10.4")</f>
        <v>19.6-10.4</v>
      </c>
      <c r="J117" s="1" t="str">
        <f>IFERROR(__xludf.DUMMYFUNCTION("""COMPUTED_VALUE"""),"8.6-9.4")</f>
        <v>8.6-9.4</v>
      </c>
      <c r="K117" s="2">
        <f>IFERROR(__xludf.DUMMYFUNCTION("""COMPUTED_VALUE"""),0.016)</f>
        <v>0.016</v>
      </c>
      <c r="L117" s="1" t="str">
        <f>IFERROR(__xludf.DUMMYFUNCTION("""COMPUTED_VALUE"""),"105th")</f>
        <v>105th</v>
      </c>
    </row>
    <row r="118">
      <c r="A118" s="1" t="str">
        <f>IFERROR(__xludf.DUMMYFUNCTION("""COMPUTED_VALUE"""),"Charleston Cougars")</f>
        <v>Charleston Cougars</v>
      </c>
      <c r="B118" s="1" t="str">
        <f>IFERROR(__xludf.DUMMYFUNCTION("""COMPUTED_VALUE"""),"CAA")</f>
        <v>CAA</v>
      </c>
      <c r="C118" s="1" t="str">
        <f>IFERROR(__xludf.DUMMYFUNCTION("""COMPUTED_VALUE"""),"14-4")</f>
        <v>14-4</v>
      </c>
      <c r="D118" s="1">
        <f>IFERROR(__xludf.DUMMYFUNCTION("""COMPUTED_VALUE"""),3.1)</f>
        <v>3.1</v>
      </c>
      <c r="E118" s="1">
        <f>IFERROR(__xludf.DUMMYFUNCTION("""COMPUTED_VALUE"""),115.0)</f>
        <v>115</v>
      </c>
      <c r="F118" s="1">
        <f>IFERROR(__xludf.DUMMYFUNCTION("""COMPUTED_VALUE"""),2.0)</f>
        <v>2</v>
      </c>
      <c r="G118" s="1">
        <f>IFERROR(__xludf.DUMMYFUNCTION("""COMPUTED_VALUE"""),0.5)</f>
        <v>0.5</v>
      </c>
      <c r="H118" s="1">
        <f>IFERROR(__xludf.DUMMYFUNCTION("""COMPUTED_VALUE"""),2.6)</f>
        <v>2.6</v>
      </c>
      <c r="I118" s="1" t="str">
        <f>IFERROR(__xludf.DUMMYFUNCTION("""COMPUTED_VALUE"""),"23.2-7.8")</f>
        <v>23.2-7.8</v>
      </c>
      <c r="J118" s="1" t="str">
        <f>IFERROR(__xludf.DUMMYFUNCTION("""COMPUTED_VALUE"""),"13.2-4.8")</f>
        <v>13.2-4.8</v>
      </c>
      <c r="K118" s="2">
        <f>IFERROR(__xludf.DUMMYFUNCTION("""COMPUTED_VALUE"""),0.494)</f>
        <v>0.494</v>
      </c>
      <c r="L118" s="1" t="str">
        <f>IFERROR(__xludf.DUMMYFUNCTION("""COMPUTED_VALUE"""),"205th")</f>
        <v>205th</v>
      </c>
    </row>
    <row r="119">
      <c r="A119" s="1" t="str">
        <f>IFERROR(__xludf.DUMMYFUNCTION("""COMPUTED_VALUE"""),"California Golden Bears")</f>
        <v>California Golden Bears</v>
      </c>
      <c r="B119" s="1" t="str">
        <f>IFERROR(__xludf.DUMMYFUNCTION("""COMPUTED_VALUE"""),"ACC")</f>
        <v>ACC</v>
      </c>
      <c r="C119" s="3">
        <f>IFERROR(__xludf.DUMMYFUNCTION("""COMPUTED_VALUE"""),45878.0)</f>
        <v>45878</v>
      </c>
      <c r="D119" s="1">
        <f>IFERROR(__xludf.DUMMYFUNCTION("""COMPUTED_VALUE"""),2.9)</f>
        <v>2.9</v>
      </c>
      <c r="E119" s="1">
        <f>IFERROR(__xludf.DUMMYFUNCTION("""COMPUTED_VALUE"""),116.0)</f>
        <v>116</v>
      </c>
      <c r="F119" s="1">
        <f>IFERROR(__xludf.DUMMYFUNCTION("""COMPUTED_VALUE"""),4.0)</f>
        <v>4</v>
      </c>
      <c r="G119" s="1">
        <f>IFERROR(__xludf.DUMMYFUNCTION("""COMPUTED_VALUE"""),3.3)</f>
        <v>3.3</v>
      </c>
      <c r="H119" s="1">
        <f>IFERROR(__xludf.DUMMYFUNCTION("""COMPUTED_VALUE"""),-0.4)</f>
        <v>-0.4</v>
      </c>
      <c r="I119" s="1" t="str">
        <f>IFERROR(__xludf.DUMMYFUNCTION("""COMPUTED_VALUE"""),"12.5-18.5")</f>
        <v>12.5-18.5</v>
      </c>
      <c r="J119" s="1" t="str">
        <f>IFERROR(__xludf.DUMMYFUNCTION("""COMPUTED_VALUE"""),"5.5-14.5")</f>
        <v>5.5-14.5</v>
      </c>
      <c r="K119" s="1" t="str">
        <f>IFERROR(__xludf.DUMMYFUNCTION("""COMPUTED_VALUE"""),"&lt;0.1%")</f>
        <v>&lt;0.1%</v>
      </c>
      <c r="L119" s="1" t="str">
        <f>IFERROR(__xludf.DUMMYFUNCTION("""COMPUTED_VALUE"""),"71st")</f>
        <v>71st</v>
      </c>
    </row>
    <row r="120">
      <c r="A120" s="1" t="str">
        <f>IFERROR(__xludf.DUMMYFUNCTION("""COMPUTED_VALUE"""),"Temple Owls")</f>
        <v>Temple Owls</v>
      </c>
      <c r="B120" s="1" t="str">
        <f>IFERROR(__xludf.DUMMYFUNCTION("""COMPUTED_VALUE"""),"American")</f>
        <v>American</v>
      </c>
      <c r="C120" s="3">
        <f>IFERROR(__xludf.DUMMYFUNCTION("""COMPUTED_VALUE"""),45967.0)</f>
        <v>45967</v>
      </c>
      <c r="D120" s="1">
        <f>IFERROR(__xludf.DUMMYFUNCTION("""COMPUTED_VALUE"""),2.9)</f>
        <v>2.9</v>
      </c>
      <c r="E120" s="1">
        <f>IFERROR(__xludf.DUMMYFUNCTION("""COMPUTED_VALUE"""),117.0)</f>
        <v>117</v>
      </c>
      <c r="F120" s="1">
        <f>IFERROR(__xludf.DUMMYFUNCTION("""COMPUTED_VALUE"""),5.0)</f>
        <v>5</v>
      </c>
      <c r="G120" s="1">
        <f>IFERROR(__xludf.DUMMYFUNCTION("""COMPUTED_VALUE"""),1.5)</f>
        <v>1.5</v>
      </c>
      <c r="H120" s="1">
        <f>IFERROR(__xludf.DUMMYFUNCTION("""COMPUTED_VALUE"""),1.4)</f>
        <v>1.4</v>
      </c>
      <c r="I120" s="1" t="str">
        <f>IFERROR(__xludf.DUMMYFUNCTION("""COMPUTED_VALUE"""),"18.8-12.2")</f>
        <v>18.8-12.2</v>
      </c>
      <c r="J120" s="1" t="str">
        <f>IFERROR(__xludf.DUMMYFUNCTION("""COMPUTED_VALUE"""),"10.8-7.2")</f>
        <v>10.8-7.2</v>
      </c>
      <c r="K120" s="2">
        <f>IFERROR(__xludf.DUMMYFUNCTION("""COMPUTED_VALUE"""),0.016)</f>
        <v>0.016</v>
      </c>
      <c r="L120" s="1" t="str">
        <f>IFERROR(__xludf.DUMMYFUNCTION("""COMPUTED_VALUE"""),"123rd")</f>
        <v>123rd</v>
      </c>
    </row>
    <row r="121">
      <c r="A121" s="1" t="str">
        <f>IFERROR(__xludf.DUMMYFUNCTION("""COMPUTED_VALUE"""),"UNC Greensboro Spartans")</f>
        <v>UNC Greensboro Spartans</v>
      </c>
      <c r="B121" s="1" t="str">
        <f>IFERROR(__xludf.DUMMYFUNCTION("""COMPUTED_VALUE"""),"SoCon")</f>
        <v>SoCon</v>
      </c>
      <c r="C121" s="3">
        <f>IFERROR(__xludf.DUMMYFUNCTION("""COMPUTED_VALUE"""),45968.0)</f>
        <v>45968</v>
      </c>
      <c r="D121" s="1">
        <f>IFERROR(__xludf.DUMMYFUNCTION("""COMPUTED_VALUE"""),2.8)</f>
        <v>2.8</v>
      </c>
      <c r="E121" s="1">
        <f>IFERROR(__xludf.DUMMYFUNCTION("""COMPUTED_VALUE"""),118.0)</f>
        <v>118</v>
      </c>
      <c r="F121" s="1">
        <f>IFERROR(__xludf.DUMMYFUNCTION("""COMPUTED_VALUE"""),2.0)</f>
        <v>2</v>
      </c>
      <c r="G121" s="1">
        <f>IFERROR(__xludf.DUMMYFUNCTION("""COMPUTED_VALUE"""),0.5)</f>
        <v>0.5</v>
      </c>
      <c r="H121" s="1">
        <f>IFERROR(__xludf.DUMMYFUNCTION("""COMPUTED_VALUE"""),2.3)</f>
        <v>2.3</v>
      </c>
      <c r="I121" s="1" t="str">
        <f>IFERROR(__xludf.DUMMYFUNCTION("""COMPUTED_VALUE"""),"20.8-10.2")</f>
        <v>20.8-10.2</v>
      </c>
      <c r="J121" s="1" t="str">
        <f>IFERROR(__xludf.DUMMYFUNCTION("""COMPUTED_VALUE"""),"13.8-4.2")</f>
        <v>13.8-4.2</v>
      </c>
      <c r="K121" s="2">
        <f>IFERROR(__xludf.DUMMYFUNCTION("""COMPUTED_VALUE"""),0.384)</f>
        <v>0.384</v>
      </c>
      <c r="L121" s="1" t="str">
        <f>IFERROR(__xludf.DUMMYFUNCTION("""COMPUTED_VALUE"""),"264th")</f>
        <v>264th</v>
      </c>
    </row>
    <row r="122">
      <c r="A122" s="1" t="str">
        <f>IFERROR(__xludf.DUMMYFUNCTION("""COMPUTED_VALUE"""),"Northern Iowa Panthers")</f>
        <v>Northern Iowa Panthers</v>
      </c>
      <c r="B122" s="1" t="str">
        <f>IFERROR(__xludf.DUMMYFUNCTION("""COMPUTED_VALUE"""),"MVC")</f>
        <v>MVC</v>
      </c>
      <c r="C122" s="3">
        <f>IFERROR(__xludf.DUMMYFUNCTION("""COMPUTED_VALUE"""),45968.0)</f>
        <v>45968</v>
      </c>
      <c r="D122" s="1">
        <f>IFERROR(__xludf.DUMMYFUNCTION("""COMPUTED_VALUE"""),2.8)</f>
        <v>2.8</v>
      </c>
      <c r="E122" s="1">
        <f>IFERROR(__xludf.DUMMYFUNCTION("""COMPUTED_VALUE"""),119.0)</f>
        <v>119</v>
      </c>
      <c r="F122" s="1">
        <f>IFERROR(__xludf.DUMMYFUNCTION("""COMPUTED_VALUE"""),2.0)</f>
        <v>2</v>
      </c>
      <c r="G122" s="1">
        <f>IFERROR(__xludf.DUMMYFUNCTION("""COMPUTED_VALUE"""),2.3)</f>
        <v>2.3</v>
      </c>
      <c r="H122" s="1">
        <f>IFERROR(__xludf.DUMMYFUNCTION("""COMPUTED_VALUE"""),0.5)</f>
        <v>0.5</v>
      </c>
      <c r="I122" s="1" t="str">
        <f>IFERROR(__xludf.DUMMYFUNCTION("""COMPUTED_VALUE"""),"18.1-12.9")</f>
        <v>18.1-12.9</v>
      </c>
      <c r="J122" s="1" t="str">
        <f>IFERROR(__xludf.DUMMYFUNCTION("""COMPUTED_VALUE"""),"12.1-7.9")</f>
        <v>12.1-7.9</v>
      </c>
      <c r="K122" s="2">
        <f>IFERROR(__xludf.DUMMYFUNCTION("""COMPUTED_VALUE"""),0.064)</f>
        <v>0.064</v>
      </c>
      <c r="L122" s="1" t="str">
        <f>IFERROR(__xludf.DUMMYFUNCTION("""COMPUTED_VALUE"""),"121st")</f>
        <v>121st</v>
      </c>
    </row>
    <row r="123">
      <c r="A123" s="1" t="str">
        <f>IFERROR(__xludf.DUMMYFUNCTION("""COMPUTED_VALUE"""),"Saint Louis Billikens")</f>
        <v>Saint Louis Billikens</v>
      </c>
      <c r="B123" s="1" t="str">
        <f>IFERROR(__xludf.DUMMYFUNCTION("""COMPUTED_VALUE"""),"A-10")</f>
        <v>A-10</v>
      </c>
      <c r="C123" s="3">
        <f>IFERROR(__xludf.DUMMYFUNCTION("""COMPUTED_VALUE"""),45937.0)</f>
        <v>45937</v>
      </c>
      <c r="D123" s="1">
        <f>IFERROR(__xludf.DUMMYFUNCTION("""COMPUTED_VALUE"""),2.6)</f>
        <v>2.6</v>
      </c>
      <c r="E123" s="1">
        <f>IFERROR(__xludf.DUMMYFUNCTION("""COMPUTED_VALUE"""),120.0)</f>
        <v>120</v>
      </c>
      <c r="F123" s="1" t="str">
        <f>IFERROR(__xludf.DUMMYFUNCTION("""COMPUTED_VALUE"""),"--")</f>
        <v>--</v>
      </c>
      <c r="G123" s="1">
        <f>IFERROR(__xludf.DUMMYFUNCTION("""COMPUTED_VALUE"""),2.7)</f>
        <v>2.7</v>
      </c>
      <c r="H123" s="1">
        <f>IFERROR(__xludf.DUMMYFUNCTION("""COMPUTED_VALUE"""),-0.1)</f>
        <v>-0.1</v>
      </c>
      <c r="I123" s="1" t="str">
        <f>IFERROR(__xludf.DUMMYFUNCTION("""COMPUTED_VALUE"""),"16.2-14.8")</f>
        <v>16.2-14.8</v>
      </c>
      <c r="J123" s="1" t="str">
        <f>IFERROR(__xludf.DUMMYFUNCTION("""COMPUTED_VALUE"""),"9.2-8.8")</f>
        <v>9.2-8.8</v>
      </c>
      <c r="K123" s="2">
        <f>IFERROR(__xludf.DUMMYFUNCTION("""COMPUTED_VALUE"""),0.005)</f>
        <v>0.005</v>
      </c>
      <c r="L123" s="1" t="str">
        <f>IFERROR(__xludf.DUMMYFUNCTION("""COMPUTED_VALUE"""),"84th")</f>
        <v>84th</v>
      </c>
    </row>
    <row r="124">
      <c r="A124" s="1" t="str">
        <f>IFERROR(__xludf.DUMMYFUNCTION("""COMPUTED_VALUE"""),"Davidson Wildcats")</f>
        <v>Davidson Wildcats</v>
      </c>
      <c r="B124" s="1" t="str">
        <f>IFERROR(__xludf.DUMMYFUNCTION("""COMPUTED_VALUE"""),"A-10")</f>
        <v>A-10</v>
      </c>
      <c r="C124" s="3">
        <f>IFERROR(__xludf.DUMMYFUNCTION("""COMPUTED_VALUE"""),45996.0)</f>
        <v>45996</v>
      </c>
      <c r="D124" s="1">
        <f>IFERROR(__xludf.DUMMYFUNCTION("""COMPUTED_VALUE"""),2.4)</f>
        <v>2.4</v>
      </c>
      <c r="E124" s="1">
        <f>IFERROR(__xludf.DUMMYFUNCTION("""COMPUTED_VALUE"""),121.0)</f>
        <v>121</v>
      </c>
      <c r="F124" s="1">
        <f>IFERROR(__xludf.DUMMYFUNCTION("""COMPUTED_VALUE"""),2.0)</f>
        <v>2</v>
      </c>
      <c r="G124" s="1">
        <f>IFERROR(__xludf.DUMMYFUNCTION("""COMPUTED_VALUE"""),1.6)</f>
        <v>1.6</v>
      </c>
      <c r="H124" s="1">
        <f>IFERROR(__xludf.DUMMYFUNCTION("""COMPUTED_VALUE"""),0.7)</f>
        <v>0.7</v>
      </c>
      <c r="I124" s="1" t="str">
        <f>IFERROR(__xludf.DUMMYFUNCTION("""COMPUTED_VALUE"""),"18.7-12.3")</f>
        <v>18.7-12.3</v>
      </c>
      <c r="J124" s="1" t="str">
        <f>IFERROR(__xludf.DUMMYFUNCTION("""COMPUTED_VALUE"""),"8.7-9.3")</f>
        <v>8.7-9.3</v>
      </c>
      <c r="K124" s="4">
        <f>IFERROR(__xludf.DUMMYFUNCTION("""COMPUTED_VALUE"""),0.01)</f>
        <v>0.01</v>
      </c>
      <c r="L124" s="1" t="str">
        <f>IFERROR(__xludf.DUMMYFUNCTION("""COMPUTED_VALUE"""),"102nd")</f>
        <v>102nd</v>
      </c>
    </row>
    <row r="125">
      <c r="A125" s="1" t="str">
        <f>IFERROR(__xludf.DUMMYFUNCTION("""COMPUTED_VALUE"""),"Virginia Tech Hokies")</f>
        <v>Virginia Tech Hokies</v>
      </c>
      <c r="B125" s="1" t="str">
        <f>IFERROR(__xludf.DUMMYFUNCTION("""COMPUTED_VALUE"""),"ACC")</f>
        <v>ACC</v>
      </c>
      <c r="C125" s="3">
        <f>IFERROR(__xludf.DUMMYFUNCTION("""COMPUTED_VALUE"""),45878.0)</f>
        <v>45878</v>
      </c>
      <c r="D125" s="1">
        <f>IFERROR(__xludf.DUMMYFUNCTION("""COMPUTED_VALUE"""),2.2)</f>
        <v>2.2</v>
      </c>
      <c r="E125" s="1">
        <f>IFERROR(__xludf.DUMMYFUNCTION("""COMPUTED_VALUE"""),122.0)</f>
        <v>122</v>
      </c>
      <c r="F125" s="1">
        <f>IFERROR(__xludf.DUMMYFUNCTION("""COMPUTED_VALUE"""),10.0)</f>
        <v>10</v>
      </c>
      <c r="G125" s="1">
        <f>IFERROR(__xludf.DUMMYFUNCTION("""COMPUTED_VALUE"""),1.2)</f>
        <v>1.2</v>
      </c>
      <c r="H125" s="1">
        <f>IFERROR(__xludf.DUMMYFUNCTION("""COMPUTED_VALUE"""),1.0)</f>
        <v>1</v>
      </c>
      <c r="I125" s="1" t="str">
        <f>IFERROR(__xludf.DUMMYFUNCTION("""COMPUTED_VALUE"""),"12.1-18.9")</f>
        <v>12.1-18.9</v>
      </c>
      <c r="J125" s="1" t="str">
        <f>IFERROR(__xludf.DUMMYFUNCTION("""COMPUTED_VALUE"""),"7.1-12.9")</f>
        <v>7.1-12.9</v>
      </c>
      <c r="K125" s="1" t="str">
        <f>IFERROR(__xludf.DUMMYFUNCTION("""COMPUTED_VALUE"""),"&lt;0.1%")</f>
        <v>&lt;0.1%</v>
      </c>
      <c r="L125" s="1" t="str">
        <f>IFERROR(__xludf.DUMMYFUNCTION("""COMPUTED_VALUE"""),"64th")</f>
        <v>64th</v>
      </c>
    </row>
    <row r="126">
      <c r="A126" s="1" t="str">
        <f>IFERROR(__xludf.DUMMYFUNCTION("""COMPUTED_VALUE"""),"UIC Flames")</f>
        <v>UIC Flames</v>
      </c>
      <c r="B126" s="1" t="str">
        <f>IFERROR(__xludf.DUMMYFUNCTION("""COMPUTED_VALUE"""),"MVC")</f>
        <v>MVC</v>
      </c>
      <c r="C126" s="3">
        <f>IFERROR(__xludf.DUMMYFUNCTION("""COMPUTED_VALUE"""),45967.0)</f>
        <v>45967</v>
      </c>
      <c r="D126" s="1">
        <f>IFERROR(__xludf.DUMMYFUNCTION("""COMPUTED_VALUE"""),2.2)</f>
        <v>2.2</v>
      </c>
      <c r="E126" s="1">
        <f>IFERROR(__xludf.DUMMYFUNCTION("""COMPUTED_VALUE"""),123.0)</f>
        <v>123</v>
      </c>
      <c r="F126" s="1">
        <f>IFERROR(__xludf.DUMMYFUNCTION("""COMPUTED_VALUE"""),3.0)</f>
        <v>3</v>
      </c>
      <c r="G126" s="1">
        <f>IFERROR(__xludf.DUMMYFUNCTION("""COMPUTED_VALUE"""),0.5)</f>
        <v>0.5</v>
      </c>
      <c r="H126" s="1">
        <f>IFERROR(__xludf.DUMMYFUNCTION("""COMPUTED_VALUE"""),1.7)</f>
        <v>1.7</v>
      </c>
      <c r="I126" s="1" t="str">
        <f>IFERROR(__xludf.DUMMYFUNCTION("""COMPUTED_VALUE"""),"18.7-11.3")</f>
        <v>18.7-11.3</v>
      </c>
      <c r="J126" s="1" t="str">
        <f>IFERROR(__xludf.DUMMYFUNCTION("""COMPUTED_VALUE"""),"11.7-8.3")</f>
        <v>11.7-8.3</v>
      </c>
      <c r="K126" s="4">
        <f>IFERROR(__xludf.DUMMYFUNCTION("""COMPUTED_VALUE"""),0.05)</f>
        <v>0.05</v>
      </c>
      <c r="L126" s="1" t="str">
        <f>IFERROR(__xludf.DUMMYFUNCTION("""COMPUTED_VALUE"""),"148th")</f>
        <v>148th</v>
      </c>
    </row>
    <row r="127">
      <c r="A127" s="1" t="str">
        <f>IFERROR(__xludf.DUMMYFUNCTION("""COMPUTED_VALUE"""),"La Salle Explorers")</f>
        <v>La Salle Explorers</v>
      </c>
      <c r="B127" s="1" t="str">
        <f>IFERROR(__xludf.DUMMYFUNCTION("""COMPUTED_VALUE"""),"A-10")</f>
        <v>A-10</v>
      </c>
      <c r="C127" s="3">
        <f>IFERROR(__xludf.DUMMYFUNCTION("""COMPUTED_VALUE"""),45937.0)</f>
        <v>45937</v>
      </c>
      <c r="D127" s="1">
        <f>IFERROR(__xludf.DUMMYFUNCTION("""COMPUTED_VALUE"""),2.1)</f>
        <v>2.1</v>
      </c>
      <c r="E127" s="1">
        <f>IFERROR(__xludf.DUMMYFUNCTION("""COMPUTED_VALUE"""),124.0)</f>
        <v>124</v>
      </c>
      <c r="F127" s="1">
        <f>IFERROR(__xludf.DUMMYFUNCTION("""COMPUTED_VALUE"""),6.0)</f>
        <v>6</v>
      </c>
      <c r="G127" s="1">
        <f>IFERROR(__xludf.DUMMYFUNCTION("""COMPUTED_VALUE"""),0.7)</f>
        <v>0.7</v>
      </c>
      <c r="H127" s="1">
        <f>IFERROR(__xludf.DUMMYFUNCTION("""COMPUTED_VALUE"""),1.4)</f>
        <v>1.4</v>
      </c>
      <c r="I127" s="1" t="str">
        <f>IFERROR(__xludf.DUMMYFUNCTION("""COMPUTED_VALUE"""),"16.7-14.3")</f>
        <v>16.7-14.3</v>
      </c>
      <c r="J127" s="1" t="str">
        <f>IFERROR(__xludf.DUMMYFUNCTION("""COMPUTED_VALUE"""),"8.7-9.3")</f>
        <v>8.7-9.3</v>
      </c>
      <c r="K127" s="2">
        <f>IFERROR(__xludf.DUMMYFUNCTION("""COMPUTED_VALUE"""),0.004)</f>
        <v>0.004</v>
      </c>
      <c r="L127" s="1" t="str">
        <f>IFERROR(__xludf.DUMMYFUNCTION("""COMPUTED_VALUE"""),"110th")</f>
        <v>110th</v>
      </c>
    </row>
    <row r="128">
      <c r="A128" s="1" t="str">
        <f>IFERROR(__xludf.DUMMYFUNCTION("""COMPUTED_VALUE"""),"South Florida Bulls")</f>
        <v>South Florida Bulls</v>
      </c>
      <c r="B128" s="1" t="str">
        <f>IFERROR(__xludf.DUMMYFUNCTION("""COMPUTED_VALUE"""),"American")</f>
        <v>American</v>
      </c>
      <c r="C128" s="3">
        <f>IFERROR(__xludf.DUMMYFUNCTION("""COMPUTED_VALUE"""),45908.0)</f>
        <v>45908</v>
      </c>
      <c r="D128" s="1">
        <f>IFERROR(__xludf.DUMMYFUNCTION("""COMPUTED_VALUE"""),2.1)</f>
        <v>2.1</v>
      </c>
      <c r="E128" s="1">
        <f>IFERROR(__xludf.DUMMYFUNCTION("""COMPUTED_VALUE"""),125.0)</f>
        <v>125</v>
      </c>
      <c r="F128" s="1">
        <f>IFERROR(__xludf.DUMMYFUNCTION("""COMPUTED_VALUE"""),7.0)</f>
        <v>7</v>
      </c>
      <c r="G128" s="1">
        <f>IFERROR(__xludf.DUMMYFUNCTION("""COMPUTED_VALUE"""),1.7)</f>
        <v>1.7</v>
      </c>
      <c r="H128" s="1">
        <f>IFERROR(__xludf.DUMMYFUNCTION("""COMPUTED_VALUE"""),0.4)</f>
        <v>0.4</v>
      </c>
      <c r="I128" s="1" t="str">
        <f>IFERROR(__xludf.DUMMYFUNCTION("""COMPUTED_VALUE"""),"15.7-15.3")</f>
        <v>15.7-15.3</v>
      </c>
      <c r="J128" s="1" t="str">
        <f>IFERROR(__xludf.DUMMYFUNCTION("""COMPUTED_VALUE"""),"8.7-9.3")</f>
        <v>8.7-9.3</v>
      </c>
      <c r="K128" s="2">
        <f>IFERROR(__xludf.DUMMYFUNCTION("""COMPUTED_VALUE"""),0.006)</f>
        <v>0.006</v>
      </c>
      <c r="L128" s="1" t="str">
        <f>IFERROR(__xludf.DUMMYFUNCTION("""COMPUTED_VALUE"""),"109th")</f>
        <v>109th</v>
      </c>
    </row>
    <row r="129">
      <c r="A129" s="1" t="str">
        <f>IFERROR(__xludf.DUMMYFUNCTION("""COMPUTED_VALUE"""),"Ohio Bobcats")</f>
        <v>Ohio Bobcats</v>
      </c>
      <c r="B129" s="1" t="str">
        <f>IFERROR(__xludf.DUMMYFUNCTION("""COMPUTED_VALUE"""),"MAC")</f>
        <v>MAC</v>
      </c>
      <c r="C129" s="3">
        <f>IFERROR(__xludf.DUMMYFUNCTION("""COMPUTED_VALUE"""),45937.0)</f>
        <v>45937</v>
      </c>
      <c r="D129" s="1">
        <f>IFERROR(__xludf.DUMMYFUNCTION("""COMPUTED_VALUE"""),2.1)</f>
        <v>2.1</v>
      </c>
      <c r="E129" s="1">
        <f>IFERROR(__xludf.DUMMYFUNCTION("""COMPUTED_VALUE"""),126.0)</f>
        <v>126</v>
      </c>
      <c r="F129" s="1">
        <f>IFERROR(__xludf.DUMMYFUNCTION("""COMPUTED_VALUE"""),7.0)</f>
        <v>7</v>
      </c>
      <c r="G129" s="1">
        <f>IFERROR(__xludf.DUMMYFUNCTION("""COMPUTED_VALUE"""),2.0)</f>
        <v>2</v>
      </c>
      <c r="H129" s="1">
        <f>IFERROR(__xludf.DUMMYFUNCTION("""COMPUTED_VALUE"""),0.1)</f>
        <v>0.1</v>
      </c>
      <c r="I129" s="1" t="str">
        <f>IFERROR(__xludf.DUMMYFUNCTION("""COMPUTED_VALUE"""),"19.7-11.3")</f>
        <v>19.7-11.3</v>
      </c>
      <c r="J129" s="1" t="str">
        <f>IFERROR(__xludf.DUMMYFUNCTION("""COMPUTED_VALUE"""),"13.0-5.0")</f>
        <v>13.0-5.0</v>
      </c>
      <c r="K129" s="2">
        <f>IFERROR(__xludf.DUMMYFUNCTION("""COMPUTED_VALUE"""),0.361)</f>
        <v>0.361</v>
      </c>
      <c r="L129" s="1" t="str">
        <f>IFERROR(__xludf.DUMMYFUNCTION("""COMPUTED_VALUE"""),"215th")</f>
        <v>215th</v>
      </c>
    </row>
    <row r="130">
      <c r="A130" s="1" t="str">
        <f>IFERROR(__xludf.DUMMYFUNCTION("""COMPUTED_VALUE"""),"Illinois State Redbirds")</f>
        <v>Illinois State Redbirds</v>
      </c>
      <c r="B130" s="1" t="str">
        <f>IFERROR(__xludf.DUMMYFUNCTION("""COMPUTED_VALUE"""),"MVC")</f>
        <v>MVC</v>
      </c>
      <c r="C130" s="3">
        <f>IFERROR(__xludf.DUMMYFUNCTION("""COMPUTED_VALUE"""),45938.0)</f>
        <v>45938</v>
      </c>
      <c r="D130" s="1">
        <f>IFERROR(__xludf.DUMMYFUNCTION("""COMPUTED_VALUE"""),2.1)</f>
        <v>2.1</v>
      </c>
      <c r="E130" s="1">
        <f>IFERROR(__xludf.DUMMYFUNCTION("""COMPUTED_VALUE"""),127.0)</f>
        <v>127</v>
      </c>
      <c r="F130" s="1">
        <f>IFERROR(__xludf.DUMMYFUNCTION("""COMPUTED_VALUE"""),2.0)</f>
        <v>2</v>
      </c>
      <c r="G130" s="1">
        <f>IFERROR(__xludf.DUMMYFUNCTION("""COMPUTED_VALUE"""),3.0)</f>
        <v>3</v>
      </c>
      <c r="H130" s="1">
        <f>IFERROR(__xludf.DUMMYFUNCTION("""COMPUTED_VALUE"""),-0.9)</f>
        <v>-0.9</v>
      </c>
      <c r="I130" s="1" t="str">
        <f>IFERROR(__xludf.DUMMYFUNCTION("""COMPUTED_VALUE"""),"17.7-13.3")</f>
        <v>17.7-13.3</v>
      </c>
      <c r="J130" s="1" t="str">
        <f>IFERROR(__xludf.DUMMYFUNCTION("""COMPUTED_VALUE"""),"9.7-10.3")</f>
        <v>9.7-10.3</v>
      </c>
      <c r="K130" s="2">
        <f>IFERROR(__xludf.DUMMYFUNCTION("""COMPUTED_VALUE"""),0.067)</f>
        <v>0.067</v>
      </c>
      <c r="L130" s="1" t="str">
        <f>IFERROR(__xludf.DUMMYFUNCTION("""COMPUTED_VALUE"""),"143rd")</f>
        <v>143rd</v>
      </c>
    </row>
    <row r="131">
      <c r="A131" s="1" t="str">
        <f>IFERROR(__xludf.DUMMYFUNCTION("""COMPUTED_VALUE"""),"Duquesne Dukes")</f>
        <v>Duquesne Dukes</v>
      </c>
      <c r="B131" s="1" t="str">
        <f>IFERROR(__xludf.DUMMYFUNCTION("""COMPUTED_VALUE"""),"A-10")</f>
        <v>A-10</v>
      </c>
      <c r="C131" s="3">
        <f>IFERROR(__xludf.DUMMYFUNCTION("""COMPUTED_VALUE"""),45878.0)</f>
        <v>45878</v>
      </c>
      <c r="D131" s="1">
        <f>IFERROR(__xludf.DUMMYFUNCTION("""COMPUTED_VALUE"""),2.0)</f>
        <v>2</v>
      </c>
      <c r="E131" s="1">
        <f>IFERROR(__xludf.DUMMYFUNCTION("""COMPUTED_VALUE"""),128.0)</f>
        <v>128</v>
      </c>
      <c r="F131" s="1">
        <f>IFERROR(__xludf.DUMMYFUNCTION("""COMPUTED_VALUE"""),8.0)</f>
        <v>8</v>
      </c>
      <c r="G131" s="1">
        <f>IFERROR(__xludf.DUMMYFUNCTION("""COMPUTED_VALUE"""),-0.7)</f>
        <v>-0.7</v>
      </c>
      <c r="H131" s="1">
        <f>IFERROR(__xludf.DUMMYFUNCTION("""COMPUTED_VALUE"""),2.7)</f>
        <v>2.7</v>
      </c>
      <c r="I131" s="1" t="str">
        <f>IFERROR(__xludf.DUMMYFUNCTION("""COMPUTED_VALUE"""),"14.2-16.8")</f>
        <v>14.2-16.8</v>
      </c>
      <c r="J131" s="1" t="str">
        <f>IFERROR(__xludf.DUMMYFUNCTION("""COMPUTED_VALUE"""),"9.2-8.8")</f>
        <v>9.2-8.8</v>
      </c>
      <c r="K131" s="2">
        <f>IFERROR(__xludf.DUMMYFUNCTION("""COMPUTED_VALUE"""),0.004)</f>
        <v>0.004</v>
      </c>
      <c r="L131" s="1" t="str">
        <f>IFERROR(__xludf.DUMMYFUNCTION("""COMPUTED_VALUE"""),"89th")</f>
        <v>89th</v>
      </c>
    </row>
    <row r="132">
      <c r="A132" s="1" t="str">
        <f>IFERROR(__xludf.DUMMYFUNCTION("""COMPUTED_VALUE"""),"UNC Wilmington Seahawks")</f>
        <v>UNC Wilmington Seahawks</v>
      </c>
      <c r="B132" s="1" t="str">
        <f>IFERROR(__xludf.DUMMYFUNCTION("""COMPUTED_VALUE"""),"CAA")</f>
        <v>CAA</v>
      </c>
      <c r="C132" s="1" t="str">
        <f>IFERROR(__xludf.DUMMYFUNCTION("""COMPUTED_VALUE"""),"13-5")</f>
        <v>13-5</v>
      </c>
      <c r="D132" s="1">
        <f>IFERROR(__xludf.DUMMYFUNCTION("""COMPUTED_VALUE"""),2.0)</f>
        <v>2</v>
      </c>
      <c r="E132" s="1">
        <f>IFERROR(__xludf.DUMMYFUNCTION("""COMPUTED_VALUE"""),129.0)</f>
        <v>129</v>
      </c>
      <c r="F132" s="1" t="str">
        <f>IFERROR(__xludf.DUMMYFUNCTION("""COMPUTED_VALUE"""),"--")</f>
        <v>--</v>
      </c>
      <c r="G132" s="1">
        <f>IFERROR(__xludf.DUMMYFUNCTION("""COMPUTED_VALUE"""),2.4)</f>
        <v>2.4</v>
      </c>
      <c r="H132" s="1">
        <f>IFERROR(__xludf.DUMMYFUNCTION("""COMPUTED_VALUE"""),-0.4)</f>
        <v>-0.4</v>
      </c>
      <c r="I132" s="1" t="str">
        <f>IFERROR(__xludf.DUMMYFUNCTION("""COMPUTED_VALUE"""),"21.8-9.2")</f>
        <v>21.8-9.2</v>
      </c>
      <c r="J132" s="1" t="str">
        <f>IFERROR(__xludf.DUMMYFUNCTION("""COMPUTED_VALUE"""),"11.8-6.2")</f>
        <v>11.8-6.2</v>
      </c>
      <c r="K132" s="2">
        <f>IFERROR(__xludf.DUMMYFUNCTION("""COMPUTED_VALUE"""),0.365)</f>
        <v>0.365</v>
      </c>
      <c r="L132" s="1" t="str">
        <f>IFERROR(__xludf.DUMMYFUNCTION("""COMPUTED_VALUE"""),"196th")</f>
        <v>196th</v>
      </c>
    </row>
    <row r="133">
      <c r="A133" s="1" t="str">
        <f>IFERROR(__xludf.DUMMYFUNCTION("""COMPUTED_VALUE"""),"James Madison Dukes")</f>
        <v>James Madison Dukes</v>
      </c>
      <c r="B133" s="1" t="str">
        <f>IFERROR(__xludf.DUMMYFUNCTION("""COMPUTED_VALUE"""),"Sun Belt")</f>
        <v>Sun Belt</v>
      </c>
      <c r="C133" s="3">
        <f>IFERROR(__xludf.DUMMYFUNCTION("""COMPUTED_VALUE"""),45938.0)</f>
        <v>45938</v>
      </c>
      <c r="D133" s="1">
        <f>IFERROR(__xludf.DUMMYFUNCTION("""COMPUTED_VALUE"""),1.9)</f>
        <v>1.9</v>
      </c>
      <c r="E133" s="1">
        <f>IFERROR(__xludf.DUMMYFUNCTION("""COMPUTED_VALUE"""),130.0)</f>
        <v>130</v>
      </c>
      <c r="F133" s="1">
        <f>IFERROR(__xludf.DUMMYFUNCTION("""COMPUTED_VALUE"""),11.0)</f>
        <v>11</v>
      </c>
      <c r="G133" s="1">
        <f>IFERROR(__xludf.DUMMYFUNCTION("""COMPUTED_VALUE"""),0.5)</f>
        <v>0.5</v>
      </c>
      <c r="H133" s="1">
        <f>IFERROR(__xludf.DUMMYFUNCTION("""COMPUTED_VALUE"""),1.5)</f>
        <v>1.5</v>
      </c>
      <c r="I133" s="1" t="str">
        <f>IFERROR(__xludf.DUMMYFUNCTION("""COMPUTED_VALUE"""),"19.7-11.3")</f>
        <v>19.7-11.3</v>
      </c>
      <c r="J133" s="1" t="str">
        <f>IFERROR(__xludf.DUMMYFUNCTION("""COMPUTED_VALUE"""),"12.2-5.8")</f>
        <v>12.2-5.8</v>
      </c>
      <c r="K133" s="2">
        <f>IFERROR(__xludf.DUMMYFUNCTION("""COMPUTED_VALUE"""),0.315)</f>
        <v>0.315</v>
      </c>
      <c r="L133" s="1" t="str">
        <f>IFERROR(__xludf.DUMMYFUNCTION("""COMPUTED_VALUE"""),"274th")</f>
        <v>274th</v>
      </c>
    </row>
    <row r="134">
      <c r="A134" s="1" t="str">
        <f>IFERROR(__xludf.DUMMYFUNCTION("""COMPUTED_VALUE"""),"Purdue Fort Wayne Mastodons")</f>
        <v>Purdue Fort Wayne Mastodons</v>
      </c>
      <c r="B134" s="1" t="str">
        <f>IFERROR(__xludf.DUMMYFUNCTION("""COMPUTED_VALUE"""),"Horizon")</f>
        <v>Horizon</v>
      </c>
      <c r="C134" s="1" t="str">
        <f>IFERROR(__xludf.DUMMYFUNCTION("""COMPUTED_VALUE"""),"14-6")</f>
        <v>14-6</v>
      </c>
      <c r="D134" s="1">
        <f>IFERROR(__xludf.DUMMYFUNCTION("""COMPUTED_VALUE"""),1.9)</f>
        <v>1.9</v>
      </c>
      <c r="E134" s="1">
        <f>IFERROR(__xludf.DUMMYFUNCTION("""COMPUTED_VALUE"""),131.0)</f>
        <v>131</v>
      </c>
      <c r="F134" s="1">
        <f>IFERROR(__xludf.DUMMYFUNCTION("""COMPUTED_VALUE"""),3.0)</f>
        <v>3</v>
      </c>
      <c r="G134" s="1">
        <f>IFERROR(__xludf.DUMMYFUNCTION("""COMPUTED_VALUE"""),3.0)</f>
        <v>3</v>
      </c>
      <c r="H134" s="1">
        <f>IFERROR(__xludf.DUMMYFUNCTION("""COMPUTED_VALUE"""),-1.1)</f>
        <v>-1.1</v>
      </c>
      <c r="I134" s="1" t="str">
        <f>IFERROR(__xludf.DUMMYFUNCTION("""COMPUTED_VALUE"""),"21.5-9.5")</f>
        <v>21.5-9.5</v>
      </c>
      <c r="J134" s="1" t="str">
        <f>IFERROR(__xludf.DUMMYFUNCTION("""COMPUTED_VALUE"""),"14.5-5.5")</f>
        <v>14.5-5.5</v>
      </c>
      <c r="K134" s="2">
        <f>IFERROR(__xludf.DUMMYFUNCTION("""COMPUTED_VALUE"""),0.517)</f>
        <v>0.517</v>
      </c>
      <c r="L134" s="1" t="str">
        <f>IFERROR(__xludf.DUMMYFUNCTION("""COMPUTED_VALUE"""),"210th")</f>
        <v>210th</v>
      </c>
    </row>
    <row r="135">
      <c r="A135" s="1" t="str">
        <f>IFERROR(__xludf.DUMMYFUNCTION("""COMPUTED_VALUE"""),"Troy Trojans")</f>
        <v>Troy Trojans</v>
      </c>
      <c r="B135" s="1" t="str">
        <f>IFERROR(__xludf.DUMMYFUNCTION("""COMPUTED_VALUE"""),"Sun Belt")</f>
        <v>Sun Belt</v>
      </c>
      <c r="C135" s="3">
        <f>IFERROR(__xludf.DUMMYFUNCTION("""COMPUTED_VALUE"""),45967.0)</f>
        <v>45967</v>
      </c>
      <c r="D135" s="1">
        <f>IFERROR(__xludf.DUMMYFUNCTION("""COMPUTED_VALUE"""),1.8)</f>
        <v>1.8</v>
      </c>
      <c r="E135" s="1">
        <f>IFERROR(__xludf.DUMMYFUNCTION("""COMPUTED_VALUE"""),132.0)</f>
        <v>132</v>
      </c>
      <c r="F135" s="1">
        <f>IFERROR(__xludf.DUMMYFUNCTION("""COMPUTED_VALUE"""),3.0)</f>
        <v>3</v>
      </c>
      <c r="G135" s="1">
        <f>IFERROR(__xludf.DUMMYFUNCTION("""COMPUTED_VALUE"""),-1.0)</f>
        <v>-1</v>
      </c>
      <c r="H135" s="1">
        <f>IFERROR(__xludf.DUMMYFUNCTION("""COMPUTED_VALUE"""),2.8)</f>
        <v>2.8</v>
      </c>
      <c r="I135" s="1" t="str">
        <f>IFERROR(__xludf.DUMMYFUNCTION("""COMPUTED_VALUE"""),"19.5-10.5")</f>
        <v>19.5-10.5</v>
      </c>
      <c r="J135" s="1" t="str">
        <f>IFERROR(__xludf.DUMMYFUNCTION("""COMPUTED_VALUE"""),"12.1-5.9")</f>
        <v>12.1-5.9</v>
      </c>
      <c r="K135" s="2">
        <f>IFERROR(__xludf.DUMMYFUNCTION("""COMPUTED_VALUE"""),0.132)</f>
        <v>0.132</v>
      </c>
      <c r="L135" s="1" t="str">
        <f>IFERROR(__xludf.DUMMYFUNCTION("""COMPUTED_VALUE"""),"192nd")</f>
        <v>192nd</v>
      </c>
    </row>
    <row r="136">
      <c r="A136" s="1" t="str">
        <f>IFERROR(__xludf.DUMMYFUNCTION("""COMPUTED_VALUE"""),"George Washington Revolutionaries")</f>
        <v>George Washington Revolutionaries</v>
      </c>
      <c r="B136" s="1" t="str">
        <f>IFERROR(__xludf.DUMMYFUNCTION("""COMPUTED_VALUE"""),"A-10")</f>
        <v>A-10</v>
      </c>
      <c r="C136" s="1" t="str">
        <f>IFERROR(__xludf.DUMMYFUNCTION("""COMPUTED_VALUE"""),"13-4")</f>
        <v>13-4</v>
      </c>
      <c r="D136" s="1">
        <f>IFERROR(__xludf.DUMMYFUNCTION("""COMPUTED_VALUE"""),1.8)</f>
        <v>1.8</v>
      </c>
      <c r="E136" s="1">
        <f>IFERROR(__xludf.DUMMYFUNCTION("""COMPUTED_VALUE"""),133.0)</f>
        <v>133</v>
      </c>
      <c r="F136" s="1">
        <f>IFERROR(__xludf.DUMMYFUNCTION("""COMPUTED_VALUE"""),9.0)</f>
        <v>9</v>
      </c>
      <c r="G136" s="1">
        <f>IFERROR(__xludf.DUMMYFUNCTION("""COMPUTED_VALUE"""),0.7)</f>
        <v>0.7</v>
      </c>
      <c r="H136" s="1">
        <f>IFERROR(__xludf.DUMMYFUNCTION("""COMPUTED_VALUE"""),1.1)</f>
        <v>1.1</v>
      </c>
      <c r="I136" s="1" t="str">
        <f>IFERROR(__xludf.DUMMYFUNCTION("""COMPUTED_VALUE"""),"19.3-11.7")</f>
        <v>19.3-11.7</v>
      </c>
      <c r="J136" s="1" t="str">
        <f>IFERROR(__xludf.DUMMYFUNCTION("""COMPUTED_VALUE"""),"8.3-9.7")</f>
        <v>8.3-9.7</v>
      </c>
      <c r="K136" s="2">
        <f>IFERROR(__xludf.DUMMYFUNCTION("""COMPUTED_VALUE"""),0.005)</f>
        <v>0.005</v>
      </c>
      <c r="L136" s="1" t="str">
        <f>IFERROR(__xludf.DUMMYFUNCTION("""COMPUTED_VALUE"""),"99th")</f>
        <v>99th</v>
      </c>
    </row>
    <row r="137">
      <c r="A137" s="1" t="str">
        <f>IFERROR(__xludf.DUMMYFUNCTION("""COMPUTED_VALUE"""),"Cornell Big Red")</f>
        <v>Cornell Big Red</v>
      </c>
      <c r="B137" s="1" t="str">
        <f>IFERROR(__xludf.DUMMYFUNCTION("""COMPUTED_VALUE"""),"Ivy")</f>
        <v>Ivy</v>
      </c>
      <c r="C137" s="3">
        <f>IFERROR(__xludf.DUMMYFUNCTION("""COMPUTED_VALUE"""),45905.0)</f>
        <v>45905</v>
      </c>
      <c r="D137" s="1">
        <f>IFERROR(__xludf.DUMMYFUNCTION("""COMPUTED_VALUE"""),1.5)</f>
        <v>1.5</v>
      </c>
      <c r="E137" s="1">
        <f>IFERROR(__xludf.DUMMYFUNCTION("""COMPUTED_VALUE"""),134.0)</f>
        <v>134</v>
      </c>
      <c r="F137" s="1">
        <f>IFERROR(__xludf.DUMMYFUNCTION("""COMPUTED_VALUE"""),8.0)</f>
        <v>8</v>
      </c>
      <c r="G137" s="1">
        <f>IFERROR(__xludf.DUMMYFUNCTION("""COMPUTED_VALUE"""),3.1)</f>
        <v>3.1</v>
      </c>
      <c r="H137" s="1">
        <f>IFERROR(__xludf.DUMMYFUNCTION("""COMPUTED_VALUE"""),-1.6)</f>
        <v>-1.6</v>
      </c>
      <c r="I137" s="1" t="str">
        <f>IFERROR(__xludf.DUMMYFUNCTION("""COMPUTED_VALUE"""),"16.8-10.2")</f>
        <v>16.8-10.2</v>
      </c>
      <c r="J137" s="1" t="str">
        <f>IFERROR(__xludf.DUMMYFUNCTION("""COMPUTED_VALUE"""),"8.8-5.2")</f>
        <v>8.8-5.2</v>
      </c>
      <c r="K137" s="2">
        <f>IFERROR(__xludf.DUMMYFUNCTION("""COMPUTED_VALUE"""),0.099)</f>
        <v>0.099</v>
      </c>
      <c r="L137" s="1" t="str">
        <f>IFERROR(__xludf.DUMMYFUNCTION("""COMPUTED_VALUE"""),"160th")</f>
        <v>160th</v>
      </c>
    </row>
    <row r="138">
      <c r="A138" s="1" t="str">
        <f>IFERROR(__xludf.DUMMYFUNCTION("""COMPUTED_VALUE"""),"Wichita State Shockers")</f>
        <v>Wichita State Shockers</v>
      </c>
      <c r="B138" s="1" t="str">
        <f>IFERROR(__xludf.DUMMYFUNCTION("""COMPUTED_VALUE"""),"American")</f>
        <v>American</v>
      </c>
      <c r="C138" s="3">
        <f>IFERROR(__xludf.DUMMYFUNCTION("""COMPUTED_VALUE"""),45967.0)</f>
        <v>45967</v>
      </c>
      <c r="D138" s="1">
        <f>IFERROR(__xludf.DUMMYFUNCTION("""COMPUTED_VALUE"""),1.5)</f>
        <v>1.5</v>
      </c>
      <c r="E138" s="1">
        <f>IFERROR(__xludf.DUMMYFUNCTION("""COMPUTED_VALUE"""),135.0)</f>
        <v>135</v>
      </c>
      <c r="F138" s="1">
        <f>IFERROR(__xludf.DUMMYFUNCTION("""COMPUTED_VALUE"""),7.0)</f>
        <v>7</v>
      </c>
      <c r="G138" s="1">
        <f>IFERROR(__xludf.DUMMYFUNCTION("""COMPUTED_VALUE"""),-0.1)</f>
        <v>-0.1</v>
      </c>
      <c r="H138" s="1">
        <f>IFERROR(__xludf.DUMMYFUNCTION("""COMPUTED_VALUE"""),1.6)</f>
        <v>1.6</v>
      </c>
      <c r="I138" s="1" t="str">
        <f>IFERROR(__xludf.DUMMYFUNCTION("""COMPUTED_VALUE"""),"17.7-13.3")</f>
        <v>17.7-13.3</v>
      </c>
      <c r="J138" s="1" t="str">
        <f>IFERROR(__xludf.DUMMYFUNCTION("""COMPUTED_VALUE"""),"7.7-10.3")</f>
        <v>7.7-10.3</v>
      </c>
      <c r="K138" s="2">
        <f>IFERROR(__xludf.DUMMYFUNCTION("""COMPUTED_VALUE"""),0.007)</f>
        <v>0.007</v>
      </c>
      <c r="L138" s="1" t="str">
        <f>IFERROR(__xludf.DUMMYFUNCTION("""COMPUTED_VALUE"""),"117th")</f>
        <v>117th</v>
      </c>
    </row>
    <row r="139">
      <c r="A139" s="1" t="str">
        <f>IFERROR(__xludf.DUMMYFUNCTION("""COMPUTED_VALUE"""),"Akron Zips")</f>
        <v>Akron Zips</v>
      </c>
      <c r="B139" s="1" t="str">
        <f>IFERROR(__xludf.DUMMYFUNCTION("""COMPUTED_VALUE"""),"MAC")</f>
        <v>MAC</v>
      </c>
      <c r="C139" s="3">
        <f>IFERROR(__xludf.DUMMYFUNCTION("""COMPUTED_VALUE"""),45996.0)</f>
        <v>45996</v>
      </c>
      <c r="D139" s="1">
        <f>IFERROR(__xludf.DUMMYFUNCTION("""COMPUTED_VALUE"""),1.4)</f>
        <v>1.4</v>
      </c>
      <c r="E139" s="1">
        <f>IFERROR(__xludf.DUMMYFUNCTION("""COMPUTED_VALUE"""),136.0)</f>
        <v>136</v>
      </c>
      <c r="F139" s="1">
        <f>IFERROR(__xludf.DUMMYFUNCTION("""COMPUTED_VALUE"""),12.0)</f>
        <v>12</v>
      </c>
      <c r="G139" s="1">
        <f>IFERROR(__xludf.DUMMYFUNCTION("""COMPUTED_VALUE"""),0.3)</f>
        <v>0.3</v>
      </c>
      <c r="H139" s="1">
        <f>IFERROR(__xludf.DUMMYFUNCTION("""COMPUTED_VALUE"""),1.1)</f>
        <v>1.1</v>
      </c>
      <c r="I139" s="1" t="str">
        <f>IFERROR(__xludf.DUMMYFUNCTION("""COMPUTED_VALUE"""),"21.7-9.3")</f>
        <v>21.7-9.3</v>
      </c>
      <c r="J139" s="1" t="str">
        <f>IFERROR(__xludf.DUMMYFUNCTION("""COMPUTED_VALUE"""),"14.1-3.9")</f>
        <v>14.1-3.9</v>
      </c>
      <c r="K139" s="2">
        <f>IFERROR(__xludf.DUMMYFUNCTION("""COMPUTED_VALUE"""),0.303)</f>
        <v>0.303</v>
      </c>
      <c r="L139" s="1" t="str">
        <f>IFERROR(__xludf.DUMMYFUNCTION("""COMPUTED_VALUE"""),"251st")</f>
        <v>251st</v>
      </c>
    </row>
    <row r="140">
      <c r="A140" s="1" t="str">
        <f>IFERROR(__xludf.DUMMYFUNCTION("""COMPUTED_VALUE"""),"Louisiana Tech Bulldogs")</f>
        <v>Louisiana Tech Bulldogs</v>
      </c>
      <c r="B140" s="1" t="str">
        <f>IFERROR(__xludf.DUMMYFUNCTION("""COMPUTED_VALUE"""),"CUSA")</f>
        <v>CUSA</v>
      </c>
      <c r="C140" s="1" t="str">
        <f>IFERROR(__xludf.DUMMYFUNCTION("""COMPUTED_VALUE"""),"13-5")</f>
        <v>13-5</v>
      </c>
      <c r="D140" s="1">
        <f>IFERROR(__xludf.DUMMYFUNCTION("""COMPUTED_VALUE"""),1.2)</f>
        <v>1.2</v>
      </c>
      <c r="E140" s="1">
        <f>IFERROR(__xludf.DUMMYFUNCTION("""COMPUTED_VALUE"""),137.0)</f>
        <v>137</v>
      </c>
      <c r="F140" s="1">
        <f>IFERROR(__xludf.DUMMYFUNCTION("""COMPUTED_VALUE"""),3.0)</f>
        <v>3</v>
      </c>
      <c r="G140" s="1">
        <f>IFERROR(__xludf.DUMMYFUNCTION("""COMPUTED_VALUE"""),-0.1)</f>
        <v>-0.1</v>
      </c>
      <c r="H140" s="1">
        <f>IFERROR(__xludf.DUMMYFUNCTION("""COMPUTED_VALUE"""),1.3)</f>
        <v>1.3</v>
      </c>
      <c r="I140" s="1" t="str">
        <f>IFERROR(__xludf.DUMMYFUNCTION("""COMPUTED_VALUE"""),"20.9-10.1")</f>
        <v>20.9-10.1</v>
      </c>
      <c r="J140" s="1" t="str">
        <f>IFERROR(__xludf.DUMMYFUNCTION("""COMPUTED_VALUE"""),"9.9-8.1")</f>
        <v>9.9-8.1</v>
      </c>
      <c r="K140" s="2">
        <f>IFERROR(__xludf.DUMMYFUNCTION("""COMPUTED_VALUE"""),0.155)</f>
        <v>0.155</v>
      </c>
      <c r="L140" s="1" t="str">
        <f>IFERROR(__xludf.DUMMYFUNCTION("""COMPUTED_VALUE"""),"162nd")</f>
        <v>162nd</v>
      </c>
    </row>
    <row r="141">
      <c r="A141" s="1" t="str">
        <f>IFERROR(__xludf.DUMMYFUNCTION("""COMPUTED_VALUE"""),"South Alabama Jaguars")</f>
        <v>South Alabama Jaguars</v>
      </c>
      <c r="B141" s="1" t="str">
        <f>IFERROR(__xludf.DUMMYFUNCTION("""COMPUTED_VALUE"""),"Sun Belt")</f>
        <v>Sun Belt</v>
      </c>
      <c r="C141" s="1" t="str">
        <f>IFERROR(__xludf.DUMMYFUNCTION("""COMPUTED_VALUE"""),"13-5")</f>
        <v>13-5</v>
      </c>
      <c r="D141" s="1">
        <f>IFERROR(__xludf.DUMMYFUNCTION("""COMPUTED_VALUE"""),1.2)</f>
        <v>1.2</v>
      </c>
      <c r="E141" s="1">
        <f>IFERROR(__xludf.DUMMYFUNCTION("""COMPUTED_VALUE"""),138.0)</f>
        <v>138</v>
      </c>
      <c r="F141" s="1">
        <f>IFERROR(__xludf.DUMMYFUNCTION("""COMPUTED_VALUE"""),11.0)</f>
        <v>11</v>
      </c>
      <c r="G141" s="1">
        <f>IFERROR(__xludf.DUMMYFUNCTION("""COMPUTED_VALUE"""),-0.7)</f>
        <v>-0.7</v>
      </c>
      <c r="H141" s="1">
        <f>IFERROR(__xludf.DUMMYFUNCTION("""COMPUTED_VALUE"""),1.9)</f>
        <v>1.9</v>
      </c>
      <c r="I141" s="1" t="str">
        <f>IFERROR(__xludf.DUMMYFUNCTION("""COMPUTED_VALUE"""),"21.3-9.7")</f>
        <v>21.3-9.7</v>
      </c>
      <c r="J141" s="1" t="str">
        <f>IFERROR(__xludf.DUMMYFUNCTION("""COMPUTED_VALUE"""),"12.9-5.1")</f>
        <v>12.9-5.1</v>
      </c>
      <c r="K141" s="2">
        <f>IFERROR(__xludf.DUMMYFUNCTION("""COMPUTED_VALUE"""),0.099)</f>
        <v>0.099</v>
      </c>
      <c r="L141" s="1" t="str">
        <f>IFERROR(__xludf.DUMMYFUNCTION("""COMPUTED_VALUE"""),"190th")</f>
        <v>190th</v>
      </c>
    </row>
    <row r="142">
      <c r="A142" s="1" t="str">
        <f>IFERROR(__xludf.DUMMYFUNCTION("""COMPUTED_VALUE"""),"Middle Tennessee Blue Raiders")</f>
        <v>Middle Tennessee Blue Raiders</v>
      </c>
      <c r="B142" s="1" t="str">
        <f>IFERROR(__xludf.DUMMYFUNCTION("""COMPUTED_VALUE"""),"CUSA")</f>
        <v>CUSA</v>
      </c>
      <c r="C142" s="3">
        <f>IFERROR(__xludf.DUMMYFUNCTION("""COMPUTED_VALUE"""),45996.0)</f>
        <v>45996</v>
      </c>
      <c r="D142" s="1">
        <f>IFERROR(__xludf.DUMMYFUNCTION("""COMPUTED_VALUE"""),1.2)</f>
        <v>1.2</v>
      </c>
      <c r="E142" s="1">
        <f>IFERROR(__xludf.DUMMYFUNCTION("""COMPUTED_VALUE"""),139.0)</f>
        <v>139</v>
      </c>
      <c r="F142" s="1">
        <f>IFERROR(__xludf.DUMMYFUNCTION("""COMPUTED_VALUE"""),6.0)</f>
        <v>6</v>
      </c>
      <c r="G142" s="1">
        <f>IFERROR(__xludf.DUMMYFUNCTION("""COMPUTED_VALUE"""),-0.6)</f>
        <v>-0.6</v>
      </c>
      <c r="H142" s="1">
        <f>IFERROR(__xludf.DUMMYFUNCTION("""COMPUTED_VALUE"""),1.8)</f>
        <v>1.8</v>
      </c>
      <c r="I142" s="1" t="str">
        <f>IFERROR(__xludf.DUMMYFUNCTION("""COMPUTED_VALUE"""),"20.0-11.0")</f>
        <v>20.0-11.0</v>
      </c>
      <c r="J142" s="1" t="str">
        <f>IFERROR(__xludf.DUMMYFUNCTION("""COMPUTED_VALUE"""),"11.0-7.0")</f>
        <v>11.0-7.0</v>
      </c>
      <c r="K142" s="4">
        <f>IFERROR(__xludf.DUMMYFUNCTION("""COMPUTED_VALUE"""),0.12)</f>
        <v>0.12</v>
      </c>
      <c r="L142" s="1" t="str">
        <f>IFERROR(__xludf.DUMMYFUNCTION("""COMPUTED_VALUE"""),"153rd")</f>
        <v>153rd</v>
      </c>
    </row>
    <row r="143">
      <c r="A143" s="1" t="str">
        <f>IFERROR(__xludf.DUMMYFUNCTION("""COMPUTED_VALUE"""),"App State Mountaineers")</f>
        <v>App State Mountaineers</v>
      </c>
      <c r="B143" s="1" t="str">
        <f>IFERROR(__xludf.DUMMYFUNCTION("""COMPUTED_VALUE"""),"Sun Belt")</f>
        <v>Sun Belt</v>
      </c>
      <c r="C143" s="3">
        <f>IFERROR(__xludf.DUMMYFUNCTION("""COMPUTED_VALUE"""),45937.0)</f>
        <v>45937</v>
      </c>
      <c r="D143" s="1">
        <f>IFERROR(__xludf.DUMMYFUNCTION("""COMPUTED_VALUE"""),1.1)</f>
        <v>1.1</v>
      </c>
      <c r="E143" s="1">
        <f>IFERROR(__xludf.DUMMYFUNCTION("""COMPUTED_VALUE"""),140.0)</f>
        <v>140</v>
      </c>
      <c r="F143" s="1">
        <f>IFERROR(__xludf.DUMMYFUNCTION("""COMPUTED_VALUE"""),22.0)</f>
        <v>22</v>
      </c>
      <c r="G143" s="1">
        <f>IFERROR(__xludf.DUMMYFUNCTION("""COMPUTED_VALUE"""),-2.2)</f>
        <v>-2.2</v>
      </c>
      <c r="H143" s="1">
        <f>IFERROR(__xludf.DUMMYFUNCTION("""COMPUTED_VALUE"""),3.3)</f>
        <v>3.3</v>
      </c>
      <c r="I143" s="1" t="str">
        <f>IFERROR(__xludf.DUMMYFUNCTION("""COMPUTED_VALUE"""),"18.7-11.3")</f>
        <v>18.7-11.3</v>
      </c>
      <c r="J143" s="1" t="str">
        <f>IFERROR(__xludf.DUMMYFUNCTION("""COMPUTED_VALUE"""),"12.3-5.7")</f>
        <v>12.3-5.7</v>
      </c>
      <c r="K143" s="2">
        <f>IFERROR(__xludf.DUMMYFUNCTION("""COMPUTED_VALUE"""),0.136)</f>
        <v>0.136</v>
      </c>
      <c r="L143" s="1" t="str">
        <f>IFERROR(__xludf.DUMMYFUNCTION("""COMPUTED_VALUE"""),"221st")</f>
        <v>221st</v>
      </c>
    </row>
    <row r="144">
      <c r="A144" s="1" t="str">
        <f>IFERROR(__xludf.DUMMYFUNCTION("""COMPUTED_VALUE"""),"Cal State Northridge Matadors")</f>
        <v>Cal State Northridge Matadors</v>
      </c>
      <c r="B144" s="1" t="str">
        <f>IFERROR(__xludf.DUMMYFUNCTION("""COMPUTED_VALUE"""),"Big West")</f>
        <v>Big West</v>
      </c>
      <c r="C144" s="3">
        <f>IFERROR(__xludf.DUMMYFUNCTION("""COMPUTED_VALUE"""),45997.0)</f>
        <v>45997</v>
      </c>
      <c r="D144" s="1">
        <f>IFERROR(__xludf.DUMMYFUNCTION("""COMPUTED_VALUE"""),1.1)</f>
        <v>1.1</v>
      </c>
      <c r="E144" s="1">
        <f>IFERROR(__xludf.DUMMYFUNCTION("""COMPUTED_VALUE"""),141.0)</f>
        <v>141</v>
      </c>
      <c r="F144" s="1">
        <f>IFERROR(__xludf.DUMMYFUNCTION("""COMPUTED_VALUE"""),5.0)</f>
        <v>5</v>
      </c>
      <c r="G144" s="1">
        <f>IFERROR(__xludf.DUMMYFUNCTION("""COMPUTED_VALUE"""),-1.7)</f>
        <v>-1.7</v>
      </c>
      <c r="H144" s="1">
        <f>IFERROR(__xludf.DUMMYFUNCTION("""COMPUTED_VALUE"""),2.8)</f>
        <v>2.8</v>
      </c>
      <c r="I144" s="1" t="str">
        <f>IFERROR(__xludf.DUMMYFUNCTION("""COMPUTED_VALUE"""),"20.0-11.0")</f>
        <v>20.0-11.0</v>
      </c>
      <c r="J144" s="1" t="str">
        <f>IFERROR(__xludf.DUMMYFUNCTION("""COMPUTED_VALUE"""),"12.0-8.0")</f>
        <v>12.0-8.0</v>
      </c>
      <c r="K144" s="2">
        <f>IFERROR(__xludf.DUMMYFUNCTION("""COMPUTED_VALUE"""),0.054)</f>
        <v>0.054</v>
      </c>
      <c r="L144" s="1" t="str">
        <f>IFERROR(__xludf.DUMMYFUNCTION("""COMPUTED_VALUE"""),"183rd")</f>
        <v>183rd</v>
      </c>
    </row>
    <row r="145">
      <c r="A145" s="1" t="str">
        <f>IFERROR(__xludf.DUMMYFUNCTION("""COMPUTED_VALUE"""),"Miami (OH) RedHawks")</f>
        <v>Miami (OH) RedHawks</v>
      </c>
      <c r="B145" s="1" t="str">
        <f>IFERROR(__xludf.DUMMYFUNCTION("""COMPUTED_VALUE"""),"MAC")</f>
        <v>MAC</v>
      </c>
      <c r="C145" s="3">
        <f>IFERROR(__xludf.DUMMYFUNCTION("""COMPUTED_VALUE"""),45995.0)</f>
        <v>45995</v>
      </c>
      <c r="D145" s="1">
        <f>IFERROR(__xludf.DUMMYFUNCTION("""COMPUTED_VALUE"""),0.9)</f>
        <v>0.9</v>
      </c>
      <c r="E145" s="1">
        <f>IFERROR(__xludf.DUMMYFUNCTION("""COMPUTED_VALUE"""),142.0)</f>
        <v>142</v>
      </c>
      <c r="F145" s="1">
        <f>IFERROR(__xludf.DUMMYFUNCTION("""COMPUTED_VALUE"""),5.0)</f>
        <v>5</v>
      </c>
      <c r="G145" s="1">
        <f>IFERROR(__xludf.DUMMYFUNCTION("""COMPUTED_VALUE"""),0.8)</f>
        <v>0.8</v>
      </c>
      <c r="H145" s="1">
        <f>IFERROR(__xludf.DUMMYFUNCTION("""COMPUTED_VALUE"""),0.2)</f>
        <v>0.2</v>
      </c>
      <c r="I145" s="1" t="str">
        <f>IFERROR(__xludf.DUMMYFUNCTION("""COMPUTED_VALUE"""),"22.1-8.9")</f>
        <v>22.1-8.9</v>
      </c>
      <c r="J145" s="1" t="str">
        <f>IFERROR(__xludf.DUMMYFUNCTION("""COMPUTED_VALUE"""),"13.5-4.5")</f>
        <v>13.5-4.5</v>
      </c>
      <c r="K145" s="2">
        <f>IFERROR(__xludf.DUMMYFUNCTION("""COMPUTED_VALUE"""),0.333)</f>
        <v>0.333</v>
      </c>
      <c r="L145" s="1" t="str">
        <f>IFERROR(__xludf.DUMMYFUNCTION("""COMPUTED_VALUE"""),"239th")</f>
        <v>239th</v>
      </c>
    </row>
    <row r="146">
      <c r="A146" s="1" t="str">
        <f>IFERROR(__xludf.DUMMYFUNCTION("""COMPUTED_VALUE"""),"St. Thomas-Minnesota Tommies")</f>
        <v>St. Thomas-Minnesota Tommies</v>
      </c>
      <c r="B146" s="1" t="str">
        <f>IFERROR(__xludf.DUMMYFUNCTION("""COMPUTED_VALUE"""),"Summit")</f>
        <v>Summit</v>
      </c>
      <c r="C146" s="1" t="str">
        <f>IFERROR(__xludf.DUMMYFUNCTION("""COMPUTED_VALUE"""),"14-5")</f>
        <v>14-5</v>
      </c>
      <c r="D146" s="1">
        <f>IFERROR(__xludf.DUMMYFUNCTION("""COMPUTED_VALUE"""),0.9)</f>
        <v>0.9</v>
      </c>
      <c r="E146" s="1">
        <f>IFERROR(__xludf.DUMMYFUNCTION("""COMPUTED_VALUE"""),143.0)</f>
        <v>143</v>
      </c>
      <c r="F146" s="1">
        <f>IFERROR(__xludf.DUMMYFUNCTION("""COMPUTED_VALUE"""),2.0)</f>
        <v>2</v>
      </c>
      <c r="G146" s="1">
        <f>IFERROR(__xludf.DUMMYFUNCTION("""COMPUTED_VALUE"""),2.9)</f>
        <v>2.9</v>
      </c>
      <c r="H146" s="1">
        <f>IFERROR(__xludf.DUMMYFUNCTION("""COMPUTED_VALUE"""),-2.0)</f>
        <v>-2</v>
      </c>
      <c r="I146" s="1" t="str">
        <f>IFERROR(__xludf.DUMMYFUNCTION("""COMPUTED_VALUE"""),"22.6-8.4")</f>
        <v>22.6-8.4</v>
      </c>
      <c r="J146" s="1" t="str">
        <f>IFERROR(__xludf.DUMMYFUNCTION("""COMPUTED_VALUE"""),"12.6-3.4")</f>
        <v>12.6-3.4</v>
      </c>
      <c r="K146" s="2">
        <f>IFERROR(__xludf.DUMMYFUNCTION("""COMPUTED_VALUE"""),0.423)</f>
        <v>0.423</v>
      </c>
      <c r="L146" s="1" t="str">
        <f>IFERROR(__xludf.DUMMYFUNCTION("""COMPUTED_VALUE"""),"285th")</f>
        <v>285th</v>
      </c>
    </row>
    <row r="147">
      <c r="A147" s="1" t="str">
        <f>IFERROR(__xludf.DUMMYFUNCTION("""COMPUTED_VALUE"""),"Texas A&amp;M-Corpus Christi Islanders")</f>
        <v>Texas A&amp;M-Corpus Christi Islanders</v>
      </c>
      <c r="B147" s="1" t="str">
        <f>IFERROR(__xludf.DUMMYFUNCTION("""COMPUTED_VALUE"""),"Southland")</f>
        <v>Southland</v>
      </c>
      <c r="C147" s="3">
        <f>IFERROR(__xludf.DUMMYFUNCTION("""COMPUTED_VALUE"""),45997.0)</f>
        <v>45997</v>
      </c>
      <c r="D147" s="1">
        <f>IFERROR(__xludf.DUMMYFUNCTION("""COMPUTED_VALUE"""),0.9)</f>
        <v>0.9</v>
      </c>
      <c r="E147" s="1">
        <f>IFERROR(__xludf.DUMMYFUNCTION("""COMPUTED_VALUE"""),144.0)</f>
        <v>144</v>
      </c>
      <c r="F147" s="1">
        <f>IFERROR(__xludf.DUMMYFUNCTION("""COMPUTED_VALUE"""),5.0)</f>
        <v>5</v>
      </c>
      <c r="G147" s="1">
        <f>IFERROR(__xludf.DUMMYFUNCTION("""COMPUTED_VALUE"""),-0.5)</f>
        <v>-0.5</v>
      </c>
      <c r="H147" s="1">
        <f>IFERROR(__xludf.DUMMYFUNCTION("""COMPUTED_VALUE"""),1.3)</f>
        <v>1.3</v>
      </c>
      <c r="I147" s="1" t="str">
        <f>IFERROR(__xludf.DUMMYFUNCTION("""COMPUTED_VALUE"""),"21.3-10.7")</f>
        <v>21.3-10.7</v>
      </c>
      <c r="J147" s="1" t="str">
        <f>IFERROR(__xludf.DUMMYFUNCTION("""COMPUTED_VALUE"""),"14.3-5.7")</f>
        <v>14.3-5.7</v>
      </c>
      <c r="K147" s="2">
        <f>IFERROR(__xludf.DUMMYFUNCTION("""COMPUTED_VALUE"""),0.077)</f>
        <v>0.077</v>
      </c>
      <c r="L147" s="1" t="str">
        <f>IFERROR(__xludf.DUMMYFUNCTION("""COMPUTED_VALUE"""),"231st")</f>
        <v>231st</v>
      </c>
    </row>
    <row r="148">
      <c r="A148" s="1" t="str">
        <f>IFERROR(__xludf.DUMMYFUNCTION("""COMPUTED_VALUE"""),"Furman Paladins")</f>
        <v>Furman Paladins</v>
      </c>
      <c r="B148" s="1" t="str">
        <f>IFERROR(__xludf.DUMMYFUNCTION("""COMPUTED_VALUE"""),"SoCon")</f>
        <v>SoCon</v>
      </c>
      <c r="C148" s="1" t="str">
        <f>IFERROR(__xludf.DUMMYFUNCTION("""COMPUTED_VALUE"""),"15-3")</f>
        <v>15-3</v>
      </c>
      <c r="D148" s="1">
        <f>IFERROR(__xludf.DUMMYFUNCTION("""COMPUTED_VALUE"""),0.7)</f>
        <v>0.7</v>
      </c>
      <c r="E148" s="1">
        <f>IFERROR(__xludf.DUMMYFUNCTION("""COMPUTED_VALUE"""),145.0)</f>
        <v>145</v>
      </c>
      <c r="F148" s="1">
        <f>IFERROR(__xludf.DUMMYFUNCTION("""COMPUTED_VALUE"""),14.0)</f>
        <v>14</v>
      </c>
      <c r="G148" s="1">
        <f>IFERROR(__xludf.DUMMYFUNCTION("""COMPUTED_VALUE"""),0.1)</f>
        <v>0.1</v>
      </c>
      <c r="H148" s="1">
        <f>IFERROR(__xludf.DUMMYFUNCTION("""COMPUTED_VALUE"""),0.6)</f>
        <v>0.6</v>
      </c>
      <c r="I148" s="1" t="str">
        <f>IFERROR(__xludf.DUMMYFUNCTION("""COMPUTED_VALUE"""),"23.3-7.7")</f>
        <v>23.3-7.7</v>
      </c>
      <c r="J148" s="1" t="str">
        <f>IFERROR(__xludf.DUMMYFUNCTION("""COMPUTED_VALUE"""),"11.3-6.7")</f>
        <v>11.3-6.7</v>
      </c>
      <c r="K148" s="4">
        <f>IFERROR(__xludf.DUMMYFUNCTION("""COMPUTED_VALUE"""),0.18)</f>
        <v>0.18</v>
      </c>
      <c r="L148" s="1" t="str">
        <f>IFERROR(__xludf.DUMMYFUNCTION("""COMPUTED_VALUE"""),"204th")</f>
        <v>204th</v>
      </c>
    </row>
    <row r="149">
      <c r="A149" s="1" t="str">
        <f>IFERROR(__xludf.DUMMYFUNCTION("""COMPUTED_VALUE"""),"UC Santa Barbara Gauchos")</f>
        <v>UC Santa Barbara Gauchos</v>
      </c>
      <c r="B149" s="1" t="str">
        <f>IFERROR(__xludf.DUMMYFUNCTION("""COMPUTED_VALUE"""),"Big West")</f>
        <v>Big West</v>
      </c>
      <c r="C149" s="3">
        <f>IFERROR(__xludf.DUMMYFUNCTION("""COMPUTED_VALUE"""),45996.0)</f>
        <v>45996</v>
      </c>
      <c r="D149" s="1">
        <f>IFERROR(__xludf.DUMMYFUNCTION("""COMPUTED_VALUE"""),0.7)</f>
        <v>0.7</v>
      </c>
      <c r="E149" s="1">
        <f>IFERROR(__xludf.DUMMYFUNCTION("""COMPUTED_VALUE"""),146.0)</f>
        <v>146</v>
      </c>
      <c r="F149" s="1">
        <f>IFERROR(__xludf.DUMMYFUNCTION("""COMPUTED_VALUE"""),8.0)</f>
        <v>8</v>
      </c>
      <c r="G149" s="1">
        <f>IFERROR(__xludf.DUMMYFUNCTION("""COMPUTED_VALUE"""),-0.1)</f>
        <v>-0.1</v>
      </c>
      <c r="H149" s="1">
        <f>IFERROR(__xludf.DUMMYFUNCTION("""COMPUTED_VALUE"""),0.8)</f>
        <v>0.8</v>
      </c>
      <c r="I149" s="1" t="str">
        <f>IFERROR(__xludf.DUMMYFUNCTION("""COMPUTED_VALUE"""),"20.8-10.2")</f>
        <v>20.8-10.2</v>
      </c>
      <c r="J149" s="1" t="str">
        <f>IFERROR(__xludf.DUMMYFUNCTION("""COMPUTED_VALUE"""),"12.8-7.2")</f>
        <v>12.8-7.2</v>
      </c>
      <c r="K149" s="2">
        <f>IFERROR(__xludf.DUMMYFUNCTION("""COMPUTED_VALUE"""),0.074)</f>
        <v>0.074</v>
      </c>
      <c r="L149" s="1" t="str">
        <f>IFERROR(__xludf.DUMMYFUNCTION("""COMPUTED_VALUE"""),"193rd")</f>
        <v>193rd</v>
      </c>
    </row>
    <row r="150">
      <c r="A150" s="1" t="str">
        <f>IFERROR(__xludf.DUMMYFUNCTION("""COMPUTED_VALUE"""),"Tulane Green Wave")</f>
        <v>Tulane Green Wave</v>
      </c>
      <c r="B150" s="1" t="str">
        <f>IFERROR(__xludf.DUMMYFUNCTION("""COMPUTED_VALUE"""),"American")</f>
        <v>American</v>
      </c>
      <c r="C150" s="3">
        <f>IFERROR(__xludf.DUMMYFUNCTION("""COMPUTED_VALUE"""),45938.0)</f>
        <v>45938</v>
      </c>
      <c r="D150" s="1">
        <f>IFERROR(__xludf.DUMMYFUNCTION("""COMPUTED_VALUE"""),0.6)</f>
        <v>0.6</v>
      </c>
      <c r="E150" s="1">
        <f>IFERROR(__xludf.DUMMYFUNCTION("""COMPUTED_VALUE"""),147.0)</f>
        <v>147</v>
      </c>
      <c r="F150" s="1">
        <f>IFERROR(__xludf.DUMMYFUNCTION("""COMPUTED_VALUE"""),9.0)</f>
        <v>9</v>
      </c>
      <c r="G150" s="1">
        <f>IFERROR(__xludf.DUMMYFUNCTION("""COMPUTED_VALUE"""),-1.6)</f>
        <v>-1.6</v>
      </c>
      <c r="H150" s="1">
        <f>IFERROR(__xludf.DUMMYFUNCTION("""COMPUTED_VALUE"""),2.2)</f>
        <v>2.2</v>
      </c>
      <c r="I150" s="1" t="str">
        <f>IFERROR(__xludf.DUMMYFUNCTION("""COMPUTED_VALUE"""),"16.4-14.6")</f>
        <v>16.4-14.6</v>
      </c>
      <c r="J150" s="1" t="str">
        <f>IFERROR(__xludf.DUMMYFUNCTION("""COMPUTED_VALUE"""),"10.4-7.6")</f>
        <v>10.4-7.6</v>
      </c>
      <c r="K150" s="2">
        <f>IFERROR(__xludf.DUMMYFUNCTION("""COMPUTED_VALUE"""),0.006)</f>
        <v>0.006</v>
      </c>
      <c r="L150" s="1" t="str">
        <f>IFERROR(__xludf.DUMMYFUNCTION("""COMPUTED_VALUE"""),"126th")</f>
        <v>126th</v>
      </c>
    </row>
    <row r="151">
      <c r="A151" s="1" t="str">
        <f>IFERROR(__xludf.DUMMYFUNCTION("""COMPUTED_VALUE"""),"Milwaukee Panthers")</f>
        <v>Milwaukee Panthers</v>
      </c>
      <c r="B151" s="1" t="str">
        <f>IFERROR(__xludf.DUMMYFUNCTION("""COMPUTED_VALUE"""),"Horizon")</f>
        <v>Horizon</v>
      </c>
      <c r="C151" s="1" t="str">
        <f>IFERROR(__xludf.DUMMYFUNCTION("""COMPUTED_VALUE"""),"13-6")</f>
        <v>13-6</v>
      </c>
      <c r="D151" s="1">
        <f>IFERROR(__xludf.DUMMYFUNCTION("""COMPUTED_VALUE"""),0.4)</f>
        <v>0.4</v>
      </c>
      <c r="E151" s="1">
        <f>IFERROR(__xludf.DUMMYFUNCTION("""COMPUTED_VALUE"""),148.0)</f>
        <v>148</v>
      </c>
      <c r="F151" s="1">
        <f>IFERROR(__xludf.DUMMYFUNCTION("""COMPUTED_VALUE"""),3.0)</f>
        <v>3</v>
      </c>
      <c r="G151" s="1">
        <f>IFERROR(__xludf.DUMMYFUNCTION("""COMPUTED_VALUE"""),-0.4)</f>
        <v>-0.4</v>
      </c>
      <c r="H151" s="1">
        <f>IFERROR(__xludf.DUMMYFUNCTION("""COMPUTED_VALUE"""),0.8)</f>
        <v>0.8</v>
      </c>
      <c r="I151" s="1" t="str">
        <f>IFERROR(__xludf.DUMMYFUNCTION("""COMPUTED_VALUE"""),"20.8-10.2")</f>
        <v>20.8-10.2</v>
      </c>
      <c r="J151" s="1" t="str">
        <f>IFERROR(__xludf.DUMMYFUNCTION("""COMPUTED_VALUE"""),"13.8-6.2")</f>
        <v>13.8-6.2</v>
      </c>
      <c r="K151" s="2">
        <f>IFERROR(__xludf.DUMMYFUNCTION("""COMPUTED_VALUE"""),0.308)</f>
        <v>0.308</v>
      </c>
      <c r="L151" s="1" t="str">
        <f>IFERROR(__xludf.DUMMYFUNCTION("""COMPUTED_VALUE"""),"227th")</f>
        <v>227th</v>
      </c>
    </row>
    <row r="152">
      <c r="A152" s="1" t="str">
        <f>IFERROR(__xludf.DUMMYFUNCTION("""COMPUTED_VALUE"""),"South Dakota State Jackrabbits")</f>
        <v>South Dakota State Jackrabbits</v>
      </c>
      <c r="B152" s="1" t="str">
        <f>IFERROR(__xludf.DUMMYFUNCTION("""COMPUTED_VALUE"""),"Summit")</f>
        <v>Summit</v>
      </c>
      <c r="C152" s="3">
        <f>IFERROR(__xludf.DUMMYFUNCTION("""COMPUTED_VALUE"""),45969.0)</f>
        <v>45969</v>
      </c>
      <c r="D152" s="1">
        <f>IFERROR(__xludf.DUMMYFUNCTION("""COMPUTED_VALUE"""),0.4)</f>
        <v>0.4</v>
      </c>
      <c r="E152" s="1">
        <f>IFERROR(__xludf.DUMMYFUNCTION("""COMPUTED_VALUE"""),149.0)</f>
        <v>149</v>
      </c>
      <c r="F152" s="1">
        <f>IFERROR(__xludf.DUMMYFUNCTION("""COMPUTED_VALUE"""),6.0)</f>
        <v>6</v>
      </c>
      <c r="G152" s="1">
        <f>IFERROR(__xludf.DUMMYFUNCTION("""COMPUTED_VALUE"""),0.5)</f>
        <v>0.5</v>
      </c>
      <c r="H152" s="1">
        <f>IFERROR(__xludf.DUMMYFUNCTION("""COMPUTED_VALUE"""),-0.1)</f>
        <v>-0.1</v>
      </c>
      <c r="I152" s="1" t="str">
        <f>IFERROR(__xludf.DUMMYFUNCTION("""COMPUTED_VALUE"""),"19.2-11.8")</f>
        <v>19.2-11.8</v>
      </c>
      <c r="J152" s="1" t="str">
        <f>IFERROR(__xludf.DUMMYFUNCTION("""COMPUTED_VALUE"""),"10.2-5.8")</f>
        <v>10.2-5.8</v>
      </c>
      <c r="K152" s="2">
        <f>IFERROR(__xludf.DUMMYFUNCTION("""COMPUTED_VALUE"""),0.344)</f>
        <v>0.344</v>
      </c>
      <c r="L152" s="1" t="str">
        <f>IFERROR(__xludf.DUMMYFUNCTION("""COMPUTED_VALUE"""),"262nd")</f>
        <v>262nd</v>
      </c>
    </row>
    <row r="153">
      <c r="A153" s="1" t="str">
        <f>IFERROR(__xludf.DUMMYFUNCTION("""COMPUTED_VALUE"""),"UMass Lowell River Hawks")</f>
        <v>UMass Lowell River Hawks</v>
      </c>
      <c r="B153" s="1" t="str">
        <f>IFERROR(__xludf.DUMMYFUNCTION("""COMPUTED_VALUE"""),"Am. East")</f>
        <v>Am. East</v>
      </c>
      <c r="C153" s="1" t="str">
        <f>IFERROR(__xludf.DUMMYFUNCTION("""COMPUTED_VALUE"""),"13-5")</f>
        <v>13-5</v>
      </c>
      <c r="D153" s="1">
        <f>IFERROR(__xludf.DUMMYFUNCTION("""COMPUTED_VALUE"""),0.4)</f>
        <v>0.4</v>
      </c>
      <c r="E153" s="1">
        <f>IFERROR(__xludf.DUMMYFUNCTION("""COMPUTED_VALUE"""),150.0)</f>
        <v>150</v>
      </c>
      <c r="F153" s="1">
        <f>IFERROR(__xludf.DUMMYFUNCTION("""COMPUTED_VALUE"""),7.0)</f>
        <v>7</v>
      </c>
      <c r="G153" s="1">
        <f>IFERROR(__xludf.DUMMYFUNCTION("""COMPUTED_VALUE"""),0.6)</f>
        <v>0.6</v>
      </c>
      <c r="H153" s="1">
        <f>IFERROR(__xludf.DUMMYFUNCTION("""COMPUTED_VALUE"""),-0.2)</f>
        <v>-0.2</v>
      </c>
      <c r="I153" s="1" t="str">
        <f>IFERROR(__xludf.DUMMYFUNCTION("""COMPUTED_VALUE"""),"22.2-8.8")</f>
        <v>22.2-8.8</v>
      </c>
      <c r="J153" s="1" t="str">
        <f>IFERROR(__xludf.DUMMYFUNCTION("""COMPUTED_VALUE"""),"11.2-4.8")</f>
        <v>11.2-4.8</v>
      </c>
      <c r="K153" s="4">
        <f>IFERROR(__xludf.DUMMYFUNCTION("""COMPUTED_VALUE"""),0.48)</f>
        <v>0.48</v>
      </c>
      <c r="L153" s="1" t="str">
        <f>IFERROR(__xludf.DUMMYFUNCTION("""COMPUTED_VALUE"""),"289th")</f>
        <v>289th</v>
      </c>
    </row>
    <row r="154">
      <c r="A154" s="1" t="str">
        <f>IFERROR(__xludf.DUMMYFUNCTION("""COMPUTED_VALUE"""),"Seattle U Redhawks")</f>
        <v>Seattle U Redhawks</v>
      </c>
      <c r="B154" s="1" t="str">
        <f>IFERROR(__xludf.DUMMYFUNCTION("""COMPUTED_VALUE"""),"WAC")</f>
        <v>WAC</v>
      </c>
      <c r="C154" s="3">
        <f>IFERROR(__xludf.DUMMYFUNCTION("""COMPUTED_VALUE"""),45848.0)</f>
        <v>45848</v>
      </c>
      <c r="D154" s="1">
        <f>IFERROR(__xludf.DUMMYFUNCTION("""COMPUTED_VALUE"""),0.3)</f>
        <v>0.3</v>
      </c>
      <c r="E154" s="1">
        <f>IFERROR(__xludf.DUMMYFUNCTION("""COMPUTED_VALUE"""),151.0)</f>
        <v>151</v>
      </c>
      <c r="F154" s="1">
        <f>IFERROR(__xludf.DUMMYFUNCTION("""COMPUTED_VALUE"""),2.0)</f>
        <v>2</v>
      </c>
      <c r="G154" s="1">
        <f>IFERROR(__xludf.DUMMYFUNCTION("""COMPUTED_VALUE"""),-1.2)</f>
        <v>-1.2</v>
      </c>
      <c r="H154" s="1">
        <f>IFERROR(__xludf.DUMMYFUNCTION("""COMPUTED_VALUE"""),1.5)</f>
        <v>1.5</v>
      </c>
      <c r="I154" s="1" t="str">
        <f>IFERROR(__xludf.DUMMYFUNCTION("""COMPUTED_VALUE"""),"14.9-15.1")</f>
        <v>14.9-15.1</v>
      </c>
      <c r="J154" s="1" t="str">
        <f>IFERROR(__xludf.DUMMYFUNCTION("""COMPUTED_VALUE"""),"9.9-6.1")</f>
        <v>9.9-6.1</v>
      </c>
      <c r="K154" s="2">
        <f>IFERROR(__xludf.DUMMYFUNCTION("""COMPUTED_VALUE"""),0.116)</f>
        <v>0.116</v>
      </c>
      <c r="L154" s="1" t="str">
        <f>IFERROR(__xludf.DUMMYFUNCTION("""COMPUTED_VALUE"""),"188th")</f>
        <v>188th</v>
      </c>
    </row>
    <row r="155">
      <c r="A155" s="1" t="str">
        <f>IFERROR(__xludf.DUMMYFUNCTION("""COMPUTED_VALUE"""),"Northern Colorado Bears")</f>
        <v>Northern Colorado Bears</v>
      </c>
      <c r="B155" s="1" t="str">
        <f>IFERROR(__xludf.DUMMYFUNCTION("""COMPUTED_VALUE"""),"Big Sky")</f>
        <v>Big Sky</v>
      </c>
      <c r="C155" s="1" t="str">
        <f>IFERROR(__xludf.DUMMYFUNCTION("""COMPUTED_VALUE"""),"13-5")</f>
        <v>13-5</v>
      </c>
      <c r="D155" s="1">
        <f>IFERROR(__xludf.DUMMYFUNCTION("""COMPUTED_VALUE"""),0.3)</f>
        <v>0.3</v>
      </c>
      <c r="E155" s="1">
        <f>IFERROR(__xludf.DUMMYFUNCTION("""COMPUTED_VALUE"""),152.0)</f>
        <v>152</v>
      </c>
      <c r="F155" s="1">
        <f>IFERROR(__xludf.DUMMYFUNCTION("""COMPUTED_VALUE"""),6.0)</f>
        <v>6</v>
      </c>
      <c r="G155" s="1">
        <f>IFERROR(__xludf.DUMMYFUNCTION("""COMPUTED_VALUE"""),1.9)</f>
        <v>1.9</v>
      </c>
      <c r="H155" s="1">
        <f>IFERROR(__xludf.DUMMYFUNCTION("""COMPUTED_VALUE"""),-1.6)</f>
        <v>-1.6</v>
      </c>
      <c r="I155" s="1" t="str">
        <f>IFERROR(__xludf.DUMMYFUNCTION("""COMPUTED_VALUE"""),"22.2-8.8")</f>
        <v>22.2-8.8</v>
      </c>
      <c r="J155" s="1" t="str">
        <f>IFERROR(__xludf.DUMMYFUNCTION("""COMPUTED_VALUE"""),"14.2-3.8")</f>
        <v>14.2-3.8</v>
      </c>
      <c r="K155" s="2">
        <f>IFERROR(__xludf.DUMMYFUNCTION("""COMPUTED_VALUE"""),0.479)</f>
        <v>0.479</v>
      </c>
      <c r="L155" s="1" t="str">
        <f>IFERROR(__xludf.DUMMYFUNCTION("""COMPUTED_VALUE"""),"292nd")</f>
        <v>292nd</v>
      </c>
    </row>
    <row r="156">
      <c r="A156" s="1" t="str">
        <f>IFERROR(__xludf.DUMMYFUNCTION("""COMPUTED_VALUE"""),"Kent State Golden Flashes")</f>
        <v>Kent State Golden Flashes</v>
      </c>
      <c r="B156" s="1" t="str">
        <f>IFERROR(__xludf.DUMMYFUNCTION("""COMPUTED_VALUE"""),"MAC")</f>
        <v>MAC</v>
      </c>
      <c r="C156" s="3">
        <f>IFERROR(__xludf.DUMMYFUNCTION("""COMPUTED_VALUE"""),45966.0)</f>
        <v>45966</v>
      </c>
      <c r="D156" s="1">
        <f>IFERROR(__xludf.DUMMYFUNCTION("""COMPUTED_VALUE"""),0.2)</f>
        <v>0.2</v>
      </c>
      <c r="E156" s="1">
        <f>IFERROR(__xludf.DUMMYFUNCTION("""COMPUTED_VALUE"""),153.0)</f>
        <v>153</v>
      </c>
      <c r="F156" s="1">
        <f>IFERROR(__xludf.DUMMYFUNCTION("""COMPUTED_VALUE"""),16.0)</f>
        <v>16</v>
      </c>
      <c r="G156" s="1">
        <f>IFERROR(__xludf.DUMMYFUNCTION("""COMPUTED_VALUE"""),-2.6)</f>
        <v>-2.6</v>
      </c>
      <c r="H156" s="1">
        <f>IFERROR(__xludf.DUMMYFUNCTION("""COMPUTED_VALUE"""),2.8)</f>
        <v>2.8</v>
      </c>
      <c r="I156" s="1" t="str">
        <f>IFERROR(__xludf.DUMMYFUNCTION("""COMPUTED_VALUE"""),"19.8-11.2")</f>
        <v>19.8-11.2</v>
      </c>
      <c r="J156" s="1" t="str">
        <f>IFERROR(__xludf.DUMMYFUNCTION("""COMPUTED_VALUE"""),"10.4-7.6")</f>
        <v>10.4-7.6</v>
      </c>
      <c r="K156" s="2">
        <f>IFERROR(__xludf.DUMMYFUNCTION("""COMPUTED_VALUE"""),0.198)</f>
        <v>0.198</v>
      </c>
      <c r="L156" s="1" t="str">
        <f>IFERROR(__xludf.DUMMYFUNCTION("""COMPUTED_VALUE"""),"177th")</f>
        <v>177th</v>
      </c>
    </row>
    <row r="157">
      <c r="A157" s="1" t="str">
        <f>IFERROR(__xludf.DUMMYFUNCTION("""COMPUTED_VALUE"""),"East Tennessee State Buccaneers")</f>
        <v>East Tennessee State Buccaneers</v>
      </c>
      <c r="B157" s="1" t="str">
        <f>IFERROR(__xludf.DUMMYFUNCTION("""COMPUTED_VALUE"""),"SoCon")</f>
        <v>SoCon</v>
      </c>
      <c r="C157" s="3">
        <f>IFERROR(__xludf.DUMMYFUNCTION("""COMPUTED_VALUE"""),45938.0)</f>
        <v>45938</v>
      </c>
      <c r="D157" s="1">
        <f>IFERROR(__xludf.DUMMYFUNCTION("""COMPUTED_VALUE"""),0.1)</f>
        <v>0.1</v>
      </c>
      <c r="E157" s="1">
        <f>IFERROR(__xludf.DUMMYFUNCTION("""COMPUTED_VALUE"""),154.0)</f>
        <v>154</v>
      </c>
      <c r="F157" s="1">
        <f>IFERROR(__xludf.DUMMYFUNCTION("""COMPUTED_VALUE"""),3.0)</f>
        <v>3</v>
      </c>
      <c r="G157" s="1">
        <f>IFERROR(__xludf.DUMMYFUNCTION("""COMPUTED_VALUE"""),-1.2)</f>
        <v>-1.2</v>
      </c>
      <c r="H157" s="1">
        <f>IFERROR(__xludf.DUMMYFUNCTION("""COMPUTED_VALUE"""),1.3)</f>
        <v>1.3</v>
      </c>
      <c r="I157" s="1" t="str">
        <f>IFERROR(__xludf.DUMMYFUNCTION("""COMPUTED_VALUE"""),"17.8-13.2")</f>
        <v>17.8-13.2</v>
      </c>
      <c r="J157" s="1" t="str">
        <f>IFERROR(__xludf.DUMMYFUNCTION("""COMPUTED_VALUE"""),"10.8-7.2")</f>
        <v>10.8-7.2</v>
      </c>
      <c r="K157" s="2">
        <f>IFERROR(__xludf.DUMMYFUNCTION("""COMPUTED_VALUE"""),0.116)</f>
        <v>0.116</v>
      </c>
      <c r="L157" s="1" t="str">
        <f>IFERROR(__xludf.DUMMYFUNCTION("""COMPUTED_VALUE"""),"189th")</f>
        <v>189th</v>
      </c>
    </row>
    <row r="158">
      <c r="A158" s="1" t="str">
        <f>IFERROR(__xludf.DUMMYFUNCTION("""COMPUTED_VALUE"""),"Wofford Terriers")</f>
        <v>Wofford Terriers</v>
      </c>
      <c r="B158" s="1" t="str">
        <f>IFERROR(__xludf.DUMMYFUNCTION("""COMPUTED_VALUE"""),"SoCon")</f>
        <v>SoCon</v>
      </c>
      <c r="C158" s="3">
        <f>IFERROR(__xludf.DUMMYFUNCTION("""COMPUTED_VALUE"""),45909.0)</f>
        <v>45909</v>
      </c>
      <c r="D158" s="1">
        <f>IFERROR(__xludf.DUMMYFUNCTION("""COMPUTED_VALUE"""),0.0)</f>
        <v>0</v>
      </c>
      <c r="E158" s="1">
        <f>IFERROR(__xludf.DUMMYFUNCTION("""COMPUTED_VALUE"""),155.0)</f>
        <v>155</v>
      </c>
      <c r="F158" s="1">
        <f>IFERROR(__xludf.DUMMYFUNCTION("""COMPUTED_VALUE"""),22.0)</f>
        <v>22</v>
      </c>
      <c r="G158" s="1">
        <f>IFERROR(__xludf.DUMMYFUNCTION("""COMPUTED_VALUE"""),2.0)</f>
        <v>2</v>
      </c>
      <c r="H158" s="1">
        <f>IFERROR(__xludf.DUMMYFUNCTION("""COMPUTED_VALUE"""),-1.9)</f>
        <v>-1.9</v>
      </c>
      <c r="I158" s="1" t="str">
        <f>IFERROR(__xludf.DUMMYFUNCTION("""COMPUTED_VALUE"""),"17.6-13.4")</f>
        <v>17.6-13.4</v>
      </c>
      <c r="J158" s="1" t="str">
        <f>IFERROR(__xludf.DUMMYFUNCTION("""COMPUTED_VALUE"""),"11.6-6.4")</f>
        <v>11.6-6.4</v>
      </c>
      <c r="K158" s="2">
        <f>IFERROR(__xludf.DUMMYFUNCTION("""COMPUTED_VALUE"""),0.093)</f>
        <v>0.093</v>
      </c>
      <c r="L158" s="1" t="str">
        <f>IFERROR(__xludf.DUMMYFUNCTION("""COMPUTED_VALUE"""),"252nd")</f>
        <v>252nd</v>
      </c>
    </row>
    <row r="159">
      <c r="A159" s="1" t="str">
        <f>IFERROR(__xludf.DUMMYFUNCTION("""COMPUTED_VALUE"""),"Boston College Eagles")</f>
        <v>Boston College Eagles</v>
      </c>
      <c r="B159" s="1" t="str">
        <f>IFERROR(__xludf.DUMMYFUNCTION("""COMPUTED_VALUE"""),"ACC")</f>
        <v>ACC</v>
      </c>
      <c r="C159" s="3">
        <f>IFERROR(__xludf.DUMMYFUNCTION("""COMPUTED_VALUE"""),45908.0)</f>
        <v>45908</v>
      </c>
      <c r="D159" s="1">
        <f>IFERROR(__xludf.DUMMYFUNCTION("""COMPUTED_VALUE"""),0.0)</f>
        <v>0</v>
      </c>
      <c r="E159" s="1">
        <f>IFERROR(__xludf.DUMMYFUNCTION("""COMPUTED_VALUE"""),156.0)</f>
        <v>156</v>
      </c>
      <c r="F159" s="1">
        <f>IFERROR(__xludf.DUMMYFUNCTION("""COMPUTED_VALUE"""),12.0)</f>
        <v>12</v>
      </c>
      <c r="G159" s="1">
        <f>IFERROR(__xludf.DUMMYFUNCTION("""COMPUTED_VALUE"""),0.2)</f>
        <v>0.2</v>
      </c>
      <c r="H159" s="1">
        <f>IFERROR(__xludf.DUMMYFUNCTION("""COMPUTED_VALUE"""),-0.2)</f>
        <v>-0.2</v>
      </c>
      <c r="I159" s="1" t="str">
        <f>IFERROR(__xludf.DUMMYFUNCTION("""COMPUTED_VALUE"""),"12.1-18.9")</f>
        <v>12.1-18.9</v>
      </c>
      <c r="J159" s="1" t="str">
        <f>IFERROR(__xludf.DUMMYFUNCTION("""COMPUTED_VALUE"""),"4.1-15.9")</f>
        <v>4.1-15.9</v>
      </c>
      <c r="K159" s="1" t="str">
        <f>IFERROR(__xludf.DUMMYFUNCTION("""COMPUTED_VALUE"""),"&lt;0.1%")</f>
        <v>&lt;0.1%</v>
      </c>
      <c r="L159" s="1" t="str">
        <f>IFERROR(__xludf.DUMMYFUNCTION("""COMPUTED_VALUE"""),"63rd")</f>
        <v>63rd</v>
      </c>
    </row>
    <row r="160">
      <c r="A160" s="1" t="str">
        <f>IFERROR(__xludf.DUMMYFUNCTION("""COMPUTED_VALUE"""),"Texas State Bobcats")</f>
        <v>Texas State Bobcats</v>
      </c>
      <c r="B160" s="1" t="str">
        <f>IFERROR(__xludf.DUMMYFUNCTION("""COMPUTED_VALUE"""),"Sun Belt")</f>
        <v>Sun Belt</v>
      </c>
      <c r="C160" s="3">
        <f>IFERROR(__xludf.DUMMYFUNCTION("""COMPUTED_VALUE"""),45938.0)</f>
        <v>45938</v>
      </c>
      <c r="D160" s="1">
        <f>IFERROR(__xludf.DUMMYFUNCTION("""COMPUTED_VALUE"""),-0.1)</f>
        <v>-0.1</v>
      </c>
      <c r="E160" s="1">
        <f>IFERROR(__xludf.DUMMYFUNCTION("""COMPUTED_VALUE"""),157.0)</f>
        <v>157</v>
      </c>
      <c r="F160" s="1">
        <f>IFERROR(__xludf.DUMMYFUNCTION("""COMPUTED_VALUE"""),3.0)</f>
        <v>3</v>
      </c>
      <c r="G160" s="1">
        <f>IFERROR(__xludf.DUMMYFUNCTION("""COMPUTED_VALUE"""),0.2)</f>
        <v>0.2</v>
      </c>
      <c r="H160" s="1">
        <f>IFERROR(__xludf.DUMMYFUNCTION("""COMPUTED_VALUE"""),-0.3)</f>
        <v>-0.3</v>
      </c>
      <c r="I160" s="1" t="str">
        <f>IFERROR(__xludf.DUMMYFUNCTION("""COMPUTED_VALUE"""),"17.9-13.1")</f>
        <v>17.9-13.1</v>
      </c>
      <c r="J160" s="1" t="str">
        <f>IFERROR(__xludf.DUMMYFUNCTION("""COMPUTED_VALUE"""),"10.4-7.6")</f>
        <v>10.4-7.6</v>
      </c>
      <c r="K160" s="2">
        <f>IFERROR(__xludf.DUMMYFUNCTION("""COMPUTED_VALUE"""),0.063)</f>
        <v>0.063</v>
      </c>
      <c r="L160" s="1" t="str">
        <f>IFERROR(__xludf.DUMMYFUNCTION("""COMPUTED_VALUE"""),"203rd")</f>
        <v>203rd</v>
      </c>
    </row>
    <row r="161">
      <c r="A161" s="1" t="str">
        <f>IFERROR(__xludf.DUMMYFUNCTION("""COMPUTED_VALUE"""),"East Carolina Pirates")</f>
        <v>East Carolina Pirates</v>
      </c>
      <c r="B161" s="1" t="str">
        <f>IFERROR(__xludf.DUMMYFUNCTION("""COMPUTED_VALUE"""),"American")</f>
        <v>American</v>
      </c>
      <c r="C161" s="3">
        <f>IFERROR(__xludf.DUMMYFUNCTION("""COMPUTED_VALUE"""),45909.0)</f>
        <v>45909</v>
      </c>
      <c r="D161" s="1">
        <f>IFERROR(__xludf.DUMMYFUNCTION("""COMPUTED_VALUE"""),-0.4)</f>
        <v>-0.4</v>
      </c>
      <c r="E161" s="1">
        <f>IFERROR(__xludf.DUMMYFUNCTION("""COMPUTED_VALUE"""),158.0)</f>
        <v>158</v>
      </c>
      <c r="F161" s="1">
        <f>IFERROR(__xludf.DUMMYFUNCTION("""COMPUTED_VALUE"""),6.0)</f>
        <v>6</v>
      </c>
      <c r="G161" s="1">
        <f>IFERROR(__xludf.DUMMYFUNCTION("""COMPUTED_VALUE"""),-1.0)</f>
        <v>-1</v>
      </c>
      <c r="H161" s="1">
        <f>IFERROR(__xludf.DUMMYFUNCTION("""COMPUTED_VALUE"""),0.6)</f>
        <v>0.6</v>
      </c>
      <c r="I161" s="1" t="str">
        <f>IFERROR(__xludf.DUMMYFUNCTION("""COMPUTED_VALUE"""),"15.3-15.7")</f>
        <v>15.3-15.7</v>
      </c>
      <c r="J161" s="1" t="str">
        <f>IFERROR(__xludf.DUMMYFUNCTION("""COMPUTED_VALUE"""),"7.3-10.7")</f>
        <v>7.3-10.7</v>
      </c>
      <c r="K161" s="2">
        <f>IFERROR(__xludf.DUMMYFUNCTION("""COMPUTED_VALUE"""),0.002)</f>
        <v>0.002</v>
      </c>
      <c r="L161" s="1" t="str">
        <f>IFERROR(__xludf.DUMMYFUNCTION("""COMPUTED_VALUE"""),"137th")</f>
        <v>137th</v>
      </c>
    </row>
    <row r="162">
      <c r="A162" s="1" t="str">
        <f>IFERROR(__xludf.DUMMYFUNCTION("""COMPUTED_VALUE"""),"Norfolk State Spartans")</f>
        <v>Norfolk State Spartans</v>
      </c>
      <c r="B162" s="1" t="str">
        <f>IFERROR(__xludf.DUMMYFUNCTION("""COMPUTED_VALUE"""),"MEAC")</f>
        <v>MEAC</v>
      </c>
      <c r="C162" s="3">
        <f>IFERROR(__xludf.DUMMYFUNCTION("""COMPUTED_VALUE"""),45999.0)</f>
        <v>45999</v>
      </c>
      <c r="D162" s="1">
        <f>IFERROR(__xludf.DUMMYFUNCTION("""COMPUTED_VALUE"""),-0.4)</f>
        <v>-0.4</v>
      </c>
      <c r="E162" s="1">
        <f>IFERROR(__xludf.DUMMYFUNCTION("""COMPUTED_VALUE"""),159.0)</f>
        <v>159</v>
      </c>
      <c r="F162" s="1">
        <f>IFERROR(__xludf.DUMMYFUNCTION("""COMPUTED_VALUE"""),6.0)</f>
        <v>6</v>
      </c>
      <c r="G162" s="1">
        <f>IFERROR(__xludf.DUMMYFUNCTION("""COMPUTED_VALUE"""),-0.1)</f>
        <v>-0.1</v>
      </c>
      <c r="H162" s="1">
        <f>IFERROR(__xludf.DUMMYFUNCTION("""COMPUTED_VALUE"""),-0.3)</f>
        <v>-0.3</v>
      </c>
      <c r="I162" s="1" t="str">
        <f>IFERROR(__xludf.DUMMYFUNCTION("""COMPUTED_VALUE"""),"20.7-10.3")</f>
        <v>20.7-10.3</v>
      </c>
      <c r="J162" s="1" t="str">
        <f>IFERROR(__xludf.DUMMYFUNCTION("""COMPUTED_VALUE"""),"10.7-3.3")</f>
        <v>10.7-3.3</v>
      </c>
      <c r="K162" s="4">
        <f>IFERROR(__xludf.DUMMYFUNCTION("""COMPUTED_VALUE"""),0.72)</f>
        <v>0.72</v>
      </c>
      <c r="L162" s="1" t="str">
        <f>IFERROR(__xludf.DUMMYFUNCTION("""COMPUTED_VALUE"""),"346th")</f>
        <v>346th</v>
      </c>
    </row>
    <row r="163">
      <c r="A163" s="1" t="str">
        <f>IFERROR(__xludf.DUMMYFUNCTION("""COMPUTED_VALUE"""),"Jacksonville State Gamecocks")</f>
        <v>Jacksonville State Gamecocks</v>
      </c>
      <c r="B163" s="1" t="str">
        <f>IFERROR(__xludf.DUMMYFUNCTION("""COMPUTED_VALUE"""),"CUSA")</f>
        <v>CUSA</v>
      </c>
      <c r="C163" s="3">
        <f>IFERROR(__xludf.DUMMYFUNCTION("""COMPUTED_VALUE"""),45937.0)</f>
        <v>45937</v>
      </c>
      <c r="D163" s="1">
        <f>IFERROR(__xludf.DUMMYFUNCTION("""COMPUTED_VALUE"""),-0.5)</f>
        <v>-0.5</v>
      </c>
      <c r="E163" s="1">
        <f>IFERROR(__xludf.DUMMYFUNCTION("""COMPUTED_VALUE"""),160.0)</f>
        <v>160</v>
      </c>
      <c r="F163" s="1">
        <f>IFERROR(__xludf.DUMMYFUNCTION("""COMPUTED_VALUE"""),8.0)</f>
        <v>8</v>
      </c>
      <c r="G163" s="1">
        <f>IFERROR(__xludf.DUMMYFUNCTION("""COMPUTED_VALUE"""),1.2)</f>
        <v>1.2</v>
      </c>
      <c r="H163" s="1">
        <f>IFERROR(__xludf.DUMMYFUNCTION("""COMPUTED_VALUE"""),-1.7)</f>
        <v>-1.7</v>
      </c>
      <c r="I163" s="1" t="str">
        <f>IFERROR(__xludf.DUMMYFUNCTION("""COMPUTED_VALUE"""),"17.5-13.5")</f>
        <v>17.5-13.5</v>
      </c>
      <c r="J163" s="1" t="str">
        <f>IFERROR(__xludf.DUMMYFUNCTION("""COMPUTED_VALUE"""),"9.5-8.5")</f>
        <v>9.5-8.5</v>
      </c>
      <c r="K163" s="2">
        <f>IFERROR(__xludf.DUMMYFUNCTION("""COMPUTED_VALUE"""),0.055)</f>
        <v>0.055</v>
      </c>
      <c r="L163" s="1" t="str">
        <f>IFERROR(__xludf.DUMMYFUNCTION("""COMPUTED_VALUE"""),"158th")</f>
        <v>158th</v>
      </c>
    </row>
    <row r="164">
      <c r="A164" s="1" t="str">
        <f>IFERROR(__xludf.DUMMYFUNCTION("""COMPUTED_VALUE"""),"North Dakota State Bison")</f>
        <v>North Dakota State Bison</v>
      </c>
      <c r="B164" s="1" t="str">
        <f>IFERROR(__xludf.DUMMYFUNCTION("""COMPUTED_VALUE"""),"Summit")</f>
        <v>Summit</v>
      </c>
      <c r="C164" s="1" t="str">
        <f>IFERROR(__xludf.DUMMYFUNCTION("""COMPUTED_VALUE"""),"14-6")</f>
        <v>14-6</v>
      </c>
      <c r="D164" s="1">
        <f>IFERROR(__xludf.DUMMYFUNCTION("""COMPUTED_VALUE"""),-0.5)</f>
        <v>-0.5</v>
      </c>
      <c r="E164" s="1">
        <f>IFERROR(__xludf.DUMMYFUNCTION("""COMPUTED_VALUE"""),161.0)</f>
        <v>161</v>
      </c>
      <c r="F164" s="1">
        <f>IFERROR(__xludf.DUMMYFUNCTION("""COMPUTED_VALUE"""),23.0)</f>
        <v>23</v>
      </c>
      <c r="G164" s="1">
        <f>IFERROR(__xludf.DUMMYFUNCTION("""COMPUTED_VALUE"""),3.1)</f>
        <v>3.1</v>
      </c>
      <c r="H164" s="1">
        <f>IFERROR(__xludf.DUMMYFUNCTION("""COMPUTED_VALUE"""),-3.6)</f>
        <v>-3.6</v>
      </c>
      <c r="I164" s="1" t="str">
        <f>IFERROR(__xludf.DUMMYFUNCTION("""COMPUTED_VALUE"""),"20.9-10.1")</f>
        <v>20.9-10.1</v>
      </c>
      <c r="J164" s="1" t="str">
        <f>IFERROR(__xludf.DUMMYFUNCTION("""COMPUTED_VALUE"""),"9.9-6.1")</f>
        <v>9.9-6.1</v>
      </c>
      <c r="K164" s="2">
        <f>IFERROR(__xludf.DUMMYFUNCTION("""COMPUTED_VALUE"""),0.267)</f>
        <v>0.267</v>
      </c>
      <c r="L164" s="1" t="str">
        <f>IFERROR(__xludf.DUMMYFUNCTION("""COMPUTED_VALUE"""),"240th")</f>
        <v>240th</v>
      </c>
    </row>
    <row r="165">
      <c r="A165" s="1" t="str">
        <f>IFERROR(__xludf.DUMMYFUNCTION("""COMPUTED_VALUE"""),"Loyola Marymount Lions")</f>
        <v>Loyola Marymount Lions</v>
      </c>
      <c r="B165" s="1" t="str">
        <f>IFERROR(__xludf.DUMMYFUNCTION("""COMPUTED_VALUE"""),"WCC")</f>
        <v>WCC</v>
      </c>
      <c r="C165" s="3">
        <f>IFERROR(__xludf.DUMMYFUNCTION("""COMPUTED_VALUE"""),45938.0)</f>
        <v>45938</v>
      </c>
      <c r="D165" s="1">
        <f>IFERROR(__xludf.DUMMYFUNCTION("""COMPUTED_VALUE"""),-0.6)</f>
        <v>-0.6</v>
      </c>
      <c r="E165" s="1">
        <f>IFERROR(__xludf.DUMMYFUNCTION("""COMPUTED_VALUE"""),162.0)</f>
        <v>162</v>
      </c>
      <c r="F165" s="1">
        <f>IFERROR(__xludf.DUMMYFUNCTION("""COMPUTED_VALUE"""),10.0)</f>
        <v>10</v>
      </c>
      <c r="G165" s="1">
        <f>IFERROR(__xludf.DUMMYFUNCTION("""COMPUTED_VALUE"""),-2.2)</f>
        <v>-2.2</v>
      </c>
      <c r="H165" s="1">
        <f>IFERROR(__xludf.DUMMYFUNCTION("""COMPUTED_VALUE"""),1.6)</f>
        <v>1.6</v>
      </c>
      <c r="I165" s="1" t="str">
        <f>IFERROR(__xludf.DUMMYFUNCTION("""COMPUTED_VALUE"""),"16.7-13.3")</f>
        <v>16.7-13.3</v>
      </c>
      <c r="J165" s="1" t="str">
        <f>IFERROR(__xludf.DUMMYFUNCTION("""COMPUTED_VALUE"""),"8.3-8.7")</f>
        <v>8.3-8.7</v>
      </c>
      <c r="K165" s="1" t="str">
        <f>IFERROR(__xludf.DUMMYFUNCTION("""COMPUTED_VALUE"""),"&lt;0.1%")</f>
        <v>&lt;0.1%</v>
      </c>
      <c r="L165" s="1" t="str">
        <f>IFERROR(__xludf.DUMMYFUNCTION("""COMPUTED_VALUE"""),"174th")</f>
        <v>174th</v>
      </c>
    </row>
    <row r="166">
      <c r="A166" s="1" t="str">
        <f>IFERROR(__xludf.DUMMYFUNCTION("""COMPUTED_VALUE"""),"Towson Tigers")</f>
        <v>Towson Tigers</v>
      </c>
      <c r="B166" s="1" t="str">
        <f>IFERROR(__xludf.DUMMYFUNCTION("""COMPUTED_VALUE"""),"CAA")</f>
        <v>CAA</v>
      </c>
      <c r="C166" s="3">
        <f>IFERROR(__xludf.DUMMYFUNCTION("""COMPUTED_VALUE"""),45909.0)</f>
        <v>45909</v>
      </c>
      <c r="D166" s="1">
        <f>IFERROR(__xludf.DUMMYFUNCTION("""COMPUTED_VALUE"""),-0.7)</f>
        <v>-0.7</v>
      </c>
      <c r="E166" s="1">
        <f>IFERROR(__xludf.DUMMYFUNCTION("""COMPUTED_VALUE"""),163.0)</f>
        <v>163</v>
      </c>
      <c r="F166" s="1">
        <f>IFERROR(__xludf.DUMMYFUNCTION("""COMPUTED_VALUE"""),22.0)</f>
        <v>22</v>
      </c>
      <c r="G166" s="1">
        <f>IFERROR(__xludf.DUMMYFUNCTION("""COMPUTED_VALUE"""),-1.9)</f>
        <v>-1.9</v>
      </c>
      <c r="H166" s="1">
        <f>IFERROR(__xludf.DUMMYFUNCTION("""COMPUTED_VALUE"""),1.2)</f>
        <v>1.2</v>
      </c>
      <c r="I166" s="1" t="str">
        <f>IFERROR(__xludf.DUMMYFUNCTION("""COMPUTED_VALUE"""),"17.5-13.5")</f>
        <v>17.5-13.5</v>
      </c>
      <c r="J166" s="1" t="str">
        <f>IFERROR(__xludf.DUMMYFUNCTION("""COMPUTED_VALUE"""),"12.5-5.5")</f>
        <v>12.5-5.5</v>
      </c>
      <c r="K166" s="2">
        <f>IFERROR(__xludf.DUMMYFUNCTION("""COMPUTED_VALUE"""),0.098)</f>
        <v>0.098</v>
      </c>
      <c r="L166" s="1" t="str">
        <f>IFERROR(__xludf.DUMMYFUNCTION("""COMPUTED_VALUE"""),"265th")</f>
        <v>265th</v>
      </c>
    </row>
    <row r="167">
      <c r="A167" s="1" t="str">
        <f>IFERROR(__xludf.DUMMYFUNCTION("""COMPUTED_VALUE"""),"Florida Gulf Coast Eagles")</f>
        <v>Florida Gulf Coast Eagles</v>
      </c>
      <c r="B167" s="1" t="str">
        <f>IFERROR(__xludf.DUMMYFUNCTION("""COMPUTED_VALUE"""),"ASUN")</f>
        <v>ASUN</v>
      </c>
      <c r="C167" s="3">
        <f>IFERROR(__xludf.DUMMYFUNCTION("""COMPUTED_VALUE"""),45909.0)</f>
        <v>45909</v>
      </c>
      <c r="D167" s="1">
        <f>IFERROR(__xludf.DUMMYFUNCTION("""COMPUTED_VALUE"""),-0.7)</f>
        <v>-0.7</v>
      </c>
      <c r="E167" s="1">
        <f>IFERROR(__xludf.DUMMYFUNCTION("""COMPUTED_VALUE"""),164.0)</f>
        <v>164</v>
      </c>
      <c r="F167" s="1">
        <f>IFERROR(__xludf.DUMMYFUNCTION("""COMPUTED_VALUE"""),2.0)</f>
        <v>2</v>
      </c>
      <c r="G167" s="1">
        <f>IFERROR(__xludf.DUMMYFUNCTION("""COMPUTED_VALUE"""),0.0)</f>
        <v>0</v>
      </c>
      <c r="H167" s="1">
        <f>IFERROR(__xludf.DUMMYFUNCTION("""COMPUTED_VALUE"""),-0.7)</f>
        <v>-0.7</v>
      </c>
      <c r="I167" s="1" t="str">
        <f>IFERROR(__xludf.DUMMYFUNCTION("""COMPUTED_VALUE"""),"18.2-12.8")</f>
        <v>18.2-12.8</v>
      </c>
      <c r="J167" s="1" t="str">
        <f>IFERROR(__xludf.DUMMYFUNCTION("""COMPUTED_VALUE"""),"13.2-4.8")</f>
        <v>13.2-4.8</v>
      </c>
      <c r="K167" s="2">
        <f>IFERROR(__xludf.DUMMYFUNCTION("""COMPUTED_VALUE"""),0.226)</f>
        <v>0.226</v>
      </c>
      <c r="L167" s="1" t="str">
        <f>IFERROR(__xludf.DUMMYFUNCTION("""COMPUTED_VALUE"""),"307th")</f>
        <v>307th</v>
      </c>
    </row>
    <row r="168">
      <c r="A168" s="1" t="str">
        <f>IFERROR(__xludf.DUMMYFUNCTION("""COMPUTED_VALUE"""),"Kansas City Roos")</f>
        <v>Kansas City Roos</v>
      </c>
      <c r="B168" s="1" t="str">
        <f>IFERROR(__xludf.DUMMYFUNCTION("""COMPUTED_VALUE"""),"Summit")</f>
        <v>Summit</v>
      </c>
      <c r="C168" s="3">
        <f>IFERROR(__xludf.DUMMYFUNCTION("""COMPUTED_VALUE"""),45939.0)</f>
        <v>45939</v>
      </c>
      <c r="D168" s="1">
        <f>IFERROR(__xludf.DUMMYFUNCTION("""COMPUTED_VALUE"""),-0.7)</f>
        <v>-0.7</v>
      </c>
      <c r="E168" s="1">
        <f>IFERROR(__xludf.DUMMYFUNCTION("""COMPUTED_VALUE"""),165.0)</f>
        <v>165</v>
      </c>
      <c r="F168" s="1" t="str">
        <f>IFERROR(__xludf.DUMMYFUNCTION("""COMPUTED_VALUE"""),"--")</f>
        <v>--</v>
      </c>
      <c r="G168" s="1">
        <f>IFERROR(__xludf.DUMMYFUNCTION("""COMPUTED_VALUE"""),-2.1)</f>
        <v>-2.1</v>
      </c>
      <c r="H168" s="1">
        <f>IFERROR(__xludf.DUMMYFUNCTION("""COMPUTED_VALUE"""),1.4)</f>
        <v>1.4</v>
      </c>
      <c r="I168" s="1" t="str">
        <f>IFERROR(__xludf.DUMMYFUNCTION("""COMPUTED_VALUE"""),"17.8-13.2")</f>
        <v>17.8-13.2</v>
      </c>
      <c r="J168" s="1" t="str">
        <f>IFERROR(__xludf.DUMMYFUNCTION("""COMPUTED_VALUE"""),"9.8-6.2")</f>
        <v>9.8-6.2</v>
      </c>
      <c r="K168" s="4">
        <f>IFERROR(__xludf.DUMMYFUNCTION("""COMPUTED_VALUE"""),0.26)</f>
        <v>0.26</v>
      </c>
      <c r="L168" s="1" t="str">
        <f>IFERROR(__xludf.DUMMYFUNCTION("""COMPUTED_VALUE"""),"259th")</f>
        <v>259th</v>
      </c>
    </row>
    <row r="169">
      <c r="A169" s="1" t="str">
        <f>IFERROR(__xludf.DUMMYFUNCTION("""COMPUTED_VALUE"""),"Western Kentucky Hilltoppers")</f>
        <v>Western Kentucky Hilltoppers</v>
      </c>
      <c r="B169" s="1" t="str">
        <f>IFERROR(__xludf.DUMMYFUNCTION("""COMPUTED_VALUE"""),"CUSA")</f>
        <v>CUSA</v>
      </c>
      <c r="C169" s="3">
        <f>IFERROR(__xludf.DUMMYFUNCTION("""COMPUTED_VALUE"""),45967.0)</f>
        <v>45967</v>
      </c>
      <c r="D169" s="1">
        <f>IFERROR(__xludf.DUMMYFUNCTION("""COMPUTED_VALUE"""),-0.8)</f>
        <v>-0.8</v>
      </c>
      <c r="E169" s="1">
        <f>IFERROR(__xludf.DUMMYFUNCTION("""COMPUTED_VALUE"""),166.0)</f>
        <v>166</v>
      </c>
      <c r="F169" s="1">
        <f>IFERROR(__xludf.DUMMYFUNCTION("""COMPUTED_VALUE"""),12.0)</f>
        <v>12</v>
      </c>
      <c r="G169" s="1">
        <f>IFERROR(__xludf.DUMMYFUNCTION("""COMPUTED_VALUE"""),-3.1)</f>
        <v>-3.1</v>
      </c>
      <c r="H169" s="1">
        <f>IFERROR(__xludf.DUMMYFUNCTION("""COMPUTED_VALUE"""),2.4)</f>
        <v>2.4</v>
      </c>
      <c r="I169" s="1" t="str">
        <f>IFERROR(__xludf.DUMMYFUNCTION("""COMPUTED_VALUE"""),"17.8-13.2")</f>
        <v>17.8-13.2</v>
      </c>
      <c r="J169" s="1" t="str">
        <f>IFERROR(__xludf.DUMMYFUNCTION("""COMPUTED_VALUE"""),"8.8-9.2")</f>
        <v>8.8-9.2</v>
      </c>
      <c r="K169" s="2">
        <f>IFERROR(__xludf.DUMMYFUNCTION("""COMPUTED_VALUE"""),0.037)</f>
        <v>0.037</v>
      </c>
      <c r="L169" s="1" t="str">
        <f>IFERROR(__xludf.DUMMYFUNCTION("""COMPUTED_VALUE"""),"145th")</f>
        <v>145th</v>
      </c>
    </row>
    <row r="170">
      <c r="A170" s="1" t="str">
        <f>IFERROR(__xludf.DUMMYFUNCTION("""COMPUTED_VALUE"""),"New Mexico State Aggies")</f>
        <v>New Mexico State Aggies</v>
      </c>
      <c r="B170" s="1" t="str">
        <f>IFERROR(__xludf.DUMMYFUNCTION("""COMPUTED_VALUE"""),"CUSA")</f>
        <v>CUSA</v>
      </c>
      <c r="C170" s="3">
        <f>IFERROR(__xludf.DUMMYFUNCTION("""COMPUTED_VALUE"""),45967.0)</f>
        <v>45967</v>
      </c>
      <c r="D170" s="1">
        <f>IFERROR(__xludf.DUMMYFUNCTION("""COMPUTED_VALUE"""),-0.8)</f>
        <v>-0.8</v>
      </c>
      <c r="E170" s="1">
        <f>IFERROR(__xludf.DUMMYFUNCTION("""COMPUTED_VALUE"""),167.0)</f>
        <v>167</v>
      </c>
      <c r="F170" s="1">
        <f>IFERROR(__xludf.DUMMYFUNCTION("""COMPUTED_VALUE"""),33.0)</f>
        <v>33</v>
      </c>
      <c r="G170" s="1">
        <f>IFERROR(__xludf.DUMMYFUNCTION("""COMPUTED_VALUE"""),-2.1)</f>
        <v>-2.1</v>
      </c>
      <c r="H170" s="1">
        <f>IFERROR(__xludf.DUMMYFUNCTION("""COMPUTED_VALUE"""),1.4)</f>
        <v>1.4</v>
      </c>
      <c r="I170" s="1" t="str">
        <f>IFERROR(__xludf.DUMMYFUNCTION("""COMPUTED_VALUE"""),"17.8-13.2")</f>
        <v>17.8-13.2</v>
      </c>
      <c r="J170" s="1" t="str">
        <f>IFERROR(__xludf.DUMMYFUNCTION("""COMPUTED_VALUE"""),"10.8-7.2")</f>
        <v>10.8-7.2</v>
      </c>
      <c r="K170" s="2">
        <f>IFERROR(__xludf.DUMMYFUNCTION("""COMPUTED_VALUE"""),0.026)</f>
        <v>0.026</v>
      </c>
      <c r="L170" s="1" t="str">
        <f>IFERROR(__xludf.DUMMYFUNCTION("""COMPUTED_VALUE"""),"141st")</f>
        <v>141st</v>
      </c>
    </row>
    <row r="171">
      <c r="A171" s="1" t="str">
        <f>IFERROR(__xludf.DUMMYFUNCTION("""COMPUTED_VALUE"""),"Utah Valley Wolverines")</f>
        <v>Utah Valley Wolverines</v>
      </c>
      <c r="B171" s="1" t="str">
        <f>IFERROR(__xludf.DUMMYFUNCTION("""COMPUTED_VALUE"""),"WAC")</f>
        <v>WAC</v>
      </c>
      <c r="C171" s="3">
        <f>IFERROR(__xludf.DUMMYFUNCTION("""COMPUTED_VALUE"""),45997.0)</f>
        <v>45997</v>
      </c>
      <c r="D171" s="1">
        <f>IFERROR(__xludf.DUMMYFUNCTION("""COMPUTED_VALUE"""),-0.8)</f>
        <v>-0.8</v>
      </c>
      <c r="E171" s="1">
        <f>IFERROR(__xludf.DUMMYFUNCTION("""COMPUTED_VALUE"""),168.0)</f>
        <v>168</v>
      </c>
      <c r="F171" s="1">
        <f>IFERROR(__xludf.DUMMYFUNCTION("""COMPUTED_VALUE"""),5.0)</f>
        <v>5</v>
      </c>
      <c r="G171" s="1">
        <f>IFERROR(__xludf.DUMMYFUNCTION("""COMPUTED_VALUE"""),-3.7)</f>
        <v>-3.7</v>
      </c>
      <c r="H171" s="1">
        <f>IFERROR(__xludf.DUMMYFUNCTION("""COMPUTED_VALUE"""),2.9)</f>
        <v>2.9</v>
      </c>
      <c r="I171" s="1" t="str">
        <f>IFERROR(__xludf.DUMMYFUNCTION("""COMPUTED_VALUE"""),"19.1-10.9")</f>
        <v>19.1-10.9</v>
      </c>
      <c r="J171" s="1" t="str">
        <f>IFERROR(__xludf.DUMMYFUNCTION("""COMPUTED_VALUE"""),"11.1-4.9")</f>
        <v>11.1-4.9</v>
      </c>
      <c r="K171" s="2">
        <f>IFERROR(__xludf.DUMMYFUNCTION("""COMPUTED_VALUE"""),0.066)</f>
        <v>0.066</v>
      </c>
      <c r="L171" s="1" t="str">
        <f>IFERROR(__xludf.DUMMYFUNCTION("""COMPUTED_VALUE"""),"212th")</f>
        <v>212th</v>
      </c>
    </row>
    <row r="172">
      <c r="A172" s="1" t="str">
        <f>IFERROR(__xludf.DUMMYFUNCTION("""COMPUTED_VALUE"""),"Bryant Bulldogs")</f>
        <v>Bryant Bulldogs</v>
      </c>
      <c r="B172" s="1" t="str">
        <f>IFERROR(__xludf.DUMMYFUNCTION("""COMPUTED_VALUE"""),"Am. East")</f>
        <v>Am. East</v>
      </c>
      <c r="C172" s="3">
        <f>IFERROR(__xludf.DUMMYFUNCTION("""COMPUTED_VALUE"""),45909.0)</f>
        <v>45909</v>
      </c>
      <c r="D172" s="1">
        <f>IFERROR(__xludf.DUMMYFUNCTION("""COMPUTED_VALUE"""),-0.8)</f>
        <v>-0.8</v>
      </c>
      <c r="E172" s="1">
        <f>IFERROR(__xludf.DUMMYFUNCTION("""COMPUTED_VALUE"""),169.0)</f>
        <v>169</v>
      </c>
      <c r="F172" s="1">
        <f>IFERROR(__xludf.DUMMYFUNCTION("""COMPUTED_VALUE"""),26.0)</f>
        <v>26</v>
      </c>
      <c r="G172" s="1">
        <f>IFERROR(__xludf.DUMMYFUNCTION("""COMPUTED_VALUE"""),-1.2)</f>
        <v>-1.2</v>
      </c>
      <c r="H172" s="1">
        <f>IFERROR(__xludf.DUMMYFUNCTION("""COMPUTED_VALUE"""),0.4)</f>
        <v>0.4</v>
      </c>
      <c r="I172" s="1" t="str">
        <f>IFERROR(__xludf.DUMMYFUNCTION("""COMPUTED_VALUE"""),"17.8-13.2")</f>
        <v>17.8-13.2</v>
      </c>
      <c r="J172" s="1" t="str">
        <f>IFERROR(__xludf.DUMMYFUNCTION("""COMPUTED_VALUE"""),"11.8-4.2")</f>
        <v>11.8-4.2</v>
      </c>
      <c r="K172" s="2">
        <f>IFERROR(__xludf.DUMMYFUNCTION("""COMPUTED_VALUE"""),0.266)</f>
        <v>0.266</v>
      </c>
      <c r="L172" s="1" t="str">
        <f>IFERROR(__xludf.DUMMYFUNCTION("""COMPUTED_VALUE"""),"296th")</f>
        <v>296th</v>
      </c>
    </row>
    <row r="173">
      <c r="A173" s="1" t="str">
        <f>IFERROR(__xludf.DUMMYFUNCTION("""COMPUTED_VALUE"""),"Longwood Lancers")</f>
        <v>Longwood Lancers</v>
      </c>
      <c r="B173" s="1" t="str">
        <f>IFERROR(__xludf.DUMMYFUNCTION("""COMPUTED_VALUE"""),"Big South")</f>
        <v>Big South</v>
      </c>
      <c r="C173" s="1" t="str">
        <f>IFERROR(__xludf.DUMMYFUNCTION("""COMPUTED_VALUE"""),"14-6")</f>
        <v>14-6</v>
      </c>
      <c r="D173" s="1">
        <f>IFERROR(__xludf.DUMMYFUNCTION("""COMPUTED_VALUE"""),-0.9)</f>
        <v>-0.9</v>
      </c>
      <c r="E173" s="1">
        <f>IFERROR(__xludf.DUMMYFUNCTION("""COMPUTED_VALUE"""),170.0)</f>
        <v>170</v>
      </c>
      <c r="F173" s="1">
        <f>IFERROR(__xludf.DUMMYFUNCTION("""COMPUTED_VALUE"""),7.0)</f>
        <v>7</v>
      </c>
      <c r="G173" s="1">
        <f>IFERROR(__xludf.DUMMYFUNCTION("""COMPUTED_VALUE"""),-1.6)</f>
        <v>-1.6</v>
      </c>
      <c r="H173" s="1">
        <f>IFERROR(__xludf.DUMMYFUNCTION("""COMPUTED_VALUE"""),0.7)</f>
        <v>0.7</v>
      </c>
      <c r="I173" s="1" t="str">
        <f>IFERROR(__xludf.DUMMYFUNCTION("""COMPUTED_VALUE"""),"20.7-10.3")</f>
        <v>20.7-10.3</v>
      </c>
      <c r="J173" s="1" t="str">
        <f>IFERROR(__xludf.DUMMYFUNCTION("""COMPUTED_VALUE"""),"9.7-6.3")</f>
        <v>9.7-6.3</v>
      </c>
      <c r="K173" s="2">
        <f>IFERROR(__xludf.DUMMYFUNCTION("""COMPUTED_VALUE"""),0.095)</f>
        <v>0.095</v>
      </c>
      <c r="L173" s="1" t="str">
        <f>IFERROR(__xludf.DUMMYFUNCTION("""COMPUTED_VALUE"""),"230th")</f>
        <v>230th</v>
      </c>
    </row>
    <row r="174">
      <c r="A174" s="1" t="str">
        <f>IFERROR(__xludf.DUMMYFUNCTION("""COMPUTED_VALUE"""),"Winthrop Eagles")</f>
        <v>Winthrop Eagles</v>
      </c>
      <c r="B174" s="1" t="str">
        <f>IFERROR(__xludf.DUMMYFUNCTION("""COMPUTED_VALUE"""),"Big South")</f>
        <v>Big South</v>
      </c>
      <c r="C174" s="1" t="str">
        <f>IFERROR(__xludf.DUMMYFUNCTION("""COMPUTED_VALUE"""),"13-7")</f>
        <v>13-7</v>
      </c>
      <c r="D174" s="1">
        <f>IFERROR(__xludf.DUMMYFUNCTION("""COMPUTED_VALUE"""),-0.9)</f>
        <v>-0.9</v>
      </c>
      <c r="E174" s="1">
        <f>IFERROR(__xludf.DUMMYFUNCTION("""COMPUTED_VALUE"""),171.0)</f>
        <v>171</v>
      </c>
      <c r="F174" s="1">
        <f>IFERROR(__xludf.DUMMYFUNCTION("""COMPUTED_VALUE"""),11.0)</f>
        <v>11</v>
      </c>
      <c r="G174" s="1">
        <f>IFERROR(__xludf.DUMMYFUNCTION("""COMPUTED_VALUE"""),-0.1)</f>
        <v>-0.1</v>
      </c>
      <c r="H174" s="1">
        <f>IFERROR(__xludf.DUMMYFUNCTION("""COMPUTED_VALUE"""),-0.8)</f>
        <v>-0.8</v>
      </c>
      <c r="I174" s="1" t="str">
        <f>IFERROR(__xludf.DUMMYFUNCTION("""COMPUTED_VALUE"""),"19.0-12.0")</f>
        <v>19.0-12.0</v>
      </c>
      <c r="J174" s="1" t="str">
        <f>IFERROR(__xludf.DUMMYFUNCTION("""COMPUTED_VALUE"""),"9.0-7.0")</f>
        <v>9.0-7.0</v>
      </c>
      <c r="K174" s="2">
        <f>IFERROR(__xludf.DUMMYFUNCTION("""COMPUTED_VALUE"""),0.086)</f>
        <v>0.086</v>
      </c>
      <c r="L174" s="1" t="str">
        <f>IFERROR(__xludf.DUMMYFUNCTION("""COMPUTED_VALUE"""),"178th")</f>
        <v>178th</v>
      </c>
    </row>
    <row r="175">
      <c r="A175" s="1" t="str">
        <f>IFERROR(__xludf.DUMMYFUNCTION("""COMPUTED_VALUE"""),"Massachusetts Minutemen")</f>
        <v>Massachusetts Minutemen</v>
      </c>
      <c r="B175" s="1" t="str">
        <f>IFERROR(__xludf.DUMMYFUNCTION("""COMPUTED_VALUE"""),"A-10")</f>
        <v>A-10</v>
      </c>
      <c r="C175" s="3">
        <f>IFERROR(__xludf.DUMMYFUNCTION("""COMPUTED_VALUE"""),45849.0)</f>
        <v>45849</v>
      </c>
      <c r="D175" s="1">
        <f>IFERROR(__xludf.DUMMYFUNCTION("""COMPUTED_VALUE"""),-0.9)</f>
        <v>-0.9</v>
      </c>
      <c r="E175" s="1">
        <f>IFERROR(__xludf.DUMMYFUNCTION("""COMPUTED_VALUE"""),172.0)</f>
        <v>172</v>
      </c>
      <c r="F175" s="1">
        <f>IFERROR(__xludf.DUMMYFUNCTION("""COMPUTED_VALUE"""),11.0)</f>
        <v>11</v>
      </c>
      <c r="G175" s="1">
        <f>IFERROR(__xludf.DUMMYFUNCTION("""COMPUTED_VALUE"""),-1.7)</f>
        <v>-1.7</v>
      </c>
      <c r="H175" s="1">
        <f>IFERROR(__xludf.DUMMYFUNCTION("""COMPUTED_VALUE"""),0.8)</f>
        <v>0.8</v>
      </c>
      <c r="I175" s="1" t="str">
        <f>IFERROR(__xludf.DUMMYFUNCTION("""COMPUTED_VALUE"""),"11.5-19.5")</f>
        <v>11.5-19.5</v>
      </c>
      <c r="J175" s="1" t="str">
        <f>IFERROR(__xludf.DUMMYFUNCTION("""COMPUTED_VALUE"""),"6.5-11.5")</f>
        <v>6.5-11.5</v>
      </c>
      <c r="K175" s="1" t="str">
        <f>IFERROR(__xludf.DUMMYFUNCTION("""COMPUTED_VALUE"""),"&lt;0.1%")</f>
        <v>&lt;0.1%</v>
      </c>
      <c r="L175" s="1" t="str">
        <f>IFERROR(__xludf.DUMMYFUNCTION("""COMPUTED_VALUE"""),"97th")</f>
        <v>97th</v>
      </c>
    </row>
    <row r="176">
      <c r="A176" s="1" t="str">
        <f>IFERROR(__xludf.DUMMYFUNCTION("""COMPUTED_VALUE"""),"UNC Asheville Bulldogs")</f>
        <v>UNC Asheville Bulldogs</v>
      </c>
      <c r="B176" s="1" t="str">
        <f>IFERROR(__xludf.DUMMYFUNCTION("""COMPUTED_VALUE"""),"Big South")</f>
        <v>Big South</v>
      </c>
      <c r="C176" s="3">
        <f>IFERROR(__xludf.DUMMYFUNCTION("""COMPUTED_VALUE"""),45997.0)</f>
        <v>45997</v>
      </c>
      <c r="D176" s="1">
        <f>IFERROR(__xludf.DUMMYFUNCTION("""COMPUTED_VALUE"""),-0.9)</f>
        <v>-0.9</v>
      </c>
      <c r="E176" s="1">
        <f>IFERROR(__xludf.DUMMYFUNCTION("""COMPUTED_VALUE"""),173.0)</f>
        <v>173</v>
      </c>
      <c r="F176" s="1">
        <f>IFERROR(__xludf.DUMMYFUNCTION("""COMPUTED_VALUE"""),3.0)</f>
        <v>3</v>
      </c>
      <c r="G176" s="1">
        <f>IFERROR(__xludf.DUMMYFUNCTION("""COMPUTED_VALUE"""),1.7)</f>
        <v>1.7</v>
      </c>
      <c r="H176" s="1">
        <f>IFERROR(__xludf.DUMMYFUNCTION("""COMPUTED_VALUE"""),-2.6)</f>
        <v>-2.6</v>
      </c>
      <c r="I176" s="1" t="str">
        <f>IFERROR(__xludf.DUMMYFUNCTION("""COMPUTED_VALUE"""),"19.2-10.8")</f>
        <v>19.2-10.8</v>
      </c>
      <c r="J176" s="1" t="str">
        <f>IFERROR(__xludf.DUMMYFUNCTION("""COMPUTED_VALUE"""),"10.2-5.8")</f>
        <v>10.2-5.8</v>
      </c>
      <c r="K176" s="2">
        <f>IFERROR(__xludf.DUMMYFUNCTION("""COMPUTED_VALUE"""),0.094)</f>
        <v>0.094</v>
      </c>
      <c r="L176" s="1" t="str">
        <f>IFERROR(__xludf.DUMMYFUNCTION("""COMPUTED_VALUE"""),"223rd")</f>
        <v>223rd</v>
      </c>
    </row>
    <row r="177">
      <c r="A177" s="1" t="str">
        <f>IFERROR(__xludf.DUMMYFUNCTION("""COMPUTED_VALUE"""),"San José State Spartans")</f>
        <v>San José State Spartans</v>
      </c>
      <c r="B177" s="1" t="str">
        <f>IFERROR(__xludf.DUMMYFUNCTION("""COMPUTED_VALUE"""),"Mountain West")</f>
        <v>Mountain West</v>
      </c>
      <c r="C177" s="3">
        <f>IFERROR(__xludf.DUMMYFUNCTION("""COMPUTED_VALUE"""),45910.0)</f>
        <v>45910</v>
      </c>
      <c r="D177" s="1">
        <f>IFERROR(__xludf.DUMMYFUNCTION("""COMPUTED_VALUE"""),-1.0)</f>
        <v>-1</v>
      </c>
      <c r="E177" s="1">
        <f>IFERROR(__xludf.DUMMYFUNCTION("""COMPUTED_VALUE"""),174.0)</f>
        <v>174</v>
      </c>
      <c r="F177" s="1">
        <f>IFERROR(__xludf.DUMMYFUNCTION("""COMPUTED_VALUE"""),13.0)</f>
        <v>13</v>
      </c>
      <c r="G177" s="1">
        <f>IFERROR(__xludf.DUMMYFUNCTION("""COMPUTED_VALUE"""),0.8)</f>
        <v>0.8</v>
      </c>
      <c r="H177" s="1">
        <f>IFERROR(__xludf.DUMMYFUNCTION("""COMPUTED_VALUE"""),-1.8)</f>
        <v>-1.8</v>
      </c>
      <c r="I177" s="1" t="str">
        <f>IFERROR(__xludf.DUMMYFUNCTION("""COMPUTED_VALUE"""),"13.5-18.5")</f>
        <v>13.5-18.5</v>
      </c>
      <c r="J177" s="1" t="str">
        <f>IFERROR(__xludf.DUMMYFUNCTION("""COMPUTED_VALUE"""),"6.5-13.5")</f>
        <v>6.5-13.5</v>
      </c>
      <c r="K177" s="1" t="str">
        <f>IFERROR(__xludf.DUMMYFUNCTION("""COMPUTED_VALUE"""),"&lt;0.1%")</f>
        <v>&lt;0.1%</v>
      </c>
      <c r="L177" s="1" t="str">
        <f>IFERROR(__xludf.DUMMYFUNCTION("""COMPUTED_VALUE"""),"91st")</f>
        <v>91st</v>
      </c>
    </row>
    <row r="178">
      <c r="A178" s="1" t="str">
        <f>IFERROR(__xludf.DUMMYFUNCTION("""COMPUTED_VALUE"""),"Columbia Lions")</f>
        <v>Columbia Lions</v>
      </c>
      <c r="B178" s="1" t="str">
        <f>IFERROR(__xludf.DUMMYFUNCTION("""COMPUTED_VALUE"""),"Ivy")</f>
        <v>Ivy</v>
      </c>
      <c r="C178" s="3">
        <f>IFERROR(__xludf.DUMMYFUNCTION("""COMPUTED_VALUE"""),45964.0)</f>
        <v>45964</v>
      </c>
      <c r="D178" s="1">
        <f>IFERROR(__xludf.DUMMYFUNCTION("""COMPUTED_VALUE"""),-1.0)</f>
        <v>-1</v>
      </c>
      <c r="E178" s="1">
        <f>IFERROR(__xludf.DUMMYFUNCTION("""COMPUTED_VALUE"""),175.0)</f>
        <v>175</v>
      </c>
      <c r="F178" s="1">
        <f>IFERROR(__xludf.DUMMYFUNCTION("""COMPUTED_VALUE"""),14.0)</f>
        <v>14</v>
      </c>
      <c r="G178" s="1">
        <f>IFERROR(__xludf.DUMMYFUNCTION("""COMPUTED_VALUE"""),1.0)</f>
        <v>1</v>
      </c>
      <c r="H178" s="1">
        <f>IFERROR(__xludf.DUMMYFUNCTION("""COMPUTED_VALUE"""),-2.0)</f>
        <v>-2</v>
      </c>
      <c r="I178" s="1" t="str">
        <f>IFERROR(__xludf.DUMMYFUNCTION("""COMPUTED_VALUE"""),"17.4-9.6")</f>
        <v>17.4-9.6</v>
      </c>
      <c r="J178" s="1" t="str">
        <f>IFERROR(__xludf.DUMMYFUNCTION("""COMPUTED_VALUE"""),"6.4-7.6")</f>
        <v>6.4-7.6</v>
      </c>
      <c r="K178" s="2">
        <f>IFERROR(__xludf.DUMMYFUNCTION("""COMPUTED_VALUE"""),0.029)</f>
        <v>0.029</v>
      </c>
      <c r="L178" s="1" t="str">
        <f>IFERROR(__xludf.DUMMYFUNCTION("""COMPUTED_VALUE"""),"149th")</f>
        <v>149th</v>
      </c>
    </row>
    <row r="179">
      <c r="A179" s="1" t="str">
        <f>IFERROR(__xludf.DUMMYFUNCTION("""COMPUTED_VALUE"""),"Elon Phoenix")</f>
        <v>Elon Phoenix</v>
      </c>
      <c r="B179" s="1" t="str">
        <f>IFERROR(__xludf.DUMMYFUNCTION("""COMPUTED_VALUE"""),"CAA")</f>
        <v>CAA</v>
      </c>
      <c r="C179" s="1" t="str">
        <f>IFERROR(__xludf.DUMMYFUNCTION("""COMPUTED_VALUE"""),"13-5")</f>
        <v>13-5</v>
      </c>
      <c r="D179" s="1">
        <f>IFERROR(__xludf.DUMMYFUNCTION("""COMPUTED_VALUE"""),-1.0)</f>
        <v>-1</v>
      </c>
      <c r="E179" s="1">
        <f>IFERROR(__xludf.DUMMYFUNCTION("""COMPUTED_VALUE"""),176.0)</f>
        <v>176</v>
      </c>
      <c r="F179" s="1">
        <f>IFERROR(__xludf.DUMMYFUNCTION("""COMPUTED_VALUE"""),20.0)</f>
        <v>20</v>
      </c>
      <c r="G179" s="1">
        <f>IFERROR(__xludf.DUMMYFUNCTION("""COMPUTED_VALUE"""),0.0)</f>
        <v>0</v>
      </c>
      <c r="H179" s="1">
        <f>IFERROR(__xludf.DUMMYFUNCTION("""COMPUTED_VALUE"""),-1.1)</f>
        <v>-1.1</v>
      </c>
      <c r="I179" s="1" t="str">
        <f>IFERROR(__xludf.DUMMYFUNCTION("""COMPUTED_VALUE"""),"20.4-10.6")</f>
        <v>20.4-10.6</v>
      </c>
      <c r="J179" s="1" t="str">
        <f>IFERROR(__xludf.DUMMYFUNCTION("""COMPUTED_VALUE"""),"11.4-6.6")</f>
        <v>11.4-6.6</v>
      </c>
      <c r="K179" s="2">
        <f>IFERROR(__xludf.DUMMYFUNCTION("""COMPUTED_VALUE"""),0.085)</f>
        <v>0.085</v>
      </c>
      <c r="L179" s="1" t="str">
        <f>IFERROR(__xludf.DUMMYFUNCTION("""COMPUTED_VALUE"""),"191st")</f>
        <v>191st</v>
      </c>
    </row>
    <row r="180">
      <c r="A180" s="1" t="str">
        <f>IFERROR(__xludf.DUMMYFUNCTION("""COMPUTED_VALUE"""),"Montana State Bobcats")</f>
        <v>Montana State Bobcats</v>
      </c>
      <c r="B180" s="1" t="str">
        <f>IFERROR(__xludf.DUMMYFUNCTION("""COMPUTED_VALUE"""),"Big Sky")</f>
        <v>Big Sky</v>
      </c>
      <c r="C180" s="3">
        <f>IFERROR(__xludf.DUMMYFUNCTION("""COMPUTED_VALUE"""),45820.0)</f>
        <v>45820</v>
      </c>
      <c r="D180" s="1">
        <f>IFERROR(__xludf.DUMMYFUNCTION("""COMPUTED_VALUE"""),-1.1)</f>
        <v>-1.1</v>
      </c>
      <c r="E180" s="1">
        <f>IFERROR(__xludf.DUMMYFUNCTION("""COMPUTED_VALUE"""),177.0)</f>
        <v>177</v>
      </c>
      <c r="F180" s="1">
        <f>IFERROR(__xludf.DUMMYFUNCTION("""COMPUTED_VALUE"""),6.0)</f>
        <v>6</v>
      </c>
      <c r="G180" s="1">
        <f>IFERROR(__xludf.DUMMYFUNCTION("""COMPUTED_VALUE"""),-1.6)</f>
        <v>-1.6</v>
      </c>
      <c r="H180" s="1">
        <f>IFERROR(__xludf.DUMMYFUNCTION("""COMPUTED_VALUE"""),0.5)</f>
        <v>0.5</v>
      </c>
      <c r="I180" s="1" t="str">
        <f>IFERROR(__xludf.DUMMYFUNCTION("""COMPUTED_VALUE"""),"14.5-16.5")</f>
        <v>14.5-16.5</v>
      </c>
      <c r="J180" s="1" t="str">
        <f>IFERROR(__xludf.DUMMYFUNCTION("""COMPUTED_VALUE"""),"9.5-8.5")</f>
        <v>9.5-8.5</v>
      </c>
      <c r="K180" s="2">
        <f>IFERROR(__xludf.DUMMYFUNCTION("""COMPUTED_VALUE"""),0.351)</f>
        <v>0.351</v>
      </c>
      <c r="L180" s="1" t="str">
        <f>IFERROR(__xludf.DUMMYFUNCTION("""COMPUTED_VALUE"""),"281st")</f>
        <v>281st</v>
      </c>
    </row>
    <row r="181">
      <c r="A181" s="1" t="str">
        <f>IFERROR(__xludf.DUMMYFUNCTION("""COMPUTED_VALUE"""),"Toledo Rockets")</f>
        <v>Toledo Rockets</v>
      </c>
      <c r="B181" s="1" t="str">
        <f>IFERROR(__xludf.DUMMYFUNCTION("""COMPUTED_VALUE"""),"MAC")</f>
        <v>MAC</v>
      </c>
      <c r="C181" s="3">
        <f>IFERROR(__xludf.DUMMYFUNCTION("""COMPUTED_VALUE"""),45907.0)</f>
        <v>45907</v>
      </c>
      <c r="D181" s="1">
        <f>IFERROR(__xludf.DUMMYFUNCTION("""COMPUTED_VALUE"""),-1.1)</f>
        <v>-1.1</v>
      </c>
      <c r="E181" s="1">
        <f>IFERROR(__xludf.DUMMYFUNCTION("""COMPUTED_VALUE"""),178.0)</f>
        <v>178</v>
      </c>
      <c r="F181" s="1">
        <f>IFERROR(__xludf.DUMMYFUNCTION("""COMPUTED_VALUE"""),2.0)</f>
        <v>2</v>
      </c>
      <c r="G181" s="1">
        <f>IFERROR(__xludf.DUMMYFUNCTION("""COMPUTED_VALUE"""),1.6)</f>
        <v>1.6</v>
      </c>
      <c r="H181" s="1">
        <f>IFERROR(__xludf.DUMMYFUNCTION("""COMPUTED_VALUE"""),-2.6)</f>
        <v>-2.6</v>
      </c>
      <c r="I181" s="1" t="str">
        <f>IFERROR(__xludf.DUMMYFUNCTION("""COMPUTED_VALUE"""),"18.0-13.0")</f>
        <v>18.0-13.0</v>
      </c>
      <c r="J181" s="1" t="str">
        <f>IFERROR(__xludf.DUMMYFUNCTION("""COMPUTED_VALUE"""),"11.5-6.5")</f>
        <v>11.5-6.5</v>
      </c>
      <c r="K181" s="2">
        <f>IFERROR(__xludf.DUMMYFUNCTION("""COMPUTED_VALUE"""),0.103)</f>
        <v>0.103</v>
      </c>
      <c r="L181" s="1" t="str">
        <f>IFERROR(__xludf.DUMMYFUNCTION("""COMPUTED_VALUE"""),"228th")</f>
        <v>228th</v>
      </c>
    </row>
    <row r="182">
      <c r="A182" s="1" t="str">
        <f>IFERROR(__xludf.DUMMYFUNCTION("""COMPUTED_VALUE"""),"Cleveland State Vikings")</f>
        <v>Cleveland State Vikings</v>
      </c>
      <c r="B182" s="1" t="str">
        <f>IFERROR(__xludf.DUMMYFUNCTION("""COMPUTED_VALUE"""),"Horizon")</f>
        <v>Horizon</v>
      </c>
      <c r="C182" s="1" t="str">
        <f>IFERROR(__xludf.DUMMYFUNCTION("""COMPUTED_VALUE"""),"13-6")</f>
        <v>13-6</v>
      </c>
      <c r="D182" s="1">
        <f>IFERROR(__xludf.DUMMYFUNCTION("""COMPUTED_VALUE"""),-1.2)</f>
        <v>-1.2</v>
      </c>
      <c r="E182" s="1">
        <f>IFERROR(__xludf.DUMMYFUNCTION("""COMPUTED_VALUE"""),179.0)</f>
        <v>179</v>
      </c>
      <c r="F182" s="1">
        <f>IFERROR(__xludf.DUMMYFUNCTION("""COMPUTED_VALUE"""),18.0)</f>
        <v>18</v>
      </c>
      <c r="G182" s="1">
        <f>IFERROR(__xludf.DUMMYFUNCTION("""COMPUTED_VALUE"""),-2.1)</f>
        <v>-2.1</v>
      </c>
      <c r="H182" s="1">
        <f>IFERROR(__xludf.DUMMYFUNCTION("""COMPUTED_VALUE"""),1.0)</f>
        <v>1</v>
      </c>
      <c r="I182" s="1" t="str">
        <f>IFERROR(__xludf.DUMMYFUNCTION("""COMPUTED_VALUE"""),"20.4-10.6")</f>
        <v>20.4-10.6</v>
      </c>
      <c r="J182" s="1" t="str">
        <f>IFERROR(__xludf.DUMMYFUNCTION("""COMPUTED_VALUE"""),"14.4-5.6")</f>
        <v>14.4-5.6</v>
      </c>
      <c r="K182" s="2">
        <f>IFERROR(__xludf.DUMMYFUNCTION("""COMPUTED_VALUE"""),0.082)</f>
        <v>0.082</v>
      </c>
      <c r="L182" s="1" t="str">
        <f>IFERROR(__xludf.DUMMYFUNCTION("""COMPUTED_VALUE"""),"248th")</f>
        <v>248th</v>
      </c>
    </row>
    <row r="183">
      <c r="A183" s="1" t="str">
        <f>IFERROR(__xludf.DUMMYFUNCTION("""COMPUTED_VALUE"""),"Wright State Raiders")</f>
        <v>Wright State Raiders</v>
      </c>
      <c r="B183" s="1" t="str">
        <f>IFERROR(__xludf.DUMMYFUNCTION("""COMPUTED_VALUE"""),"Horizon")</f>
        <v>Horizon</v>
      </c>
      <c r="C183" s="3">
        <f>IFERROR(__xludf.DUMMYFUNCTION("""COMPUTED_VALUE"""),45910.0)</f>
        <v>45910</v>
      </c>
      <c r="D183" s="1">
        <f>IFERROR(__xludf.DUMMYFUNCTION("""COMPUTED_VALUE"""),-1.2)</f>
        <v>-1.2</v>
      </c>
      <c r="E183" s="1">
        <f>IFERROR(__xludf.DUMMYFUNCTION("""COMPUTED_VALUE"""),180.0)</f>
        <v>180</v>
      </c>
      <c r="F183" s="1">
        <f>IFERROR(__xludf.DUMMYFUNCTION("""COMPUTED_VALUE"""),5.0)</f>
        <v>5</v>
      </c>
      <c r="G183" s="1">
        <f>IFERROR(__xludf.DUMMYFUNCTION("""COMPUTED_VALUE"""),1.1)</f>
        <v>1.1</v>
      </c>
      <c r="H183" s="1">
        <f>IFERROR(__xludf.DUMMYFUNCTION("""COMPUTED_VALUE"""),-2.3)</f>
        <v>-2.3</v>
      </c>
      <c r="I183" s="1" t="str">
        <f>IFERROR(__xludf.DUMMYFUNCTION("""COMPUTED_VALUE"""),"16.5-14.5")</f>
        <v>16.5-14.5</v>
      </c>
      <c r="J183" s="1" t="str">
        <f>IFERROR(__xludf.DUMMYFUNCTION("""COMPUTED_VALUE"""),"10.5-9.5")</f>
        <v>10.5-9.5</v>
      </c>
      <c r="K183" s="2">
        <f>IFERROR(__xludf.DUMMYFUNCTION("""COMPUTED_VALUE"""),0.177)</f>
        <v>0.177</v>
      </c>
      <c r="L183" s="1" t="str">
        <f>IFERROR(__xludf.DUMMYFUNCTION("""COMPUTED_VALUE"""),"253rd")</f>
        <v>253rd</v>
      </c>
    </row>
    <row r="184">
      <c r="A184" s="1" t="str">
        <f>IFERROR(__xludf.DUMMYFUNCTION("""COMPUTED_VALUE"""),"Northeastern Huskies")</f>
        <v>Northeastern Huskies</v>
      </c>
      <c r="B184" s="1" t="str">
        <f>IFERROR(__xludf.DUMMYFUNCTION("""COMPUTED_VALUE"""),"CAA")</f>
        <v>CAA</v>
      </c>
      <c r="C184" s="3">
        <f>IFERROR(__xludf.DUMMYFUNCTION("""COMPUTED_VALUE"""),45938.0)</f>
        <v>45938</v>
      </c>
      <c r="D184" s="1">
        <f>IFERROR(__xludf.DUMMYFUNCTION("""COMPUTED_VALUE"""),-1.3)</f>
        <v>-1.3</v>
      </c>
      <c r="E184" s="1">
        <f>IFERROR(__xludf.DUMMYFUNCTION("""COMPUTED_VALUE"""),181.0)</f>
        <v>181</v>
      </c>
      <c r="F184" s="1">
        <f>IFERROR(__xludf.DUMMYFUNCTION("""COMPUTED_VALUE"""),1.0)</f>
        <v>1</v>
      </c>
      <c r="G184" s="1">
        <f>IFERROR(__xludf.DUMMYFUNCTION("""COMPUTED_VALUE"""),-1.7)</f>
        <v>-1.7</v>
      </c>
      <c r="H184" s="1">
        <f>IFERROR(__xludf.DUMMYFUNCTION("""COMPUTED_VALUE"""),0.5)</f>
        <v>0.5</v>
      </c>
      <c r="I184" s="1" t="str">
        <f>IFERROR(__xludf.DUMMYFUNCTION("""COMPUTED_VALUE"""),"17.4-13.6")</f>
        <v>17.4-13.6</v>
      </c>
      <c r="J184" s="1" t="str">
        <f>IFERROR(__xludf.DUMMYFUNCTION("""COMPUTED_VALUE"""),"9.4-8.6")</f>
        <v>9.4-8.6</v>
      </c>
      <c r="K184" s="2">
        <f>IFERROR(__xludf.DUMMYFUNCTION("""COMPUTED_VALUE"""),0.079)</f>
        <v>0.079</v>
      </c>
      <c r="L184" s="1" t="str">
        <f>IFERROR(__xludf.DUMMYFUNCTION("""COMPUTED_VALUE"""),"198th")</f>
        <v>198th</v>
      </c>
    </row>
    <row r="185">
      <c r="A185" s="1" t="str">
        <f>IFERROR(__xludf.DUMMYFUNCTION("""COMPUTED_VALUE"""),"UTEP Miners")</f>
        <v>UTEP Miners</v>
      </c>
      <c r="B185" s="1" t="str">
        <f>IFERROR(__xludf.DUMMYFUNCTION("""COMPUTED_VALUE"""),"CUSA")</f>
        <v>CUSA</v>
      </c>
      <c r="C185" s="1" t="str">
        <f>IFERROR(__xludf.DUMMYFUNCTION("""COMPUTED_VALUE"""),"13-4")</f>
        <v>13-4</v>
      </c>
      <c r="D185" s="1">
        <f>IFERROR(__xludf.DUMMYFUNCTION("""COMPUTED_VALUE"""),-1.4)</f>
        <v>-1.4</v>
      </c>
      <c r="E185" s="1">
        <f>IFERROR(__xludf.DUMMYFUNCTION("""COMPUTED_VALUE"""),182.0)</f>
        <v>182</v>
      </c>
      <c r="F185" s="1">
        <f>IFERROR(__xludf.DUMMYFUNCTION("""COMPUTED_VALUE"""),15.0)</f>
        <v>15</v>
      </c>
      <c r="G185" s="1">
        <f>IFERROR(__xludf.DUMMYFUNCTION("""COMPUTED_VALUE"""),-3.9)</f>
        <v>-3.9</v>
      </c>
      <c r="H185" s="1">
        <f>IFERROR(__xludf.DUMMYFUNCTION("""COMPUTED_VALUE"""),2.4)</f>
        <v>2.4</v>
      </c>
      <c r="I185" s="1" t="str">
        <f>IFERROR(__xludf.DUMMYFUNCTION("""COMPUTED_VALUE"""),"19.6-11.4")</f>
        <v>19.6-11.4</v>
      </c>
      <c r="J185" s="1" t="str">
        <f>IFERROR(__xludf.DUMMYFUNCTION("""COMPUTED_VALUE"""),"9.6-8.4")</f>
        <v>9.6-8.4</v>
      </c>
      <c r="K185" s="2">
        <f>IFERROR(__xludf.DUMMYFUNCTION("""COMPUTED_VALUE"""),0.027)</f>
        <v>0.027</v>
      </c>
      <c r="L185" s="1" t="str">
        <f>IFERROR(__xludf.DUMMYFUNCTION("""COMPUTED_VALUE"""),"147th")</f>
        <v>147th</v>
      </c>
    </row>
    <row r="186">
      <c r="A186" s="1" t="str">
        <f>IFERROR(__xludf.DUMMYFUNCTION("""COMPUTED_VALUE"""),"Wyoming Cowboys")</f>
        <v>Wyoming Cowboys</v>
      </c>
      <c r="B186" s="1" t="str">
        <f>IFERROR(__xludf.DUMMYFUNCTION("""COMPUTED_VALUE"""),"Mountain West")</f>
        <v>Mountain West</v>
      </c>
      <c r="C186" s="3">
        <f>IFERROR(__xludf.DUMMYFUNCTION("""COMPUTED_VALUE"""),45908.0)</f>
        <v>45908</v>
      </c>
      <c r="D186" s="1">
        <f>IFERROR(__xludf.DUMMYFUNCTION("""COMPUTED_VALUE"""),-1.4)</f>
        <v>-1.4</v>
      </c>
      <c r="E186" s="1">
        <f>IFERROR(__xludf.DUMMYFUNCTION("""COMPUTED_VALUE"""),183.0)</f>
        <v>183</v>
      </c>
      <c r="F186" s="1">
        <f>IFERROR(__xludf.DUMMYFUNCTION("""COMPUTED_VALUE"""),24.0)</f>
        <v>24</v>
      </c>
      <c r="G186" s="1">
        <f>IFERROR(__xludf.DUMMYFUNCTION("""COMPUTED_VALUE"""),-1.4)</f>
        <v>-1.4</v>
      </c>
      <c r="H186" s="1">
        <f>IFERROR(__xludf.DUMMYFUNCTION("""COMPUTED_VALUE"""),0.0)</f>
        <v>0</v>
      </c>
      <c r="I186" s="1" t="str">
        <f>IFERROR(__xludf.DUMMYFUNCTION("""COMPUTED_VALUE"""),"13.7-17.3")</f>
        <v>13.7-17.3</v>
      </c>
      <c r="J186" s="1" t="str">
        <f>IFERROR(__xludf.DUMMYFUNCTION("""COMPUTED_VALUE"""),"6.7-13.3")</f>
        <v>6.7-13.3</v>
      </c>
      <c r="K186" s="1" t="str">
        <f>IFERROR(__xludf.DUMMYFUNCTION("""COMPUTED_VALUE"""),"&lt;0.1%")</f>
        <v>&lt;0.1%</v>
      </c>
      <c r="L186" s="1" t="str">
        <f>IFERROR(__xludf.DUMMYFUNCTION("""COMPUTED_VALUE"""),"90th")</f>
        <v>90th</v>
      </c>
    </row>
    <row r="187">
      <c r="A187" s="1" t="str">
        <f>IFERROR(__xludf.DUMMYFUNCTION("""COMPUTED_VALUE"""),"UT Arlington Mavericks")</f>
        <v>UT Arlington Mavericks</v>
      </c>
      <c r="B187" s="1" t="str">
        <f>IFERROR(__xludf.DUMMYFUNCTION("""COMPUTED_VALUE"""),"WAC")</f>
        <v>WAC</v>
      </c>
      <c r="C187" s="3">
        <f>IFERROR(__xludf.DUMMYFUNCTION("""COMPUTED_VALUE"""),45849.0)</f>
        <v>45849</v>
      </c>
      <c r="D187" s="1">
        <f>IFERROR(__xludf.DUMMYFUNCTION("""COMPUTED_VALUE"""),-1.4)</f>
        <v>-1.4</v>
      </c>
      <c r="E187" s="1">
        <f>IFERROR(__xludf.DUMMYFUNCTION("""COMPUTED_VALUE"""),184.0)</f>
        <v>184</v>
      </c>
      <c r="F187" s="1">
        <f>IFERROR(__xludf.DUMMYFUNCTION("""COMPUTED_VALUE"""),10.0)</f>
        <v>10</v>
      </c>
      <c r="G187" s="1">
        <f>IFERROR(__xludf.DUMMYFUNCTION("""COMPUTED_VALUE"""),-0.5)</f>
        <v>-0.5</v>
      </c>
      <c r="H187" s="1">
        <f>IFERROR(__xludf.DUMMYFUNCTION("""COMPUTED_VALUE"""),-1.0)</f>
        <v>-1</v>
      </c>
      <c r="I187" s="1" t="str">
        <f>IFERROR(__xludf.DUMMYFUNCTION("""COMPUTED_VALUE"""),"13.5-16.5")</f>
        <v>13.5-16.5</v>
      </c>
      <c r="J187" s="1" t="str">
        <f>IFERROR(__xludf.DUMMYFUNCTION("""COMPUTED_VALUE"""),"6.5-9.5")</f>
        <v>6.5-9.5</v>
      </c>
      <c r="K187" s="2">
        <f>IFERROR(__xludf.DUMMYFUNCTION("""COMPUTED_VALUE"""),0.055)</f>
        <v>0.055</v>
      </c>
      <c r="L187" s="1" t="str">
        <f>IFERROR(__xludf.DUMMYFUNCTION("""COMPUTED_VALUE"""),"181st")</f>
        <v>181st</v>
      </c>
    </row>
    <row r="188">
      <c r="A188" s="1" t="str">
        <f>IFERROR(__xludf.DUMMYFUNCTION("""COMPUTED_VALUE"""),"Vermont Catamounts")</f>
        <v>Vermont Catamounts</v>
      </c>
      <c r="B188" s="1" t="str">
        <f>IFERROR(__xludf.DUMMYFUNCTION("""COMPUTED_VALUE"""),"Am. East")</f>
        <v>Am. East</v>
      </c>
      <c r="C188" s="3">
        <f>IFERROR(__xludf.DUMMYFUNCTION("""COMPUTED_VALUE"""),45939.0)</f>
        <v>45939</v>
      </c>
      <c r="D188" s="1">
        <f>IFERROR(__xludf.DUMMYFUNCTION("""COMPUTED_VALUE"""),-1.5)</f>
        <v>-1.5</v>
      </c>
      <c r="E188" s="1">
        <f>IFERROR(__xludf.DUMMYFUNCTION("""COMPUTED_VALUE"""),185.0)</f>
        <v>185</v>
      </c>
      <c r="F188" s="1">
        <f>IFERROR(__xludf.DUMMYFUNCTION("""COMPUTED_VALUE"""),17.0)</f>
        <v>17</v>
      </c>
      <c r="G188" s="1">
        <f>IFERROR(__xludf.DUMMYFUNCTION("""COMPUTED_VALUE"""),-4.3)</f>
        <v>-4.3</v>
      </c>
      <c r="H188" s="1">
        <f>IFERROR(__xludf.DUMMYFUNCTION("""COMPUTED_VALUE"""),2.8)</f>
        <v>2.8</v>
      </c>
      <c r="I188" s="1" t="str">
        <f>IFERROR(__xludf.DUMMYFUNCTION("""COMPUTED_VALUE"""),"18.1-12.9")</f>
        <v>18.1-12.9</v>
      </c>
      <c r="J188" s="1" t="str">
        <f>IFERROR(__xludf.DUMMYFUNCTION("""COMPUTED_VALUE"""),"11.1-4.9")</f>
        <v>11.1-4.9</v>
      </c>
      <c r="K188" s="2">
        <f>IFERROR(__xludf.DUMMYFUNCTION("""COMPUTED_VALUE"""),0.272)</f>
        <v>0.272</v>
      </c>
      <c r="L188" s="1" t="str">
        <f>IFERROR(__xludf.DUMMYFUNCTION("""COMPUTED_VALUE"""),"303rd")</f>
        <v>303rd</v>
      </c>
    </row>
    <row r="189">
      <c r="A189" s="1" t="str">
        <f>IFERROR(__xludf.DUMMYFUNCTION("""COMPUTED_VALUE"""),"Belmont Bruins")</f>
        <v>Belmont Bruins</v>
      </c>
      <c r="B189" s="1" t="str">
        <f>IFERROR(__xludf.DUMMYFUNCTION("""COMPUTED_VALUE"""),"MVC")</f>
        <v>MVC</v>
      </c>
      <c r="C189" s="1" t="str">
        <f>IFERROR(__xludf.DUMMYFUNCTION("""COMPUTED_VALUE"""),"13-5")</f>
        <v>13-5</v>
      </c>
      <c r="D189" s="1">
        <f>IFERROR(__xludf.DUMMYFUNCTION("""COMPUTED_VALUE"""),-1.5)</f>
        <v>-1.5</v>
      </c>
      <c r="E189" s="1">
        <f>IFERROR(__xludf.DUMMYFUNCTION("""COMPUTED_VALUE"""),186.0)</f>
        <v>186</v>
      </c>
      <c r="F189" s="1">
        <f>IFERROR(__xludf.DUMMYFUNCTION("""COMPUTED_VALUE"""),12.0)</f>
        <v>12</v>
      </c>
      <c r="G189" s="1">
        <f>IFERROR(__xludf.DUMMYFUNCTION("""COMPUTED_VALUE"""),0.4)</f>
        <v>0.4</v>
      </c>
      <c r="H189" s="1">
        <f>IFERROR(__xludf.DUMMYFUNCTION("""COMPUTED_VALUE"""),-1.9)</f>
        <v>-1.9</v>
      </c>
      <c r="I189" s="1" t="str">
        <f>IFERROR(__xludf.DUMMYFUNCTION("""COMPUTED_VALUE"""),"18.9-12.1")</f>
        <v>18.9-12.1</v>
      </c>
      <c r="J189" s="1" t="str">
        <f>IFERROR(__xludf.DUMMYFUNCTION("""COMPUTED_VALUE"""),"10.9-9.1")</f>
        <v>10.9-9.1</v>
      </c>
      <c r="K189" s="2">
        <f>IFERROR(__xludf.DUMMYFUNCTION("""COMPUTED_VALUE"""),0.002)</f>
        <v>0.002</v>
      </c>
      <c r="L189" s="1" t="str">
        <f>IFERROR(__xludf.DUMMYFUNCTION("""COMPUTED_VALUE"""),"138th")</f>
        <v>138th</v>
      </c>
    </row>
    <row r="190">
      <c r="A190" s="1" t="str">
        <f>IFERROR(__xludf.DUMMYFUNCTION("""COMPUTED_VALUE"""),"Hofstra Pride")</f>
        <v>Hofstra Pride</v>
      </c>
      <c r="B190" s="1" t="str">
        <f>IFERROR(__xludf.DUMMYFUNCTION("""COMPUTED_VALUE"""),"CAA")</f>
        <v>CAA</v>
      </c>
      <c r="C190" s="3">
        <f>IFERROR(__xludf.DUMMYFUNCTION("""COMPUTED_VALUE"""),45938.0)</f>
        <v>45938</v>
      </c>
      <c r="D190" s="1">
        <f>IFERROR(__xludf.DUMMYFUNCTION("""COMPUTED_VALUE"""),-1.5)</f>
        <v>-1.5</v>
      </c>
      <c r="E190" s="1">
        <f>IFERROR(__xludf.DUMMYFUNCTION("""COMPUTED_VALUE"""),187.0)</f>
        <v>187</v>
      </c>
      <c r="F190" s="1">
        <f>IFERROR(__xludf.DUMMYFUNCTION("""COMPUTED_VALUE"""),2.0)</f>
        <v>2</v>
      </c>
      <c r="G190" s="1">
        <f>IFERROR(__xludf.DUMMYFUNCTION("""COMPUTED_VALUE"""),-4.8)</f>
        <v>-4.8</v>
      </c>
      <c r="H190" s="1">
        <f>IFERROR(__xludf.DUMMYFUNCTION("""COMPUTED_VALUE"""),3.3)</f>
        <v>3.3</v>
      </c>
      <c r="I190" s="1" t="str">
        <f>IFERROR(__xludf.DUMMYFUNCTION("""COMPUTED_VALUE"""),"17.9-13.1")</f>
        <v>17.9-13.1</v>
      </c>
      <c r="J190" s="1" t="str">
        <f>IFERROR(__xludf.DUMMYFUNCTION("""COMPUTED_VALUE"""),"9.9-8.1")</f>
        <v>9.9-8.1</v>
      </c>
      <c r="K190" s="2">
        <f>IFERROR(__xludf.DUMMYFUNCTION("""COMPUTED_VALUE"""),0.074)</f>
        <v>0.074</v>
      </c>
      <c r="L190" s="1" t="str">
        <f>IFERROR(__xludf.DUMMYFUNCTION("""COMPUTED_VALUE"""),"250th")</f>
        <v>250th</v>
      </c>
    </row>
    <row r="191">
      <c r="A191" s="1" t="str">
        <f>IFERROR(__xludf.DUMMYFUNCTION("""COMPUTED_VALUE"""),"Drexel Dragons")</f>
        <v>Drexel Dragons</v>
      </c>
      <c r="B191" s="1" t="str">
        <f>IFERROR(__xludf.DUMMYFUNCTION("""COMPUTED_VALUE"""),"CAA")</f>
        <v>CAA</v>
      </c>
      <c r="C191" s="3">
        <f>IFERROR(__xludf.DUMMYFUNCTION("""COMPUTED_VALUE"""),45938.0)</f>
        <v>45938</v>
      </c>
      <c r="D191" s="1">
        <f>IFERROR(__xludf.DUMMYFUNCTION("""COMPUTED_VALUE"""),-1.5)</f>
        <v>-1.5</v>
      </c>
      <c r="E191" s="1">
        <f>IFERROR(__xludf.DUMMYFUNCTION("""COMPUTED_VALUE"""),188.0)</f>
        <v>188</v>
      </c>
      <c r="F191" s="1">
        <f>IFERROR(__xludf.DUMMYFUNCTION("""COMPUTED_VALUE"""),28.0)</f>
        <v>28</v>
      </c>
      <c r="G191" s="1">
        <f>IFERROR(__xludf.DUMMYFUNCTION("""COMPUTED_VALUE"""),-2.4)</f>
        <v>-2.4</v>
      </c>
      <c r="H191" s="1">
        <f>IFERROR(__xludf.DUMMYFUNCTION("""COMPUTED_VALUE"""),0.9)</f>
        <v>0.9</v>
      </c>
      <c r="I191" s="1" t="str">
        <f>IFERROR(__xludf.DUMMYFUNCTION("""COMPUTED_VALUE"""),"17.0-14.0")</f>
        <v>17.0-14.0</v>
      </c>
      <c r="J191" s="1" t="str">
        <f>IFERROR(__xludf.DUMMYFUNCTION("""COMPUTED_VALUE"""),"9.0-9.0")</f>
        <v>9.0-9.0</v>
      </c>
      <c r="K191" s="2">
        <f>IFERROR(__xludf.DUMMYFUNCTION("""COMPUTED_VALUE"""),0.085)</f>
        <v>0.085</v>
      </c>
      <c r="L191" s="1" t="str">
        <f>IFERROR(__xludf.DUMMYFUNCTION("""COMPUTED_VALUE"""),"187th")</f>
        <v>187th</v>
      </c>
    </row>
    <row r="192">
      <c r="A192" s="1" t="str">
        <f>IFERROR(__xludf.DUMMYFUNCTION("""COMPUTED_VALUE"""),"Youngstown State Penguins")</f>
        <v>Youngstown State Penguins</v>
      </c>
      <c r="B192" s="1" t="str">
        <f>IFERROR(__xludf.DUMMYFUNCTION("""COMPUTED_VALUE"""),"Horizon")</f>
        <v>Horizon</v>
      </c>
      <c r="C192" s="3">
        <f>IFERROR(__xludf.DUMMYFUNCTION("""COMPUTED_VALUE"""),45969.0)</f>
        <v>45969</v>
      </c>
      <c r="D192" s="1">
        <f>IFERROR(__xludf.DUMMYFUNCTION("""COMPUTED_VALUE"""),-1.5)</f>
        <v>-1.5</v>
      </c>
      <c r="E192" s="1">
        <f>IFERROR(__xludf.DUMMYFUNCTION("""COMPUTED_VALUE"""),189.0)</f>
        <v>189</v>
      </c>
      <c r="F192" s="1">
        <f>IFERROR(__xludf.DUMMYFUNCTION("""COMPUTED_VALUE"""),20.0)</f>
        <v>20</v>
      </c>
      <c r="G192" s="1">
        <f>IFERROR(__xludf.DUMMYFUNCTION("""COMPUTED_VALUE"""),-4.5)</f>
        <v>-4.5</v>
      </c>
      <c r="H192" s="1">
        <f>IFERROR(__xludf.DUMMYFUNCTION("""COMPUTED_VALUE"""),2.9)</f>
        <v>2.9</v>
      </c>
      <c r="I192" s="1" t="str">
        <f>IFERROR(__xludf.DUMMYFUNCTION("""COMPUTED_VALUE"""),"18.9-12.1")</f>
        <v>18.9-12.1</v>
      </c>
      <c r="J192" s="1" t="str">
        <f>IFERROR(__xludf.DUMMYFUNCTION("""COMPUTED_VALUE"""),"12.9-7.1")</f>
        <v>12.9-7.1</v>
      </c>
      <c r="K192" s="2">
        <f>IFERROR(__xludf.DUMMYFUNCTION("""COMPUTED_VALUE"""),0.114)</f>
        <v>0.114</v>
      </c>
      <c r="L192" s="1" t="str">
        <f>IFERROR(__xludf.DUMMYFUNCTION("""COMPUTED_VALUE"""),"298th")</f>
        <v>298th</v>
      </c>
    </row>
    <row r="193">
      <c r="A193" s="1" t="str">
        <f>IFERROR(__xludf.DUMMYFUNCTION("""COMPUTED_VALUE"""),"Indiana State Sycamores")</f>
        <v>Indiana State Sycamores</v>
      </c>
      <c r="B193" s="1" t="str">
        <f>IFERROR(__xludf.DUMMYFUNCTION("""COMPUTED_VALUE"""),"MVC")</f>
        <v>MVC</v>
      </c>
      <c r="C193" s="3">
        <f>IFERROR(__xludf.DUMMYFUNCTION("""COMPUTED_VALUE"""),45909.0)</f>
        <v>45909</v>
      </c>
      <c r="D193" s="1">
        <f>IFERROR(__xludf.DUMMYFUNCTION("""COMPUTED_VALUE"""),-1.6)</f>
        <v>-1.6</v>
      </c>
      <c r="E193" s="1">
        <f>IFERROR(__xludf.DUMMYFUNCTION("""COMPUTED_VALUE"""),190.0)</f>
        <v>190</v>
      </c>
      <c r="F193" s="1">
        <f>IFERROR(__xludf.DUMMYFUNCTION("""COMPUTED_VALUE"""),40.0)</f>
        <v>40</v>
      </c>
      <c r="G193" s="1">
        <f>IFERROR(__xludf.DUMMYFUNCTION("""COMPUTED_VALUE"""),0.8)</f>
        <v>0.8</v>
      </c>
      <c r="H193" s="1">
        <f>IFERROR(__xludf.DUMMYFUNCTION("""COMPUTED_VALUE"""),-2.4)</f>
        <v>-2.4</v>
      </c>
      <c r="I193" s="1" t="str">
        <f>IFERROR(__xludf.DUMMYFUNCTION("""COMPUTED_VALUE"""),"14.5-16.5")</f>
        <v>14.5-16.5</v>
      </c>
      <c r="J193" s="1" t="str">
        <f>IFERROR(__xludf.DUMMYFUNCTION("""COMPUTED_VALUE"""),"8.5-11.5")</f>
        <v>8.5-11.5</v>
      </c>
      <c r="K193" s="2">
        <f>IFERROR(__xludf.DUMMYFUNCTION("""COMPUTED_VALUE"""),0.003)</f>
        <v>0.003</v>
      </c>
      <c r="L193" s="1" t="str">
        <f>IFERROR(__xludf.DUMMYFUNCTION("""COMPUTED_VALUE"""),"130th")</f>
        <v>130th</v>
      </c>
    </row>
    <row r="194">
      <c r="A194" s="1" t="str">
        <f>IFERROR(__xludf.DUMMYFUNCTION("""COMPUTED_VALUE"""),"California Baptist Lancers")</f>
        <v>California Baptist Lancers</v>
      </c>
      <c r="B194" s="1" t="str">
        <f>IFERROR(__xludf.DUMMYFUNCTION("""COMPUTED_VALUE"""),"WAC")</f>
        <v>WAC</v>
      </c>
      <c r="C194" s="3">
        <f>IFERROR(__xludf.DUMMYFUNCTION("""COMPUTED_VALUE"""),45878.0)</f>
        <v>45878</v>
      </c>
      <c r="D194" s="1">
        <f>IFERROR(__xludf.DUMMYFUNCTION("""COMPUTED_VALUE"""),-1.6)</f>
        <v>-1.6</v>
      </c>
      <c r="E194" s="1">
        <f>IFERROR(__xludf.DUMMYFUNCTION("""COMPUTED_VALUE"""),191.0)</f>
        <v>191</v>
      </c>
      <c r="F194" s="1">
        <f>IFERROR(__xludf.DUMMYFUNCTION("""COMPUTED_VALUE"""),12.0)</f>
        <v>12</v>
      </c>
      <c r="G194" s="1">
        <f>IFERROR(__xludf.DUMMYFUNCTION("""COMPUTED_VALUE"""),0.3)</f>
        <v>0.3</v>
      </c>
      <c r="H194" s="1">
        <f>IFERROR(__xludf.DUMMYFUNCTION("""COMPUTED_VALUE"""),-1.9)</f>
        <v>-1.9</v>
      </c>
      <c r="I194" s="1" t="str">
        <f>IFERROR(__xludf.DUMMYFUNCTION("""COMPUTED_VALUE"""),"15.3-14.7")</f>
        <v>15.3-14.7</v>
      </c>
      <c r="J194" s="1" t="str">
        <f>IFERROR(__xludf.DUMMYFUNCTION("""COMPUTED_VALUE"""),"8.3-7.7")</f>
        <v>8.3-7.7</v>
      </c>
      <c r="K194" s="2">
        <f>IFERROR(__xludf.DUMMYFUNCTION("""COMPUTED_VALUE"""),0.044)</f>
        <v>0.044</v>
      </c>
      <c r="L194" s="1" t="str">
        <f>IFERROR(__xludf.DUMMYFUNCTION("""COMPUTED_VALUE"""),"209th")</f>
        <v>209th</v>
      </c>
    </row>
    <row r="195">
      <c r="A195" s="1" t="str">
        <f>IFERROR(__xludf.DUMMYFUNCTION("""COMPUTED_VALUE"""),"Nicholls Colonels")</f>
        <v>Nicholls Colonels</v>
      </c>
      <c r="B195" s="1" t="str">
        <f>IFERROR(__xludf.DUMMYFUNCTION("""COMPUTED_VALUE"""),"Southland")</f>
        <v>Southland</v>
      </c>
      <c r="C195" s="3">
        <f>IFERROR(__xludf.DUMMYFUNCTION("""COMPUTED_VALUE"""),45937.0)</f>
        <v>45937</v>
      </c>
      <c r="D195" s="1">
        <f>IFERROR(__xludf.DUMMYFUNCTION("""COMPUTED_VALUE"""),-1.6)</f>
        <v>-1.6</v>
      </c>
      <c r="E195" s="1">
        <f>IFERROR(__xludf.DUMMYFUNCTION("""COMPUTED_VALUE"""),192.0)</f>
        <v>192</v>
      </c>
      <c r="F195" s="1">
        <f>IFERROR(__xludf.DUMMYFUNCTION("""COMPUTED_VALUE"""),2.0)</f>
        <v>2</v>
      </c>
      <c r="G195" s="1">
        <f>IFERROR(__xludf.DUMMYFUNCTION("""COMPUTED_VALUE"""),-2.1)</f>
        <v>-2.1</v>
      </c>
      <c r="H195" s="1">
        <f>IFERROR(__xludf.DUMMYFUNCTION("""COMPUTED_VALUE"""),0.4)</f>
        <v>0.4</v>
      </c>
      <c r="I195" s="1" t="str">
        <f>IFERROR(__xludf.DUMMYFUNCTION("""COMPUTED_VALUE"""),"18.6-12.4")</f>
        <v>18.6-12.4</v>
      </c>
      <c r="J195" s="1" t="str">
        <f>IFERROR(__xludf.DUMMYFUNCTION("""COMPUTED_VALUE"""),"12.6-7.4")</f>
        <v>12.6-7.4</v>
      </c>
      <c r="K195" s="2">
        <f>IFERROR(__xludf.DUMMYFUNCTION("""COMPUTED_VALUE"""),0.017)</f>
        <v>0.017</v>
      </c>
      <c r="L195" s="1" t="str">
        <f>IFERROR(__xludf.DUMMYFUNCTION("""COMPUTED_VALUE"""),"261st")</f>
        <v>261st</v>
      </c>
    </row>
    <row r="196">
      <c r="A196" s="1" t="str">
        <f>IFERROR(__xludf.DUMMYFUNCTION("""COMPUTED_VALUE"""),"Valparaiso Beacons")</f>
        <v>Valparaiso Beacons</v>
      </c>
      <c r="B196" s="1" t="str">
        <f>IFERROR(__xludf.DUMMYFUNCTION("""COMPUTED_VALUE"""),"MVC")</f>
        <v>MVC</v>
      </c>
      <c r="C196" s="3">
        <f>IFERROR(__xludf.DUMMYFUNCTION("""COMPUTED_VALUE"""),45938.0)</f>
        <v>45938</v>
      </c>
      <c r="D196" s="1">
        <f>IFERROR(__xludf.DUMMYFUNCTION("""COMPUTED_VALUE"""),-1.6)</f>
        <v>-1.6</v>
      </c>
      <c r="E196" s="1">
        <f>IFERROR(__xludf.DUMMYFUNCTION("""COMPUTED_VALUE"""),193.0)</f>
        <v>193</v>
      </c>
      <c r="F196" s="1">
        <f>IFERROR(__xludf.DUMMYFUNCTION("""COMPUTED_VALUE"""),7.0)</f>
        <v>7</v>
      </c>
      <c r="G196" s="1">
        <f>IFERROR(__xludf.DUMMYFUNCTION("""COMPUTED_VALUE"""),-1.0)</f>
        <v>-1</v>
      </c>
      <c r="H196" s="1">
        <f>IFERROR(__xludf.DUMMYFUNCTION("""COMPUTED_VALUE"""),-0.7)</f>
        <v>-0.7</v>
      </c>
      <c r="I196" s="1" t="str">
        <f>IFERROR(__xludf.DUMMYFUNCTION("""COMPUTED_VALUE"""),"16.1-14.9")</f>
        <v>16.1-14.9</v>
      </c>
      <c r="J196" s="1" t="str">
        <f>IFERROR(__xludf.DUMMYFUNCTION("""COMPUTED_VALUE"""),"9.1-10.9")</f>
        <v>9.1-10.9</v>
      </c>
      <c r="K196" s="2">
        <f>IFERROR(__xludf.DUMMYFUNCTION("""COMPUTED_VALUE"""),0.004)</f>
        <v>0.004</v>
      </c>
      <c r="L196" s="1" t="str">
        <f>IFERROR(__xludf.DUMMYFUNCTION("""COMPUTED_VALUE"""),"151st")</f>
        <v>151st</v>
      </c>
    </row>
    <row r="197">
      <c r="A197" s="1" t="str">
        <f>IFERROR(__xludf.DUMMYFUNCTION("""COMPUTED_VALUE"""),"Brown Bears")</f>
        <v>Brown Bears</v>
      </c>
      <c r="B197" s="1" t="str">
        <f>IFERROR(__xludf.DUMMYFUNCTION("""COMPUTED_VALUE"""),"Ivy")</f>
        <v>Ivy</v>
      </c>
      <c r="C197" s="3">
        <f>IFERROR(__xludf.DUMMYFUNCTION("""COMPUTED_VALUE"""),45875.0)</f>
        <v>45875</v>
      </c>
      <c r="D197" s="1">
        <f>IFERROR(__xludf.DUMMYFUNCTION("""COMPUTED_VALUE"""),-1.7)</f>
        <v>-1.7</v>
      </c>
      <c r="E197" s="1">
        <f>IFERROR(__xludf.DUMMYFUNCTION("""COMPUTED_VALUE"""),194.0)</f>
        <v>194</v>
      </c>
      <c r="F197" s="1">
        <f>IFERROR(__xludf.DUMMYFUNCTION("""COMPUTED_VALUE"""),13.0)</f>
        <v>13</v>
      </c>
      <c r="G197" s="1">
        <f>IFERROR(__xludf.DUMMYFUNCTION("""COMPUTED_VALUE"""),-1.6)</f>
        <v>-1.6</v>
      </c>
      <c r="H197" s="1">
        <f>IFERROR(__xludf.DUMMYFUNCTION("""COMPUTED_VALUE"""),0.0)</f>
        <v>0</v>
      </c>
      <c r="I197" s="1" t="str">
        <f>IFERROR(__xludf.DUMMYFUNCTION("""COMPUTED_VALUE"""),"14.5-12.5")</f>
        <v>14.5-12.5</v>
      </c>
      <c r="J197" s="1" t="str">
        <f>IFERROR(__xludf.DUMMYFUNCTION("""COMPUTED_VALUE"""),"6.5-7.5")</f>
        <v>6.5-7.5</v>
      </c>
      <c r="K197" s="2">
        <f>IFERROR(__xludf.DUMMYFUNCTION("""COMPUTED_VALUE"""),0.021)</f>
        <v>0.021</v>
      </c>
      <c r="L197" s="1" t="str">
        <f>IFERROR(__xludf.DUMMYFUNCTION("""COMPUTED_VALUE"""),"161st")</f>
        <v>161st</v>
      </c>
    </row>
    <row r="198">
      <c r="A198" s="1" t="str">
        <f>IFERROR(__xludf.DUMMYFUNCTION("""COMPUTED_VALUE"""),"Chattanooga Mocs")</f>
        <v>Chattanooga Mocs</v>
      </c>
      <c r="B198" s="1" t="str">
        <f>IFERROR(__xludf.DUMMYFUNCTION("""COMPUTED_VALUE"""),"SoCon")</f>
        <v>SoCon</v>
      </c>
      <c r="C198" s="3">
        <f>IFERROR(__xludf.DUMMYFUNCTION("""COMPUTED_VALUE"""),45968.0)</f>
        <v>45968</v>
      </c>
      <c r="D198" s="1">
        <f>IFERROR(__xludf.DUMMYFUNCTION("""COMPUTED_VALUE"""),-1.7)</f>
        <v>-1.7</v>
      </c>
      <c r="E198" s="1">
        <f>IFERROR(__xludf.DUMMYFUNCTION("""COMPUTED_VALUE"""),195.0)</f>
        <v>195</v>
      </c>
      <c r="F198" s="1">
        <f>IFERROR(__xludf.DUMMYFUNCTION("""COMPUTED_VALUE"""),6.0)</f>
        <v>6</v>
      </c>
      <c r="G198" s="1">
        <f>IFERROR(__xludf.DUMMYFUNCTION("""COMPUTED_VALUE"""),1.9)</f>
        <v>1.9</v>
      </c>
      <c r="H198" s="1">
        <f>IFERROR(__xludf.DUMMYFUNCTION("""COMPUTED_VALUE"""),-3.6)</f>
        <v>-3.6</v>
      </c>
      <c r="I198" s="1" t="str">
        <f>IFERROR(__xludf.DUMMYFUNCTION("""COMPUTED_VALUE"""),"17.8-13.2")</f>
        <v>17.8-13.2</v>
      </c>
      <c r="J198" s="1" t="str">
        <f>IFERROR(__xludf.DUMMYFUNCTION("""COMPUTED_VALUE"""),"9.8-8.2")</f>
        <v>9.8-8.2</v>
      </c>
      <c r="K198" s="2">
        <f>IFERROR(__xludf.DUMMYFUNCTION("""COMPUTED_VALUE"""),0.032)</f>
        <v>0.032</v>
      </c>
      <c r="L198" s="1" t="str">
        <f>IFERROR(__xludf.DUMMYFUNCTION("""COMPUTED_VALUE"""),"176th")</f>
        <v>176th</v>
      </c>
    </row>
    <row r="199">
      <c r="A199" s="1" t="str">
        <f>IFERROR(__xludf.DUMMYFUNCTION("""COMPUTED_VALUE"""),"Sam Houston Bearkats")</f>
        <v>Sam Houston Bearkats</v>
      </c>
      <c r="B199" s="1" t="str">
        <f>IFERROR(__xludf.DUMMYFUNCTION("""COMPUTED_VALUE"""),"CUSA")</f>
        <v>CUSA</v>
      </c>
      <c r="C199" s="3">
        <f>IFERROR(__xludf.DUMMYFUNCTION("""COMPUTED_VALUE"""),45879.0)</f>
        <v>45879</v>
      </c>
      <c r="D199" s="1">
        <f>IFERROR(__xludf.DUMMYFUNCTION("""COMPUTED_VALUE"""),-1.8)</f>
        <v>-1.8</v>
      </c>
      <c r="E199" s="1">
        <f>IFERROR(__xludf.DUMMYFUNCTION("""COMPUTED_VALUE"""),196.0)</f>
        <v>196</v>
      </c>
      <c r="F199" s="1">
        <f>IFERROR(__xludf.DUMMYFUNCTION("""COMPUTED_VALUE"""),8.0)</f>
        <v>8</v>
      </c>
      <c r="G199" s="1">
        <f>IFERROR(__xludf.DUMMYFUNCTION("""COMPUTED_VALUE"""),0.3)</f>
        <v>0.3</v>
      </c>
      <c r="H199" s="1">
        <f>IFERROR(__xludf.DUMMYFUNCTION("""COMPUTED_VALUE"""),-2.1)</f>
        <v>-2.1</v>
      </c>
      <c r="I199" s="1" t="str">
        <f>IFERROR(__xludf.DUMMYFUNCTION("""COMPUTED_VALUE"""),"14.0-17.0")</f>
        <v>14.0-17.0</v>
      </c>
      <c r="J199" s="1" t="str">
        <f>IFERROR(__xludf.DUMMYFUNCTION("""COMPUTED_VALUE"""),"7.0-11.0")</f>
        <v>7.0-11.0</v>
      </c>
      <c r="K199" s="4">
        <f>IFERROR(__xludf.DUMMYFUNCTION("""COMPUTED_VALUE"""),0.02)</f>
        <v>0.02</v>
      </c>
      <c r="L199" s="1" t="str">
        <f>IFERROR(__xludf.DUMMYFUNCTION("""COMPUTED_VALUE"""),"150th")</f>
        <v>150th</v>
      </c>
    </row>
    <row r="200">
      <c r="A200" s="1" t="str">
        <f>IFERROR(__xludf.DUMMYFUNCTION("""COMPUTED_VALUE"""),"Weber State Wildcats")</f>
        <v>Weber State Wildcats</v>
      </c>
      <c r="B200" s="1" t="str">
        <f>IFERROR(__xludf.DUMMYFUNCTION("""COMPUTED_VALUE"""),"Big Sky")</f>
        <v>Big Sky</v>
      </c>
      <c r="C200" s="3">
        <f>IFERROR(__xludf.DUMMYFUNCTION("""COMPUTED_VALUE"""),45849.0)</f>
        <v>45849</v>
      </c>
      <c r="D200" s="1">
        <f>IFERROR(__xludf.DUMMYFUNCTION("""COMPUTED_VALUE"""),-1.9)</f>
        <v>-1.9</v>
      </c>
      <c r="E200" s="1">
        <f>IFERROR(__xludf.DUMMYFUNCTION("""COMPUTED_VALUE"""),197.0)</f>
        <v>197</v>
      </c>
      <c r="F200" s="1">
        <f>IFERROR(__xludf.DUMMYFUNCTION("""COMPUTED_VALUE"""),5.0)</f>
        <v>5</v>
      </c>
      <c r="G200" s="1">
        <f>IFERROR(__xludf.DUMMYFUNCTION("""COMPUTED_VALUE"""),-0.4)</f>
        <v>-0.4</v>
      </c>
      <c r="H200" s="1">
        <f>IFERROR(__xludf.DUMMYFUNCTION("""COMPUTED_VALUE"""),-1.5)</f>
        <v>-1.5</v>
      </c>
      <c r="I200" s="1" t="str">
        <f>IFERROR(__xludf.DUMMYFUNCTION("""COMPUTED_VALUE"""),"16.1-15.9")</f>
        <v>16.1-15.9</v>
      </c>
      <c r="J200" s="1" t="str">
        <f>IFERROR(__xludf.DUMMYFUNCTION("""COMPUTED_VALUE"""),"10.1-7.9")</f>
        <v>10.1-7.9</v>
      </c>
      <c r="K200" s="2">
        <f>IFERROR(__xludf.DUMMYFUNCTION("""COMPUTED_VALUE"""),0.242)</f>
        <v>0.242</v>
      </c>
      <c r="L200" s="1" t="str">
        <f>IFERROR(__xludf.DUMMYFUNCTION("""COMPUTED_VALUE"""),"299th")</f>
        <v>299th</v>
      </c>
    </row>
    <row r="201">
      <c r="A201" s="1" t="str">
        <f>IFERROR(__xludf.DUMMYFUNCTION("""COMPUTED_VALUE"""),"Maine Black Bears")</f>
        <v>Maine Black Bears</v>
      </c>
      <c r="B201" s="1" t="str">
        <f>IFERROR(__xludf.DUMMYFUNCTION("""COMPUTED_VALUE"""),"Am. East")</f>
        <v>Am. East</v>
      </c>
      <c r="C201" s="3">
        <f>IFERROR(__xludf.DUMMYFUNCTION("""COMPUTED_VALUE"""),45969.0)</f>
        <v>45969</v>
      </c>
      <c r="D201" s="1">
        <f>IFERROR(__xludf.DUMMYFUNCTION("""COMPUTED_VALUE"""),-1.9)</f>
        <v>-1.9</v>
      </c>
      <c r="E201" s="1">
        <f>IFERROR(__xludf.DUMMYFUNCTION("""COMPUTED_VALUE"""),198.0)</f>
        <v>198</v>
      </c>
      <c r="F201" s="1">
        <f>IFERROR(__xludf.DUMMYFUNCTION("""COMPUTED_VALUE"""),5.0)</f>
        <v>5</v>
      </c>
      <c r="G201" s="1">
        <f>IFERROR(__xludf.DUMMYFUNCTION("""COMPUTED_VALUE"""),-4.4)</f>
        <v>-4.4</v>
      </c>
      <c r="H201" s="1">
        <f>IFERROR(__xludf.DUMMYFUNCTION("""COMPUTED_VALUE"""),2.5)</f>
        <v>2.5</v>
      </c>
      <c r="I201" s="1" t="str">
        <f>IFERROR(__xludf.DUMMYFUNCTION("""COMPUTED_VALUE"""),"18.4-12.6")</f>
        <v>18.4-12.6</v>
      </c>
      <c r="J201" s="1" t="str">
        <f>IFERROR(__xludf.DUMMYFUNCTION("""COMPUTED_VALUE"""),"10.4-5.6")</f>
        <v>10.4-5.6</v>
      </c>
      <c r="K201" s="2">
        <f>IFERROR(__xludf.DUMMYFUNCTION("""COMPUTED_VALUE"""),0.216)</f>
        <v>0.216</v>
      </c>
      <c r="L201" s="1" t="str">
        <f>IFERROR(__xludf.DUMMYFUNCTION("""COMPUTED_VALUE"""),"272nd")</f>
        <v>272nd</v>
      </c>
    </row>
    <row r="202">
      <c r="A202" s="1" t="str">
        <f>IFERROR(__xludf.DUMMYFUNCTION("""COMPUTED_VALUE"""),"William &amp; Mary Tribe")</f>
        <v>William &amp; Mary Tribe</v>
      </c>
      <c r="B202" s="1" t="str">
        <f>IFERROR(__xludf.DUMMYFUNCTION("""COMPUTED_VALUE"""),"CAA")</f>
        <v>CAA</v>
      </c>
      <c r="C202" s="3">
        <f>IFERROR(__xludf.DUMMYFUNCTION("""COMPUTED_VALUE"""),45968.0)</f>
        <v>45968</v>
      </c>
      <c r="D202" s="1">
        <f>IFERROR(__xludf.DUMMYFUNCTION("""COMPUTED_VALUE"""),-1.9)</f>
        <v>-1.9</v>
      </c>
      <c r="E202" s="1">
        <f>IFERROR(__xludf.DUMMYFUNCTION("""COMPUTED_VALUE"""),199.0)</f>
        <v>199</v>
      </c>
      <c r="F202" s="1">
        <f>IFERROR(__xludf.DUMMYFUNCTION("""COMPUTED_VALUE"""),8.0)</f>
        <v>8</v>
      </c>
      <c r="G202" s="1">
        <f>IFERROR(__xludf.DUMMYFUNCTION("""COMPUTED_VALUE"""),0.7)</f>
        <v>0.7</v>
      </c>
      <c r="H202" s="1">
        <f>IFERROR(__xludf.DUMMYFUNCTION("""COMPUTED_VALUE"""),-2.5)</f>
        <v>-2.5</v>
      </c>
      <c r="I202" s="1" t="str">
        <f>IFERROR(__xludf.DUMMYFUNCTION("""COMPUTED_VALUE"""),"17.4-13.6")</f>
        <v>17.4-13.6</v>
      </c>
      <c r="J202" s="1" t="str">
        <f>IFERROR(__xludf.DUMMYFUNCTION("""COMPUTED_VALUE"""),"11.4-6.6")</f>
        <v>11.4-6.6</v>
      </c>
      <c r="K202" s="2">
        <f>IFERROR(__xludf.DUMMYFUNCTION("""COMPUTED_VALUE"""),0.036)</f>
        <v>0.036</v>
      </c>
      <c r="L202" s="1" t="str">
        <f>IFERROR(__xludf.DUMMYFUNCTION("""COMPUTED_VALUE"""),"166th")</f>
        <v>166th</v>
      </c>
    </row>
    <row r="203">
      <c r="A203" s="1" t="str">
        <f>IFERROR(__xludf.DUMMYFUNCTION("""COMPUTED_VALUE"""),"Rice Owls")</f>
        <v>Rice Owls</v>
      </c>
      <c r="B203" s="1" t="str">
        <f>IFERROR(__xludf.DUMMYFUNCTION("""COMPUTED_VALUE"""),"American")</f>
        <v>American</v>
      </c>
      <c r="C203" s="3">
        <f>IFERROR(__xludf.DUMMYFUNCTION("""COMPUTED_VALUE"""),45968.0)</f>
        <v>45968</v>
      </c>
      <c r="D203" s="1">
        <f>IFERROR(__xludf.DUMMYFUNCTION("""COMPUTED_VALUE"""),-2.1)</f>
        <v>-2.1</v>
      </c>
      <c r="E203" s="1">
        <f>IFERROR(__xludf.DUMMYFUNCTION("""COMPUTED_VALUE"""),200.0)</f>
        <v>200</v>
      </c>
      <c r="F203" s="1">
        <f>IFERROR(__xludf.DUMMYFUNCTION("""COMPUTED_VALUE"""),10.0)</f>
        <v>10</v>
      </c>
      <c r="G203" s="1">
        <f>IFERROR(__xludf.DUMMYFUNCTION("""COMPUTED_VALUE"""),-2.2)</f>
        <v>-2.2</v>
      </c>
      <c r="H203" s="1">
        <f>IFERROR(__xludf.DUMMYFUNCTION("""COMPUTED_VALUE"""),0.1)</f>
        <v>0.1</v>
      </c>
      <c r="I203" s="1" t="str">
        <f>IFERROR(__xludf.DUMMYFUNCTION("""COMPUTED_VALUE"""),"15.4-15.6")</f>
        <v>15.4-15.6</v>
      </c>
      <c r="J203" s="1" t="str">
        <f>IFERROR(__xludf.DUMMYFUNCTION("""COMPUTED_VALUE"""),"6.4-11.6")</f>
        <v>6.4-11.6</v>
      </c>
      <c r="K203" s="1" t="str">
        <f>IFERROR(__xludf.DUMMYFUNCTION("""COMPUTED_VALUE"""),"&lt;0.1%")</f>
        <v>&lt;0.1%</v>
      </c>
      <c r="L203" s="1" t="str">
        <f>IFERROR(__xludf.DUMMYFUNCTION("""COMPUTED_VALUE"""),"108th")</f>
        <v>108th</v>
      </c>
    </row>
    <row r="204">
      <c r="A204" s="1" t="str">
        <f>IFERROR(__xludf.DUMMYFUNCTION("""COMPUTED_VALUE"""),"North Alabama Lions")</f>
        <v>North Alabama Lions</v>
      </c>
      <c r="B204" s="1" t="str">
        <f>IFERROR(__xludf.DUMMYFUNCTION("""COMPUTED_VALUE"""),"ASUN")</f>
        <v>ASUN</v>
      </c>
      <c r="C204" s="3">
        <f>IFERROR(__xludf.DUMMYFUNCTION("""COMPUTED_VALUE"""),45968.0)</f>
        <v>45968</v>
      </c>
      <c r="D204" s="1">
        <f>IFERROR(__xludf.DUMMYFUNCTION("""COMPUTED_VALUE"""),-2.2)</f>
        <v>-2.2</v>
      </c>
      <c r="E204" s="1">
        <f>IFERROR(__xludf.DUMMYFUNCTION("""COMPUTED_VALUE"""),201.0)</f>
        <v>201</v>
      </c>
      <c r="F204" s="1">
        <f>IFERROR(__xludf.DUMMYFUNCTION("""COMPUTED_VALUE"""),9.0)</f>
        <v>9</v>
      </c>
      <c r="G204" s="1">
        <f>IFERROR(__xludf.DUMMYFUNCTION("""COMPUTED_VALUE"""),-0.7)</f>
        <v>-0.7</v>
      </c>
      <c r="H204" s="1">
        <f>IFERROR(__xludf.DUMMYFUNCTION("""COMPUTED_VALUE"""),-1.6)</f>
        <v>-1.6</v>
      </c>
      <c r="I204" s="1" t="str">
        <f>IFERROR(__xludf.DUMMYFUNCTION("""COMPUTED_VALUE"""),"19.3-11.7")</f>
        <v>19.3-11.7</v>
      </c>
      <c r="J204" s="1" t="str">
        <f>IFERROR(__xludf.DUMMYFUNCTION("""COMPUTED_VALUE"""),"11.3-6.7")</f>
        <v>11.3-6.7</v>
      </c>
      <c r="K204" s="2">
        <f>IFERROR(__xludf.DUMMYFUNCTION("""COMPUTED_VALUE"""),0.058)</f>
        <v>0.058</v>
      </c>
      <c r="L204" s="1" t="str">
        <f>IFERROR(__xludf.DUMMYFUNCTION("""COMPUTED_VALUE"""),"293rd")</f>
        <v>293rd</v>
      </c>
    </row>
    <row r="205">
      <c r="A205" s="1" t="str">
        <f>IFERROR(__xludf.DUMMYFUNCTION("""COMPUTED_VALUE"""),"Radford Highlanders")</f>
        <v>Radford Highlanders</v>
      </c>
      <c r="B205" s="1" t="str">
        <f>IFERROR(__xludf.DUMMYFUNCTION("""COMPUTED_VALUE"""),"Big South")</f>
        <v>Big South</v>
      </c>
      <c r="C205" s="1" t="str">
        <f>IFERROR(__xludf.DUMMYFUNCTION("""COMPUTED_VALUE"""),"13-6")</f>
        <v>13-6</v>
      </c>
      <c r="D205" s="1">
        <f>IFERROR(__xludf.DUMMYFUNCTION("""COMPUTED_VALUE"""),-2.4)</f>
        <v>-2.4</v>
      </c>
      <c r="E205" s="1">
        <f>IFERROR(__xludf.DUMMYFUNCTION("""COMPUTED_VALUE"""),202.0)</f>
        <v>202</v>
      </c>
      <c r="F205" s="1">
        <f>IFERROR(__xludf.DUMMYFUNCTION("""COMPUTED_VALUE"""),2.0)</f>
        <v>2</v>
      </c>
      <c r="G205" s="1">
        <f>IFERROR(__xludf.DUMMYFUNCTION("""COMPUTED_VALUE"""),-0.1)</f>
        <v>-0.1</v>
      </c>
      <c r="H205" s="1">
        <f>IFERROR(__xludf.DUMMYFUNCTION("""COMPUTED_VALUE"""),-2.3)</f>
        <v>-2.3</v>
      </c>
      <c r="I205" s="1" t="str">
        <f>IFERROR(__xludf.DUMMYFUNCTION("""COMPUTED_VALUE"""),"19.3-11.7")</f>
        <v>19.3-11.7</v>
      </c>
      <c r="J205" s="1" t="str">
        <f>IFERROR(__xludf.DUMMYFUNCTION("""COMPUTED_VALUE"""),"9.3-6.7")</f>
        <v>9.3-6.7</v>
      </c>
      <c r="K205" s="2">
        <f>IFERROR(__xludf.DUMMYFUNCTION("""COMPUTED_VALUE"""),0.039)</f>
        <v>0.039</v>
      </c>
      <c r="L205" s="1" t="str">
        <f>IFERROR(__xludf.DUMMYFUNCTION("""COMPUTED_VALUE"""),"202nd")</f>
        <v>202nd</v>
      </c>
    </row>
    <row r="206">
      <c r="A206" s="1" t="str">
        <f>IFERROR(__xludf.DUMMYFUNCTION("""COMPUTED_VALUE"""),"Merrimack Warriors")</f>
        <v>Merrimack Warriors</v>
      </c>
      <c r="B206" s="1" t="str">
        <f>IFERROR(__xludf.DUMMYFUNCTION("""COMPUTED_VALUE"""),"MAAC")</f>
        <v>MAAC</v>
      </c>
      <c r="C206" s="3">
        <f>IFERROR(__xludf.DUMMYFUNCTION("""COMPUTED_VALUE"""),45878.0)</f>
        <v>45878</v>
      </c>
      <c r="D206" s="1">
        <f>IFERROR(__xludf.DUMMYFUNCTION("""COMPUTED_VALUE"""),-2.5)</f>
        <v>-2.5</v>
      </c>
      <c r="E206" s="1">
        <f>IFERROR(__xludf.DUMMYFUNCTION("""COMPUTED_VALUE"""),203.0)</f>
        <v>203</v>
      </c>
      <c r="F206" s="1">
        <f>IFERROR(__xludf.DUMMYFUNCTION("""COMPUTED_VALUE"""),4.0)</f>
        <v>4</v>
      </c>
      <c r="G206" s="1">
        <f>IFERROR(__xludf.DUMMYFUNCTION("""COMPUTED_VALUE"""),-4.8)</f>
        <v>-4.8</v>
      </c>
      <c r="H206" s="1">
        <f>IFERROR(__xludf.DUMMYFUNCTION("""COMPUTED_VALUE"""),2.3)</f>
        <v>2.3</v>
      </c>
      <c r="I206" s="1" t="str">
        <f>IFERROR(__xludf.DUMMYFUNCTION("""COMPUTED_VALUE"""),"17.3-13.7")</f>
        <v>17.3-13.7</v>
      </c>
      <c r="J206" s="1" t="str">
        <f>IFERROR(__xludf.DUMMYFUNCTION("""COMPUTED_VALUE"""),"14.3-5.7")</f>
        <v>14.3-5.7</v>
      </c>
      <c r="K206" s="4">
        <f>IFERROR(__xludf.DUMMYFUNCTION("""COMPUTED_VALUE"""),0.34)</f>
        <v>0.34</v>
      </c>
      <c r="L206" s="1" t="str">
        <f>IFERROR(__xludf.DUMMYFUNCTION("""COMPUTED_VALUE"""),"322nd")</f>
        <v>322nd</v>
      </c>
    </row>
    <row r="207">
      <c r="A207" s="1" t="str">
        <f>IFERROR(__xludf.DUMMYFUNCTION("""COMPUTED_VALUE"""),"Central Connecticut Blue Devils")</f>
        <v>Central Connecticut Blue Devils</v>
      </c>
      <c r="B207" s="1" t="str">
        <f>IFERROR(__xludf.DUMMYFUNCTION("""COMPUTED_VALUE"""),"NEC")</f>
        <v>NEC</v>
      </c>
      <c r="C207" s="3">
        <f>IFERROR(__xludf.DUMMYFUNCTION("""COMPUTED_VALUE"""),45967.0)</f>
        <v>45967</v>
      </c>
      <c r="D207" s="1">
        <f>IFERROR(__xludf.DUMMYFUNCTION("""COMPUTED_VALUE"""),-2.5)</f>
        <v>-2.5</v>
      </c>
      <c r="E207" s="1">
        <f>IFERROR(__xludf.DUMMYFUNCTION("""COMPUTED_VALUE"""),204.0)</f>
        <v>204</v>
      </c>
      <c r="F207" s="1">
        <f>IFERROR(__xludf.DUMMYFUNCTION("""COMPUTED_VALUE"""),11.0)</f>
        <v>11</v>
      </c>
      <c r="G207" s="1">
        <f>IFERROR(__xludf.DUMMYFUNCTION("""COMPUTED_VALUE"""),-3.6)</f>
        <v>-3.6</v>
      </c>
      <c r="H207" s="1">
        <f>IFERROR(__xludf.DUMMYFUNCTION("""COMPUTED_VALUE"""),1.1)</f>
        <v>1.1</v>
      </c>
      <c r="I207" s="1" t="str">
        <f>IFERROR(__xludf.DUMMYFUNCTION("""COMPUTED_VALUE"""),"20.2-8.8")</f>
        <v>20.2-8.8</v>
      </c>
      <c r="J207" s="1" t="str">
        <f>IFERROR(__xludf.DUMMYFUNCTION("""COMPUTED_VALUE"""),"11.2-4.8")</f>
        <v>11.2-4.8</v>
      </c>
      <c r="K207" s="2">
        <f>IFERROR(__xludf.DUMMYFUNCTION("""COMPUTED_VALUE"""),0.807)</f>
        <v>0.807</v>
      </c>
      <c r="L207" s="1" t="str">
        <f>IFERROR(__xludf.DUMMYFUNCTION("""COMPUTED_VALUE"""),"355th")</f>
        <v>355th</v>
      </c>
    </row>
    <row r="208">
      <c r="A208" s="1" t="str">
        <f>IFERROR(__xludf.DUMMYFUNCTION("""COMPUTED_VALUE"""),"Southern Jaguars")</f>
        <v>Southern Jaguars</v>
      </c>
      <c r="B208" s="1" t="str">
        <f>IFERROR(__xludf.DUMMYFUNCTION("""COMPUTED_VALUE"""),"SWAC")</f>
        <v>SWAC</v>
      </c>
      <c r="C208" s="3">
        <f>IFERROR(__xludf.DUMMYFUNCTION("""COMPUTED_VALUE"""),45908.0)</f>
        <v>45908</v>
      </c>
      <c r="D208" s="1">
        <f>IFERROR(__xludf.DUMMYFUNCTION("""COMPUTED_VALUE"""),-2.6)</f>
        <v>-2.6</v>
      </c>
      <c r="E208" s="1">
        <f>IFERROR(__xludf.DUMMYFUNCTION("""COMPUTED_VALUE"""),205.0)</f>
        <v>205</v>
      </c>
      <c r="F208" s="1">
        <f>IFERROR(__xludf.DUMMYFUNCTION("""COMPUTED_VALUE"""),18.0)</f>
        <v>18</v>
      </c>
      <c r="G208" s="1">
        <f>IFERROR(__xludf.DUMMYFUNCTION("""COMPUTED_VALUE"""),-4.8)</f>
        <v>-4.8</v>
      </c>
      <c r="H208" s="1">
        <f>IFERROR(__xludf.DUMMYFUNCTION("""COMPUTED_VALUE"""),2.2)</f>
        <v>2.2</v>
      </c>
      <c r="I208" s="1" t="str">
        <f>IFERROR(__xludf.DUMMYFUNCTION("""COMPUTED_VALUE"""),"20.2-10.8")</f>
        <v>20.2-10.8</v>
      </c>
      <c r="J208" s="1" t="str">
        <f>IFERROR(__xludf.DUMMYFUNCTION("""COMPUTED_VALUE"""),"15.2-2.8")</f>
        <v>15.2-2.8</v>
      </c>
      <c r="K208" s="2">
        <f>IFERROR(__xludf.DUMMYFUNCTION("""COMPUTED_VALUE"""),0.664)</f>
        <v>0.664</v>
      </c>
      <c r="L208" s="1" t="str">
        <f>IFERROR(__xludf.DUMMYFUNCTION("""COMPUTED_VALUE"""),"363rd")</f>
        <v>363rd</v>
      </c>
    </row>
    <row r="209">
      <c r="A209" s="1" t="str">
        <f>IFERROR(__xludf.DUMMYFUNCTION("""COMPUTED_VALUE"""),"Quinnipiac Bobcats")</f>
        <v>Quinnipiac Bobcats</v>
      </c>
      <c r="B209" s="1" t="str">
        <f>IFERROR(__xludf.DUMMYFUNCTION("""COMPUTED_VALUE"""),"MAAC")</f>
        <v>MAAC</v>
      </c>
      <c r="C209" s="3">
        <f>IFERROR(__xludf.DUMMYFUNCTION("""COMPUTED_VALUE"""),45938.0)</f>
        <v>45938</v>
      </c>
      <c r="D209" s="1">
        <f>IFERROR(__xludf.DUMMYFUNCTION("""COMPUTED_VALUE"""),-2.7)</f>
        <v>-2.7</v>
      </c>
      <c r="E209" s="1">
        <f>IFERROR(__xludf.DUMMYFUNCTION("""COMPUTED_VALUE"""),206.0)</f>
        <v>206</v>
      </c>
      <c r="F209" s="1">
        <f>IFERROR(__xludf.DUMMYFUNCTION("""COMPUTED_VALUE"""),1.0)</f>
        <v>1</v>
      </c>
      <c r="G209" s="1">
        <f>IFERROR(__xludf.DUMMYFUNCTION("""COMPUTED_VALUE"""),-4.6)</f>
        <v>-4.6</v>
      </c>
      <c r="H209" s="1">
        <f>IFERROR(__xludf.DUMMYFUNCTION("""COMPUTED_VALUE"""),1.9)</f>
        <v>1.9</v>
      </c>
      <c r="I209" s="1" t="str">
        <f>IFERROR(__xludf.DUMMYFUNCTION("""COMPUTED_VALUE"""),"18.5-12.5")</f>
        <v>18.5-12.5</v>
      </c>
      <c r="J209" s="1" t="str">
        <f>IFERROR(__xludf.DUMMYFUNCTION("""COMPUTED_VALUE"""),"14.5-5.5")</f>
        <v>14.5-5.5</v>
      </c>
      <c r="K209" s="2">
        <f>IFERROR(__xludf.DUMMYFUNCTION("""COMPUTED_VALUE"""),0.228)</f>
        <v>0.228</v>
      </c>
      <c r="L209" s="1" t="str">
        <f>IFERROR(__xludf.DUMMYFUNCTION("""COMPUTED_VALUE"""),"321st")</f>
        <v>321st</v>
      </c>
    </row>
    <row r="210">
      <c r="A210" s="1" t="str">
        <f>IFERROR(__xludf.DUMMYFUNCTION("""COMPUTED_VALUE"""),"Marshall Thundering Herd")</f>
        <v>Marshall Thundering Herd</v>
      </c>
      <c r="B210" s="1" t="str">
        <f>IFERROR(__xludf.DUMMYFUNCTION("""COMPUTED_VALUE"""),"Sun Belt")</f>
        <v>Sun Belt</v>
      </c>
      <c r="C210" s="3">
        <f>IFERROR(__xludf.DUMMYFUNCTION("""COMPUTED_VALUE"""),45939.0)</f>
        <v>45939</v>
      </c>
      <c r="D210" s="1">
        <f>IFERROR(__xludf.DUMMYFUNCTION("""COMPUTED_VALUE"""),-2.7)</f>
        <v>-2.7</v>
      </c>
      <c r="E210" s="1">
        <f>IFERROR(__xludf.DUMMYFUNCTION("""COMPUTED_VALUE"""),207.0)</f>
        <v>207</v>
      </c>
      <c r="F210" s="1">
        <f>IFERROR(__xludf.DUMMYFUNCTION("""COMPUTED_VALUE"""),5.0)</f>
        <v>5</v>
      </c>
      <c r="G210" s="1">
        <f>IFERROR(__xludf.DUMMYFUNCTION("""COMPUTED_VALUE"""),-3.2)</f>
        <v>-3.2</v>
      </c>
      <c r="H210" s="1">
        <f>IFERROR(__xludf.DUMMYFUNCTION("""COMPUTED_VALUE"""),0.5)</f>
        <v>0.5</v>
      </c>
      <c r="I210" s="1" t="str">
        <f>IFERROR(__xludf.DUMMYFUNCTION("""COMPUTED_VALUE"""),"16.5-14.5")</f>
        <v>16.5-14.5</v>
      </c>
      <c r="J210" s="1" t="str">
        <f>IFERROR(__xludf.DUMMYFUNCTION("""COMPUTED_VALUE"""),"9.5-8.5")</f>
        <v>9.5-8.5</v>
      </c>
      <c r="K210" s="2">
        <f>IFERROR(__xludf.DUMMYFUNCTION("""COMPUTED_VALUE"""),0.012)</f>
        <v>0.012</v>
      </c>
      <c r="L210" s="1" t="str">
        <f>IFERROR(__xludf.DUMMYFUNCTION("""COMPUTED_VALUE"""),"232nd")</f>
        <v>232nd</v>
      </c>
    </row>
    <row r="211">
      <c r="A211" s="1" t="str">
        <f>IFERROR(__xludf.DUMMYFUNCTION("""COMPUTED_VALUE"""),"Oakland Golden Grizzlies")</f>
        <v>Oakland Golden Grizzlies</v>
      </c>
      <c r="B211" s="1" t="str">
        <f>IFERROR(__xludf.DUMMYFUNCTION("""COMPUTED_VALUE"""),"Horizon")</f>
        <v>Horizon</v>
      </c>
      <c r="C211" s="3">
        <f>IFERROR(__xludf.DUMMYFUNCTION("""COMPUTED_VALUE"""),45850.0)</f>
        <v>45850</v>
      </c>
      <c r="D211" s="1">
        <f>IFERROR(__xludf.DUMMYFUNCTION("""COMPUTED_VALUE"""),-2.8)</f>
        <v>-2.8</v>
      </c>
      <c r="E211" s="1">
        <f>IFERROR(__xludf.DUMMYFUNCTION("""COMPUTED_VALUE"""),208.0)</f>
        <v>208</v>
      </c>
      <c r="F211" s="1">
        <f>IFERROR(__xludf.DUMMYFUNCTION("""COMPUTED_VALUE"""),12.0)</f>
        <v>12</v>
      </c>
      <c r="G211" s="1">
        <f>IFERROR(__xludf.DUMMYFUNCTION("""COMPUTED_VALUE"""),-2.0)</f>
        <v>-2</v>
      </c>
      <c r="H211" s="1">
        <f>IFERROR(__xludf.DUMMYFUNCTION("""COMPUTED_VALUE"""),-0.9)</f>
        <v>-0.9</v>
      </c>
      <c r="I211" s="1" t="str">
        <f>IFERROR(__xludf.DUMMYFUNCTION("""COMPUTED_VALUE"""),"14.1-16.9")</f>
        <v>14.1-16.9</v>
      </c>
      <c r="J211" s="1" t="str">
        <f>IFERROR(__xludf.DUMMYFUNCTION("""COMPUTED_VALUE"""),"11.1-8.9")</f>
        <v>11.1-8.9</v>
      </c>
      <c r="K211" s="2">
        <f>IFERROR(__xludf.DUMMYFUNCTION("""COMPUTED_VALUE"""),0.057)</f>
        <v>0.057</v>
      </c>
      <c r="L211" s="1" t="str">
        <f>IFERROR(__xludf.DUMMYFUNCTION("""COMPUTED_VALUE"""),"270th")</f>
        <v>270th</v>
      </c>
    </row>
    <row r="212">
      <c r="A212" s="1" t="str">
        <f>IFERROR(__xludf.DUMMYFUNCTION("""COMPUTED_VALUE"""),"UTSA Roadrunners")</f>
        <v>UTSA Roadrunners</v>
      </c>
      <c r="B212" s="1" t="str">
        <f>IFERROR(__xludf.DUMMYFUNCTION("""COMPUTED_VALUE"""),"American")</f>
        <v>American</v>
      </c>
      <c r="C212" s="3">
        <f>IFERROR(__xludf.DUMMYFUNCTION("""COMPUTED_VALUE"""),45877.0)</f>
        <v>45877</v>
      </c>
      <c r="D212" s="1">
        <f>IFERROR(__xludf.DUMMYFUNCTION("""COMPUTED_VALUE"""),-3.0)</f>
        <v>-3</v>
      </c>
      <c r="E212" s="1">
        <f>IFERROR(__xludf.DUMMYFUNCTION("""COMPUTED_VALUE"""),209.0)</f>
        <v>209</v>
      </c>
      <c r="F212" s="1">
        <f>IFERROR(__xludf.DUMMYFUNCTION("""COMPUTED_VALUE"""),17.0)</f>
        <v>17</v>
      </c>
      <c r="G212" s="1">
        <f>IFERROR(__xludf.DUMMYFUNCTION("""COMPUTED_VALUE"""),-0.1)</f>
        <v>-0.1</v>
      </c>
      <c r="H212" s="1">
        <f>IFERROR(__xludf.DUMMYFUNCTION("""COMPUTED_VALUE"""),-2.9)</f>
        <v>-2.9</v>
      </c>
      <c r="I212" s="1" t="str">
        <f>IFERROR(__xludf.DUMMYFUNCTION("""COMPUTED_VALUE"""),"12.5-17.5")</f>
        <v>12.5-17.5</v>
      </c>
      <c r="J212" s="1" t="str">
        <f>IFERROR(__xludf.DUMMYFUNCTION("""COMPUTED_VALUE"""),"6.5-11.5")</f>
        <v>6.5-11.5</v>
      </c>
      <c r="K212" s="1" t="str">
        <f>IFERROR(__xludf.DUMMYFUNCTION("""COMPUTED_VALUE"""),"&lt;0.1%")</f>
        <v>&lt;0.1%</v>
      </c>
      <c r="L212" s="1" t="str">
        <f>IFERROR(__xludf.DUMMYFUNCTION("""COMPUTED_VALUE"""),"115th")</f>
        <v>115th</v>
      </c>
    </row>
    <row r="213">
      <c r="A213" s="1" t="str">
        <f>IFERROR(__xludf.DUMMYFUNCTION("""COMPUTED_VALUE"""),"Richmond Spiders")</f>
        <v>Richmond Spiders</v>
      </c>
      <c r="B213" s="1" t="str">
        <f>IFERROR(__xludf.DUMMYFUNCTION("""COMPUTED_VALUE"""),"A-10")</f>
        <v>A-10</v>
      </c>
      <c r="C213" s="3">
        <f>IFERROR(__xludf.DUMMYFUNCTION("""COMPUTED_VALUE"""),45849.0)</f>
        <v>45849</v>
      </c>
      <c r="D213" s="1">
        <f>IFERROR(__xludf.DUMMYFUNCTION("""COMPUTED_VALUE"""),-3.0)</f>
        <v>-3</v>
      </c>
      <c r="E213" s="1">
        <f>IFERROR(__xludf.DUMMYFUNCTION("""COMPUTED_VALUE"""),210.0)</f>
        <v>210</v>
      </c>
      <c r="F213" s="1">
        <f>IFERROR(__xludf.DUMMYFUNCTION("""COMPUTED_VALUE"""),3.0)</f>
        <v>3</v>
      </c>
      <c r="G213" s="1">
        <f>IFERROR(__xludf.DUMMYFUNCTION("""COMPUTED_VALUE"""),-3.2)</f>
        <v>-3.2</v>
      </c>
      <c r="H213" s="1">
        <f>IFERROR(__xludf.DUMMYFUNCTION("""COMPUTED_VALUE"""),0.2)</f>
        <v>0.2</v>
      </c>
      <c r="I213" s="1" t="str">
        <f>IFERROR(__xludf.DUMMYFUNCTION("""COMPUTED_VALUE"""),"10.4-20.6")</f>
        <v>10.4-20.6</v>
      </c>
      <c r="J213" s="1" t="str">
        <f>IFERROR(__xludf.DUMMYFUNCTION("""COMPUTED_VALUE"""),"5.4-12.6")</f>
        <v>5.4-12.6</v>
      </c>
      <c r="K213" s="1" t="str">
        <f>IFERROR(__xludf.DUMMYFUNCTION("""COMPUTED_VALUE"""),"&lt;0.1%")</f>
        <v>&lt;0.1%</v>
      </c>
      <c r="L213" s="1" t="str">
        <f>IFERROR(__xludf.DUMMYFUNCTION("""COMPUTED_VALUE"""),"85th")</f>
        <v>85th</v>
      </c>
    </row>
    <row r="214">
      <c r="A214" s="1" t="str">
        <f>IFERROR(__xludf.DUMMYFUNCTION("""COMPUTED_VALUE"""),"Colgate Raiders")</f>
        <v>Colgate Raiders</v>
      </c>
      <c r="B214" s="1" t="str">
        <f>IFERROR(__xludf.DUMMYFUNCTION("""COMPUTED_VALUE"""),"Patriot")</f>
        <v>Patriot</v>
      </c>
      <c r="C214" s="3">
        <f>IFERROR(__xludf.DUMMYFUNCTION("""COMPUTED_VALUE"""),45849.0)</f>
        <v>45849</v>
      </c>
      <c r="D214" s="1">
        <f>IFERROR(__xludf.DUMMYFUNCTION("""COMPUTED_VALUE"""),-3.0)</f>
        <v>-3</v>
      </c>
      <c r="E214" s="1">
        <f>IFERROR(__xludf.DUMMYFUNCTION("""COMPUTED_VALUE"""),211.0)</f>
        <v>211</v>
      </c>
      <c r="F214" s="1">
        <f>IFERROR(__xludf.DUMMYFUNCTION("""COMPUTED_VALUE"""),26.0)</f>
        <v>26</v>
      </c>
      <c r="G214" s="1">
        <f>IFERROR(__xludf.DUMMYFUNCTION("""COMPUTED_VALUE"""),-3.3)</f>
        <v>-3.3</v>
      </c>
      <c r="H214" s="1">
        <f>IFERROR(__xludf.DUMMYFUNCTION("""COMPUTED_VALUE"""),0.3)</f>
        <v>0.3</v>
      </c>
      <c r="I214" s="1" t="str">
        <f>IFERROR(__xludf.DUMMYFUNCTION("""COMPUTED_VALUE"""),"15.2-15.8")</f>
        <v>15.2-15.8</v>
      </c>
      <c r="J214" s="1" t="str">
        <f>IFERROR(__xludf.DUMMYFUNCTION("""COMPUTED_VALUE"""),"12.2-5.8")</f>
        <v>12.2-5.8</v>
      </c>
      <c r="K214" s="2">
        <f>IFERROR(__xludf.DUMMYFUNCTION("""COMPUTED_VALUE"""),0.412)</f>
        <v>0.412</v>
      </c>
      <c r="L214" s="1" t="str">
        <f>IFERROR(__xludf.DUMMYFUNCTION("""COMPUTED_VALUE"""),"314th")</f>
        <v>314th</v>
      </c>
    </row>
    <row r="215">
      <c r="A215" s="1" t="str">
        <f>IFERROR(__xludf.DUMMYFUNCTION("""COMPUTED_VALUE"""),"Pepperdine Waves")</f>
        <v>Pepperdine Waves</v>
      </c>
      <c r="B215" s="1" t="str">
        <f>IFERROR(__xludf.DUMMYFUNCTION("""COMPUTED_VALUE"""),"WCC")</f>
        <v>WCC</v>
      </c>
      <c r="C215" s="3">
        <f>IFERROR(__xludf.DUMMYFUNCTION("""COMPUTED_VALUE"""),45849.0)</f>
        <v>45849</v>
      </c>
      <c r="D215" s="1">
        <f>IFERROR(__xludf.DUMMYFUNCTION("""COMPUTED_VALUE"""),-3.0)</f>
        <v>-3</v>
      </c>
      <c r="E215" s="1">
        <f>IFERROR(__xludf.DUMMYFUNCTION("""COMPUTED_VALUE"""),212.0)</f>
        <v>212</v>
      </c>
      <c r="F215" s="1">
        <f>IFERROR(__xludf.DUMMYFUNCTION("""COMPUTED_VALUE"""),10.0)</f>
        <v>10</v>
      </c>
      <c r="G215" s="1">
        <f>IFERROR(__xludf.DUMMYFUNCTION("""COMPUTED_VALUE"""),-2.1)</f>
        <v>-2.1</v>
      </c>
      <c r="H215" s="1">
        <f>IFERROR(__xludf.DUMMYFUNCTION("""COMPUTED_VALUE"""),-1.0)</f>
        <v>-1</v>
      </c>
      <c r="I215" s="1" t="str">
        <f>IFERROR(__xludf.DUMMYFUNCTION("""COMPUTED_VALUE"""),"12.4-18.6")</f>
        <v>12.4-18.6</v>
      </c>
      <c r="J215" s="1" t="str">
        <f>IFERROR(__xludf.DUMMYFUNCTION("""COMPUTED_VALUE"""),"5.9-11.1")</f>
        <v>5.9-11.1</v>
      </c>
      <c r="K215" s="1" t="str">
        <f>IFERROR(__xludf.DUMMYFUNCTION("""COMPUTED_VALUE"""),"&lt;0.1%")</f>
        <v>&lt;0.1%</v>
      </c>
      <c r="L215" s="1" t="str">
        <f>IFERROR(__xludf.DUMMYFUNCTION("""COMPUTED_VALUE"""),"136th")</f>
        <v>136th</v>
      </c>
    </row>
    <row r="216">
      <c r="A216" s="1" t="str">
        <f>IFERROR(__xludf.DUMMYFUNCTION("""COMPUTED_VALUE"""),"Mercer Bears")</f>
        <v>Mercer Bears</v>
      </c>
      <c r="B216" s="1" t="str">
        <f>IFERROR(__xludf.DUMMYFUNCTION("""COMPUTED_VALUE"""),"SoCon")</f>
        <v>SoCon</v>
      </c>
      <c r="C216" s="3">
        <f>IFERROR(__xludf.DUMMYFUNCTION("""COMPUTED_VALUE"""),45909.0)</f>
        <v>45909</v>
      </c>
      <c r="D216" s="1">
        <f>IFERROR(__xludf.DUMMYFUNCTION("""COMPUTED_VALUE"""),-3.2)</f>
        <v>-3.2</v>
      </c>
      <c r="E216" s="1">
        <f>IFERROR(__xludf.DUMMYFUNCTION("""COMPUTED_VALUE"""),213.0)</f>
        <v>213</v>
      </c>
      <c r="F216" s="1">
        <f>IFERROR(__xludf.DUMMYFUNCTION("""COMPUTED_VALUE"""),4.0)</f>
        <v>4</v>
      </c>
      <c r="G216" s="1">
        <f>IFERROR(__xludf.DUMMYFUNCTION("""COMPUTED_VALUE"""),-2.8)</f>
        <v>-2.8</v>
      </c>
      <c r="H216" s="1">
        <f>IFERROR(__xludf.DUMMYFUNCTION("""COMPUTED_VALUE"""),-0.4)</f>
        <v>-0.4</v>
      </c>
      <c r="I216" s="1" t="str">
        <f>IFERROR(__xludf.DUMMYFUNCTION("""COMPUTED_VALUE"""),"15.2-15.8")</f>
        <v>15.2-15.8</v>
      </c>
      <c r="J216" s="1" t="str">
        <f>IFERROR(__xludf.DUMMYFUNCTION("""COMPUTED_VALUE"""),"8.2-9.8")</f>
        <v>8.2-9.8</v>
      </c>
      <c r="K216" s="2">
        <f>IFERROR(__xludf.DUMMYFUNCTION("""COMPUTED_VALUE"""),0.014)</f>
        <v>0.014</v>
      </c>
      <c r="L216" s="1" t="str">
        <f>IFERROR(__xludf.DUMMYFUNCTION("""COMPUTED_VALUE"""),"171st")</f>
        <v>171st</v>
      </c>
    </row>
    <row r="217">
      <c r="A217" s="1" t="str">
        <f>IFERROR(__xludf.DUMMYFUNCTION("""COMPUTED_VALUE"""),"Montana Grizzlies")</f>
        <v>Montana Grizzlies</v>
      </c>
      <c r="B217" s="1" t="str">
        <f>IFERROR(__xludf.DUMMYFUNCTION("""COMPUTED_VALUE"""),"Big Sky")</f>
        <v>Big Sky</v>
      </c>
      <c r="C217" s="3">
        <f>IFERROR(__xludf.DUMMYFUNCTION("""COMPUTED_VALUE"""),45968.0)</f>
        <v>45968</v>
      </c>
      <c r="D217" s="1">
        <f>IFERROR(__xludf.DUMMYFUNCTION("""COMPUTED_VALUE"""),-3.4)</f>
        <v>-3.4</v>
      </c>
      <c r="E217" s="1">
        <f>IFERROR(__xludf.DUMMYFUNCTION("""COMPUTED_VALUE"""),214.0)</f>
        <v>214</v>
      </c>
      <c r="F217" s="1">
        <f>IFERROR(__xludf.DUMMYFUNCTION("""COMPUTED_VALUE"""),8.0)</f>
        <v>8</v>
      </c>
      <c r="G217" s="1">
        <f>IFERROR(__xludf.DUMMYFUNCTION("""COMPUTED_VALUE"""),-1.4)</f>
        <v>-1.4</v>
      </c>
      <c r="H217" s="1">
        <f>IFERROR(__xludf.DUMMYFUNCTION("""COMPUTED_VALUE"""),-2.0)</f>
        <v>-2</v>
      </c>
      <c r="I217" s="1" t="str">
        <f>IFERROR(__xludf.DUMMYFUNCTION("""COMPUTED_VALUE"""),"18.4-12.6")</f>
        <v>18.4-12.6</v>
      </c>
      <c r="J217" s="1" t="str">
        <f>IFERROR(__xludf.DUMMYFUNCTION("""COMPUTED_VALUE"""),"11.4-6.6")</f>
        <v>11.4-6.6</v>
      </c>
      <c r="K217" s="2">
        <f>IFERROR(__xludf.DUMMYFUNCTION("""COMPUTED_VALUE"""),0.108)</f>
        <v>0.108</v>
      </c>
      <c r="L217" s="1" t="str">
        <f>IFERROR(__xludf.DUMMYFUNCTION("""COMPUTED_VALUE"""),"276th")</f>
        <v>276th</v>
      </c>
    </row>
    <row r="218">
      <c r="A218" s="1" t="str">
        <f>IFERROR(__xludf.DUMMYFUNCTION("""COMPUTED_VALUE"""),"Charlotte 49ers")</f>
        <v>Charlotte 49ers</v>
      </c>
      <c r="B218" s="1" t="str">
        <f>IFERROR(__xludf.DUMMYFUNCTION("""COMPUTED_VALUE"""),"American")</f>
        <v>American</v>
      </c>
      <c r="C218" s="3">
        <f>IFERROR(__xludf.DUMMYFUNCTION("""COMPUTED_VALUE"""),45849.0)</f>
        <v>45849</v>
      </c>
      <c r="D218" s="1">
        <f>IFERROR(__xludf.DUMMYFUNCTION("""COMPUTED_VALUE"""),-3.4)</f>
        <v>-3.4</v>
      </c>
      <c r="E218" s="1">
        <f>IFERROR(__xludf.DUMMYFUNCTION("""COMPUTED_VALUE"""),215.0)</f>
        <v>215</v>
      </c>
      <c r="F218" s="1">
        <f>IFERROR(__xludf.DUMMYFUNCTION("""COMPUTED_VALUE"""),4.0)</f>
        <v>4</v>
      </c>
      <c r="G218" s="1">
        <f>IFERROR(__xludf.DUMMYFUNCTION("""COMPUTED_VALUE"""),-0.5)</f>
        <v>-0.5</v>
      </c>
      <c r="H218" s="1">
        <f>IFERROR(__xludf.DUMMYFUNCTION("""COMPUTED_VALUE"""),-2.9)</f>
        <v>-2.9</v>
      </c>
      <c r="I218" s="1" t="str">
        <f>IFERROR(__xludf.DUMMYFUNCTION("""COMPUTED_VALUE"""),"11.1-19.9")</f>
        <v>11.1-19.9</v>
      </c>
      <c r="J218" s="1" t="str">
        <f>IFERROR(__xludf.DUMMYFUNCTION("""COMPUTED_VALUE"""),"4.1-13.9")</f>
        <v>4.1-13.9</v>
      </c>
      <c r="K218" s="1" t="str">
        <f>IFERROR(__xludf.DUMMYFUNCTION("""COMPUTED_VALUE"""),"&lt;0.1%")</f>
        <v>&lt;0.1%</v>
      </c>
      <c r="L218" s="1" t="str">
        <f>IFERROR(__xludf.DUMMYFUNCTION("""COMPUTED_VALUE"""),"114th")</f>
        <v>114th</v>
      </c>
    </row>
    <row r="219">
      <c r="A219" s="1" t="str">
        <f>IFERROR(__xludf.DUMMYFUNCTION("""COMPUTED_VALUE"""),"Saint Peter's Peacocks")</f>
        <v>Saint Peter's Peacocks</v>
      </c>
      <c r="B219" s="1" t="str">
        <f>IFERROR(__xludf.DUMMYFUNCTION("""COMPUTED_VALUE"""),"MAAC")</f>
        <v>MAAC</v>
      </c>
      <c r="C219" s="3">
        <f>IFERROR(__xludf.DUMMYFUNCTION("""COMPUTED_VALUE"""),45816.0)</f>
        <v>45816</v>
      </c>
      <c r="D219" s="1">
        <f>IFERROR(__xludf.DUMMYFUNCTION("""COMPUTED_VALUE"""),-3.4)</f>
        <v>-3.4</v>
      </c>
      <c r="E219" s="1">
        <f>IFERROR(__xludf.DUMMYFUNCTION("""COMPUTED_VALUE"""),216.0)</f>
        <v>216</v>
      </c>
      <c r="F219" s="1">
        <f>IFERROR(__xludf.DUMMYFUNCTION("""COMPUTED_VALUE"""),2.0)</f>
        <v>2</v>
      </c>
      <c r="G219" s="1">
        <f>IFERROR(__xludf.DUMMYFUNCTION("""COMPUTED_VALUE"""),-5.4)</f>
        <v>-5.4</v>
      </c>
      <c r="H219" s="1">
        <f>IFERROR(__xludf.DUMMYFUNCTION("""COMPUTED_VALUE"""),2.0)</f>
        <v>2</v>
      </c>
      <c r="I219" s="1" t="str">
        <f>IFERROR(__xludf.DUMMYFUNCTION("""COMPUTED_VALUE"""),"14.7-13.3")</f>
        <v>14.7-13.3</v>
      </c>
      <c r="J219" s="1" t="str">
        <f>IFERROR(__xludf.DUMMYFUNCTION("""COMPUTED_VALUE"""),"9.7-10.3")</f>
        <v>9.7-10.3</v>
      </c>
      <c r="K219" s="2">
        <f>IFERROR(__xludf.DUMMYFUNCTION("""COMPUTED_VALUE"""),0.313)</f>
        <v>0.313</v>
      </c>
      <c r="L219" s="1" t="str">
        <f>IFERROR(__xludf.DUMMYFUNCTION("""COMPUTED_VALUE"""),"316th")</f>
        <v>316th</v>
      </c>
    </row>
    <row r="220">
      <c r="A220" s="1" t="str">
        <f>IFERROR(__xludf.DUMMYFUNCTION("""COMPUTED_VALUE"""),"Marist Red Foxes")</f>
        <v>Marist Red Foxes</v>
      </c>
      <c r="B220" s="1" t="str">
        <f>IFERROR(__xludf.DUMMYFUNCTION("""COMPUTED_VALUE"""),"MAAC")</f>
        <v>MAAC</v>
      </c>
      <c r="C220" s="1" t="str">
        <f>IFERROR(__xludf.DUMMYFUNCTION("""COMPUTED_VALUE"""),"13-2")</f>
        <v>13-2</v>
      </c>
      <c r="D220" s="1">
        <f>IFERROR(__xludf.DUMMYFUNCTION("""COMPUTED_VALUE"""),-3.4)</f>
        <v>-3.4</v>
      </c>
      <c r="E220" s="1">
        <f>IFERROR(__xludf.DUMMYFUNCTION("""COMPUTED_VALUE"""),217.0)</f>
        <v>217</v>
      </c>
      <c r="F220" s="1">
        <f>IFERROR(__xludf.DUMMYFUNCTION("""COMPUTED_VALUE"""),10.0)</f>
        <v>10</v>
      </c>
      <c r="G220" s="1">
        <f>IFERROR(__xludf.DUMMYFUNCTION("""COMPUTED_VALUE"""),-5.0)</f>
        <v>-5</v>
      </c>
      <c r="H220" s="1">
        <f>IFERROR(__xludf.DUMMYFUNCTION("""COMPUTED_VALUE"""),1.6)</f>
        <v>1.6</v>
      </c>
      <c r="I220" s="1" t="str">
        <f>IFERROR(__xludf.DUMMYFUNCTION("""COMPUTED_VALUE"""),"22.0-7.0")</f>
        <v>22.0-7.0</v>
      </c>
      <c r="J220" s="1" t="str">
        <f>IFERROR(__xludf.DUMMYFUNCTION("""COMPUTED_VALUE"""),"15.0-5.0")</f>
        <v>15.0-5.0</v>
      </c>
      <c r="K220" s="4">
        <f>IFERROR(__xludf.DUMMYFUNCTION("""COMPUTED_VALUE"""),0.21)</f>
        <v>0.21</v>
      </c>
      <c r="L220" s="1" t="str">
        <f>IFERROR(__xludf.DUMMYFUNCTION("""COMPUTED_VALUE"""),"324th")</f>
        <v>324th</v>
      </c>
    </row>
    <row r="221">
      <c r="A221" s="1" t="str">
        <f>IFERROR(__xludf.DUMMYFUNCTION("""COMPUTED_VALUE"""),"Fordham Rams")</f>
        <v>Fordham Rams</v>
      </c>
      <c r="B221" s="1" t="str">
        <f>IFERROR(__xludf.DUMMYFUNCTION("""COMPUTED_VALUE"""),"A-10")</f>
        <v>A-10</v>
      </c>
      <c r="C221" s="3">
        <f>IFERROR(__xludf.DUMMYFUNCTION("""COMPUTED_VALUE"""),45879.0)</f>
        <v>45879</v>
      </c>
      <c r="D221" s="1">
        <f>IFERROR(__xludf.DUMMYFUNCTION("""COMPUTED_VALUE"""),-3.5)</f>
        <v>-3.5</v>
      </c>
      <c r="E221" s="1">
        <f>IFERROR(__xludf.DUMMYFUNCTION("""COMPUTED_VALUE"""),218.0)</f>
        <v>218</v>
      </c>
      <c r="F221" s="1">
        <f>IFERROR(__xludf.DUMMYFUNCTION("""COMPUTED_VALUE"""),1.0)</f>
        <v>1</v>
      </c>
      <c r="G221" s="1">
        <f>IFERROR(__xludf.DUMMYFUNCTION("""COMPUTED_VALUE"""),-3.4)</f>
        <v>-3.4</v>
      </c>
      <c r="H221" s="1">
        <f>IFERROR(__xludf.DUMMYFUNCTION("""COMPUTED_VALUE"""),-0.1)</f>
        <v>-0.1</v>
      </c>
      <c r="I221" s="1" t="str">
        <f>IFERROR(__xludf.DUMMYFUNCTION("""COMPUTED_VALUE"""),"11.2-19.8")</f>
        <v>11.2-19.8</v>
      </c>
      <c r="J221" s="1" t="str">
        <f>IFERROR(__xludf.DUMMYFUNCTION("""COMPUTED_VALUE"""),"3.2-14.8")</f>
        <v>3.2-14.8</v>
      </c>
      <c r="K221" s="1" t="str">
        <f>IFERROR(__xludf.DUMMYFUNCTION("""COMPUTED_VALUE"""),"&lt;0.1%")</f>
        <v>&lt;0.1%</v>
      </c>
      <c r="L221" s="1" t="str">
        <f>IFERROR(__xludf.DUMMYFUNCTION("""COMPUTED_VALUE"""),"87th")</f>
        <v>87th</v>
      </c>
    </row>
    <row r="222">
      <c r="A222" s="1" t="str">
        <f>IFERROR(__xludf.DUMMYFUNCTION("""COMPUTED_VALUE"""),"Hawai'i Rainbow Warriors")</f>
        <v>Hawai'i Rainbow Warriors</v>
      </c>
      <c r="B222" s="1" t="str">
        <f>IFERROR(__xludf.DUMMYFUNCTION("""COMPUTED_VALUE"""),"Big West")</f>
        <v>Big West</v>
      </c>
      <c r="C222" s="3">
        <f>IFERROR(__xludf.DUMMYFUNCTION("""COMPUTED_VALUE"""),45967.0)</f>
        <v>45967</v>
      </c>
      <c r="D222" s="1">
        <f>IFERROR(__xludf.DUMMYFUNCTION("""COMPUTED_VALUE"""),-3.7)</f>
        <v>-3.7</v>
      </c>
      <c r="E222" s="1">
        <f>IFERROR(__xludf.DUMMYFUNCTION("""COMPUTED_VALUE"""),219.0)</f>
        <v>219</v>
      </c>
      <c r="F222" s="1">
        <f>IFERROR(__xludf.DUMMYFUNCTION("""COMPUTED_VALUE"""),11.0)</f>
        <v>11</v>
      </c>
      <c r="G222" s="1">
        <f>IFERROR(__xludf.DUMMYFUNCTION("""COMPUTED_VALUE"""),-2.0)</f>
        <v>-2</v>
      </c>
      <c r="H222" s="1">
        <f>IFERROR(__xludf.DUMMYFUNCTION("""COMPUTED_VALUE"""),-1.7)</f>
        <v>-1.7</v>
      </c>
      <c r="I222" s="1" t="str">
        <f>IFERROR(__xludf.DUMMYFUNCTION("""COMPUTED_VALUE"""),"17.1-13.9")</f>
        <v>17.1-13.9</v>
      </c>
      <c r="J222" s="1" t="str">
        <f>IFERROR(__xludf.DUMMYFUNCTION("""COMPUTED_VALUE"""),"9.1-10.9")</f>
        <v>9.1-10.9</v>
      </c>
      <c r="K222" s="2">
        <f>IFERROR(__xludf.DUMMYFUNCTION("""COMPUTED_VALUE"""),0.002)</f>
        <v>0.002</v>
      </c>
      <c r="L222" s="1" t="str">
        <f>IFERROR(__xludf.DUMMYFUNCTION("""COMPUTED_VALUE"""),"156th")</f>
        <v>156th</v>
      </c>
    </row>
    <row r="223">
      <c r="A223" s="1" t="str">
        <f>IFERROR(__xludf.DUMMYFUNCTION("""COMPUTED_VALUE"""),"UC Riverside Highlanders")</f>
        <v>UC Riverside Highlanders</v>
      </c>
      <c r="B223" s="1" t="str">
        <f>IFERROR(__xludf.DUMMYFUNCTION("""COMPUTED_VALUE"""),"Big West")</f>
        <v>Big West</v>
      </c>
      <c r="C223" s="3">
        <f>IFERROR(__xludf.DUMMYFUNCTION("""COMPUTED_VALUE"""),45938.0)</f>
        <v>45938</v>
      </c>
      <c r="D223" s="1">
        <f>IFERROR(__xludf.DUMMYFUNCTION("""COMPUTED_VALUE"""),-3.7)</f>
        <v>-3.7</v>
      </c>
      <c r="E223" s="1">
        <f>IFERROR(__xludf.DUMMYFUNCTION("""COMPUTED_VALUE"""),220.0)</f>
        <v>220</v>
      </c>
      <c r="F223" s="1">
        <f>IFERROR(__xludf.DUMMYFUNCTION("""COMPUTED_VALUE"""),4.0)</f>
        <v>4</v>
      </c>
      <c r="G223" s="1">
        <f>IFERROR(__xludf.DUMMYFUNCTION("""COMPUTED_VALUE"""),-2.7)</f>
        <v>-2.7</v>
      </c>
      <c r="H223" s="1">
        <f>IFERROR(__xludf.DUMMYFUNCTION("""COMPUTED_VALUE"""),-1.1)</f>
        <v>-1.1</v>
      </c>
      <c r="I223" s="1" t="str">
        <f>IFERROR(__xludf.DUMMYFUNCTION("""COMPUTED_VALUE"""),"16.8-15.2")</f>
        <v>16.8-15.2</v>
      </c>
      <c r="J223" s="1" t="str">
        <f>IFERROR(__xludf.DUMMYFUNCTION("""COMPUTED_VALUE"""),"9.8-10.2")</f>
        <v>9.8-10.2</v>
      </c>
      <c r="K223" s="1" t="str">
        <f>IFERROR(__xludf.DUMMYFUNCTION("""COMPUTED_VALUE"""),"&lt;0.1%")</f>
        <v>&lt;0.1%</v>
      </c>
      <c r="L223" s="1" t="str">
        <f>IFERROR(__xludf.DUMMYFUNCTION("""COMPUTED_VALUE"""),"200th")</f>
        <v>200th</v>
      </c>
    </row>
    <row r="224">
      <c r="A224" s="1" t="str">
        <f>IFERROR(__xludf.DUMMYFUNCTION("""COMPUTED_VALUE"""),"Kennesaw State Owls")</f>
        <v>Kennesaw State Owls</v>
      </c>
      <c r="B224" s="1" t="str">
        <f>IFERROR(__xludf.DUMMYFUNCTION("""COMPUTED_VALUE"""),"CUSA")</f>
        <v>CUSA</v>
      </c>
      <c r="C224" s="3">
        <f>IFERROR(__xludf.DUMMYFUNCTION("""COMPUTED_VALUE"""),45937.0)</f>
        <v>45937</v>
      </c>
      <c r="D224" s="1">
        <f>IFERROR(__xludf.DUMMYFUNCTION("""COMPUTED_VALUE"""),-3.7)</f>
        <v>-3.7</v>
      </c>
      <c r="E224" s="1">
        <f>IFERROR(__xludf.DUMMYFUNCTION("""COMPUTED_VALUE"""),221.0)</f>
        <v>221</v>
      </c>
      <c r="F224" s="1">
        <f>IFERROR(__xludf.DUMMYFUNCTION("""COMPUTED_VALUE"""),2.0)</f>
        <v>2</v>
      </c>
      <c r="G224" s="1">
        <f>IFERROR(__xludf.DUMMYFUNCTION("""COMPUTED_VALUE"""),-3.3)</f>
        <v>-3.3</v>
      </c>
      <c r="H224" s="1">
        <f>IFERROR(__xludf.DUMMYFUNCTION("""COMPUTED_VALUE"""),-0.4)</f>
        <v>-0.4</v>
      </c>
      <c r="I224" s="1" t="str">
        <f>IFERROR(__xludf.DUMMYFUNCTION("""COMPUTED_VALUE"""),"15.3-15.7")</f>
        <v>15.3-15.7</v>
      </c>
      <c r="J224" s="1" t="str">
        <f>IFERROR(__xludf.DUMMYFUNCTION("""COMPUTED_VALUE"""),"7.3-10.7")</f>
        <v>7.3-10.7</v>
      </c>
      <c r="K224" s="2">
        <f>IFERROR(__xludf.DUMMYFUNCTION("""COMPUTED_VALUE"""),0.004)</f>
        <v>0.004</v>
      </c>
      <c r="L224" s="1" t="str">
        <f>IFERROR(__xludf.DUMMYFUNCTION("""COMPUTED_VALUE"""),"142nd")</f>
        <v>142nd</v>
      </c>
    </row>
    <row r="225">
      <c r="A225" s="1" t="str">
        <f>IFERROR(__xludf.DUMMYFUNCTION("""COMPUTED_VALUE"""),"Jacksonville Dolphins")</f>
        <v>Jacksonville Dolphins</v>
      </c>
      <c r="B225" s="1" t="str">
        <f>IFERROR(__xludf.DUMMYFUNCTION("""COMPUTED_VALUE"""),"ASUN")</f>
        <v>ASUN</v>
      </c>
      <c r="C225" s="3">
        <f>IFERROR(__xludf.DUMMYFUNCTION("""COMPUTED_VALUE"""),45937.0)</f>
        <v>45937</v>
      </c>
      <c r="D225" s="1">
        <f>IFERROR(__xludf.DUMMYFUNCTION("""COMPUTED_VALUE"""),-3.8)</f>
        <v>-3.8</v>
      </c>
      <c r="E225" s="1">
        <f>IFERROR(__xludf.DUMMYFUNCTION("""COMPUTED_VALUE"""),222.0)</f>
        <v>222</v>
      </c>
      <c r="F225" s="1">
        <f>IFERROR(__xludf.DUMMYFUNCTION("""COMPUTED_VALUE"""),8.0)</f>
        <v>8</v>
      </c>
      <c r="G225" s="1">
        <f>IFERROR(__xludf.DUMMYFUNCTION("""COMPUTED_VALUE"""),-4.9)</f>
        <v>-4.9</v>
      </c>
      <c r="H225" s="1">
        <f>IFERROR(__xludf.DUMMYFUNCTION("""COMPUTED_VALUE"""),1.2)</f>
        <v>1.2</v>
      </c>
      <c r="I225" s="1" t="str">
        <f>IFERROR(__xludf.DUMMYFUNCTION("""COMPUTED_VALUE"""),"18.1-11.9")</f>
        <v>18.1-11.9</v>
      </c>
      <c r="J225" s="1" t="str">
        <f>IFERROR(__xludf.DUMMYFUNCTION("""COMPUTED_VALUE"""),"12.1-5.9")</f>
        <v>12.1-5.9</v>
      </c>
      <c r="K225" s="2">
        <f>IFERROR(__xludf.DUMMYFUNCTION("""COMPUTED_VALUE"""),0.036)</f>
        <v>0.036</v>
      </c>
      <c r="L225" s="1" t="str">
        <f>IFERROR(__xludf.DUMMYFUNCTION("""COMPUTED_VALUE"""),"318th")</f>
        <v>318th</v>
      </c>
    </row>
    <row r="226">
      <c r="A226" s="1" t="str">
        <f>IFERROR(__xludf.DUMMYFUNCTION("""COMPUTED_VALUE"""),"South Carolina State Bulldogs")</f>
        <v>South Carolina State Bulldogs</v>
      </c>
      <c r="B226" s="1" t="str">
        <f>IFERROR(__xludf.DUMMYFUNCTION("""COMPUTED_VALUE"""),"MEAC")</f>
        <v>MEAC</v>
      </c>
      <c r="C226" s="3">
        <f>IFERROR(__xludf.DUMMYFUNCTION("""COMPUTED_VALUE"""),45910.0)</f>
        <v>45910</v>
      </c>
      <c r="D226" s="1">
        <f>IFERROR(__xludf.DUMMYFUNCTION("""COMPUTED_VALUE"""),-3.8)</f>
        <v>-3.8</v>
      </c>
      <c r="E226" s="1">
        <f>IFERROR(__xludf.DUMMYFUNCTION("""COMPUTED_VALUE"""),223.0)</f>
        <v>223</v>
      </c>
      <c r="F226" s="1">
        <f>IFERROR(__xludf.DUMMYFUNCTION("""COMPUTED_VALUE"""),8.0)</f>
        <v>8</v>
      </c>
      <c r="G226" s="1">
        <f>IFERROR(__xludf.DUMMYFUNCTION("""COMPUTED_VALUE"""),-3.5)</f>
        <v>-3.5</v>
      </c>
      <c r="H226" s="1">
        <f>IFERROR(__xludf.DUMMYFUNCTION("""COMPUTED_VALUE"""),-0.3)</f>
        <v>-0.3</v>
      </c>
      <c r="I226" s="1" t="str">
        <f>IFERROR(__xludf.DUMMYFUNCTION("""COMPUTED_VALUE"""),"16.3-13.7")</f>
        <v>16.3-13.7</v>
      </c>
      <c r="J226" s="1" t="str">
        <f>IFERROR(__xludf.DUMMYFUNCTION("""COMPUTED_VALUE"""),"9.3-4.7")</f>
        <v>9.3-4.7</v>
      </c>
      <c r="K226" s="2">
        <f>IFERROR(__xludf.DUMMYFUNCTION("""COMPUTED_VALUE"""),0.269)</f>
        <v>0.269</v>
      </c>
      <c r="L226" s="1" t="str">
        <f>IFERROR(__xludf.DUMMYFUNCTION("""COMPUTED_VALUE"""),"328th")</f>
        <v>328th</v>
      </c>
    </row>
    <row r="227">
      <c r="A227" s="1" t="str">
        <f>IFERROR(__xludf.DUMMYFUNCTION("""COMPUTED_VALUE"""),"Delaware Blue Hens")</f>
        <v>Delaware Blue Hens</v>
      </c>
      <c r="B227" s="1" t="str">
        <f>IFERROR(__xludf.DUMMYFUNCTION("""COMPUTED_VALUE"""),"CAA")</f>
        <v>CAA</v>
      </c>
      <c r="C227" s="3">
        <f>IFERROR(__xludf.DUMMYFUNCTION("""COMPUTED_VALUE"""),45938.0)</f>
        <v>45938</v>
      </c>
      <c r="D227" s="1">
        <f>IFERROR(__xludf.DUMMYFUNCTION("""COMPUTED_VALUE"""),-3.8)</f>
        <v>-3.8</v>
      </c>
      <c r="E227" s="1">
        <f>IFERROR(__xludf.DUMMYFUNCTION("""COMPUTED_VALUE"""),224.0)</f>
        <v>224</v>
      </c>
      <c r="F227" s="1">
        <f>IFERROR(__xludf.DUMMYFUNCTION("""COMPUTED_VALUE"""),3.0)</f>
        <v>3</v>
      </c>
      <c r="G227" s="1">
        <f>IFERROR(__xludf.DUMMYFUNCTION("""COMPUTED_VALUE"""),-0.6)</f>
        <v>-0.6</v>
      </c>
      <c r="H227" s="1">
        <f>IFERROR(__xludf.DUMMYFUNCTION("""COMPUTED_VALUE"""),-3.2)</f>
        <v>-3.2</v>
      </c>
      <c r="I227" s="1" t="str">
        <f>IFERROR(__xludf.DUMMYFUNCTION("""COMPUTED_VALUE"""),"15.2-15.8")</f>
        <v>15.2-15.8</v>
      </c>
      <c r="J227" s="1" t="str">
        <f>IFERROR(__xludf.DUMMYFUNCTION("""COMPUTED_VALUE"""),"8.2-9.8")</f>
        <v>8.2-9.8</v>
      </c>
      <c r="K227" s="2">
        <f>IFERROR(__xludf.DUMMYFUNCTION("""COMPUTED_VALUE"""),0.007)</f>
        <v>0.007</v>
      </c>
      <c r="L227" s="1" t="str">
        <f>IFERROR(__xludf.DUMMYFUNCTION("""COMPUTED_VALUE"""),"154th")</f>
        <v>154th</v>
      </c>
    </row>
    <row r="228">
      <c r="A228" s="1" t="str">
        <f>IFERROR(__xludf.DUMMYFUNCTION("""COMPUTED_VALUE"""),"UT Rio Grande Valley Vaqueros")</f>
        <v>UT Rio Grande Valley Vaqueros</v>
      </c>
      <c r="B228" s="1" t="str">
        <f>IFERROR(__xludf.DUMMYFUNCTION("""COMPUTED_VALUE"""),"Southland")</f>
        <v>Southland</v>
      </c>
      <c r="C228" s="3">
        <f>IFERROR(__xludf.DUMMYFUNCTION("""COMPUTED_VALUE"""),45967.0)</f>
        <v>45967</v>
      </c>
      <c r="D228" s="1">
        <f>IFERROR(__xludf.DUMMYFUNCTION("""COMPUTED_VALUE"""),-3.8)</f>
        <v>-3.8</v>
      </c>
      <c r="E228" s="1">
        <f>IFERROR(__xludf.DUMMYFUNCTION("""COMPUTED_VALUE"""),225.0)</f>
        <v>225</v>
      </c>
      <c r="F228" s="1">
        <f>IFERROR(__xludf.DUMMYFUNCTION("""COMPUTED_VALUE"""),9.0)</f>
        <v>9</v>
      </c>
      <c r="G228" s="1">
        <f>IFERROR(__xludf.DUMMYFUNCTION("""COMPUTED_VALUE"""),-2.8)</f>
        <v>-2.8</v>
      </c>
      <c r="H228" s="1">
        <f>IFERROR(__xludf.DUMMYFUNCTION("""COMPUTED_VALUE"""),-1.0)</f>
        <v>-1</v>
      </c>
      <c r="I228" s="1" t="str">
        <f>IFERROR(__xludf.DUMMYFUNCTION("""COMPUTED_VALUE"""),"18.0-13.0")</f>
        <v>18.0-13.0</v>
      </c>
      <c r="J228" s="1" t="str">
        <f>IFERROR(__xludf.DUMMYFUNCTION("""COMPUTED_VALUE"""),"10.0-10.0")</f>
        <v>10.0-10.0</v>
      </c>
      <c r="K228" s="2">
        <f>IFERROR(__xludf.DUMMYFUNCTION("""COMPUTED_VALUE"""),0.004)</f>
        <v>0.004</v>
      </c>
      <c r="L228" s="1" t="str">
        <f>IFERROR(__xludf.DUMMYFUNCTION("""COMPUTED_VALUE"""),"220th")</f>
        <v>220th</v>
      </c>
    </row>
    <row r="229">
      <c r="A229" s="1" t="str">
        <f>IFERROR(__xludf.DUMMYFUNCTION("""COMPUTED_VALUE"""),"Southern Illinois Salukis")</f>
        <v>Southern Illinois Salukis</v>
      </c>
      <c r="B229" s="1" t="str">
        <f>IFERROR(__xludf.DUMMYFUNCTION("""COMPUTED_VALUE"""),"MVC")</f>
        <v>MVC</v>
      </c>
      <c r="C229" s="3">
        <f>IFERROR(__xludf.DUMMYFUNCTION("""COMPUTED_VALUE"""),45849.0)</f>
        <v>45849</v>
      </c>
      <c r="D229" s="1">
        <f>IFERROR(__xludf.DUMMYFUNCTION("""COMPUTED_VALUE"""),-3.8)</f>
        <v>-3.8</v>
      </c>
      <c r="E229" s="1">
        <f>IFERROR(__xludf.DUMMYFUNCTION("""COMPUTED_VALUE"""),226.0)</f>
        <v>226</v>
      </c>
      <c r="F229" s="1">
        <f>IFERROR(__xludf.DUMMYFUNCTION("""COMPUTED_VALUE"""),21.0)</f>
        <v>21</v>
      </c>
      <c r="G229" s="1">
        <f>IFERROR(__xludf.DUMMYFUNCTION("""COMPUTED_VALUE"""),-3.0)</f>
        <v>-3</v>
      </c>
      <c r="H229" s="1">
        <f>IFERROR(__xludf.DUMMYFUNCTION("""COMPUTED_VALUE"""),-0.8)</f>
        <v>-0.8</v>
      </c>
      <c r="I229" s="1" t="str">
        <f>IFERROR(__xludf.DUMMYFUNCTION("""COMPUTED_VALUE"""),"11.3-19.7")</f>
        <v>11.3-19.7</v>
      </c>
      <c r="J229" s="1" t="str">
        <f>IFERROR(__xludf.DUMMYFUNCTION("""COMPUTED_VALUE"""),"6.3-13.7")</f>
        <v>6.3-13.7</v>
      </c>
      <c r="K229" s="1" t="str">
        <f>IFERROR(__xludf.DUMMYFUNCTION("""COMPUTED_VALUE"""),"&lt;0.1%")</f>
        <v>&lt;0.1%</v>
      </c>
      <c r="L229" s="1" t="str">
        <f>IFERROR(__xludf.DUMMYFUNCTION("""COMPUTED_VALUE"""),"125th")</f>
        <v>125th</v>
      </c>
    </row>
    <row r="230">
      <c r="A230" s="1" t="str">
        <f>IFERROR(__xludf.DUMMYFUNCTION("""COMPUTED_VALUE"""),"SE Louisiana Lions")</f>
        <v>SE Louisiana Lions</v>
      </c>
      <c r="B230" s="1" t="str">
        <f>IFERROR(__xludf.DUMMYFUNCTION("""COMPUTED_VALUE"""),"Southland")</f>
        <v>Southland</v>
      </c>
      <c r="C230" s="3">
        <f>IFERROR(__xludf.DUMMYFUNCTION("""COMPUTED_VALUE"""),45908.0)</f>
        <v>45908</v>
      </c>
      <c r="D230" s="1">
        <f>IFERROR(__xludf.DUMMYFUNCTION("""COMPUTED_VALUE"""),-3.9)</f>
        <v>-3.9</v>
      </c>
      <c r="E230" s="1">
        <f>IFERROR(__xludf.DUMMYFUNCTION("""COMPUTED_VALUE"""),227.0)</f>
        <v>227</v>
      </c>
      <c r="F230" s="1">
        <f>IFERROR(__xludf.DUMMYFUNCTION("""COMPUTED_VALUE"""),14.0)</f>
        <v>14</v>
      </c>
      <c r="G230" s="1">
        <f>IFERROR(__xludf.DUMMYFUNCTION("""COMPUTED_VALUE"""),-4.2)</f>
        <v>-4.2</v>
      </c>
      <c r="H230" s="1">
        <f>IFERROR(__xludf.DUMMYFUNCTION("""COMPUTED_VALUE"""),0.4)</f>
        <v>0.4</v>
      </c>
      <c r="I230" s="1" t="str">
        <f>IFERROR(__xludf.DUMMYFUNCTION("""COMPUTED_VALUE"""),"17.4-13.6")</f>
        <v>17.4-13.6</v>
      </c>
      <c r="J230" s="1" t="str">
        <f>IFERROR(__xludf.DUMMYFUNCTION("""COMPUTED_VALUE"""),"11.4-8.6")</f>
        <v>11.4-8.6</v>
      </c>
      <c r="K230" s="2">
        <f>IFERROR(__xludf.DUMMYFUNCTION("""COMPUTED_VALUE"""),0.005)</f>
        <v>0.005</v>
      </c>
      <c r="L230" s="1" t="str">
        <f>IFERROR(__xludf.DUMMYFUNCTION("""COMPUTED_VALUE"""),"302nd")</f>
        <v>302nd</v>
      </c>
    </row>
    <row r="231">
      <c r="A231" s="1" t="str">
        <f>IFERROR(__xludf.DUMMYFUNCTION("""COMPUTED_VALUE"""),"Queens University Royals")</f>
        <v>Queens University Royals</v>
      </c>
      <c r="B231" s="1" t="str">
        <f>IFERROR(__xludf.DUMMYFUNCTION("""COMPUTED_VALUE"""),"ASUN")</f>
        <v>ASUN</v>
      </c>
      <c r="C231" s="3">
        <f>IFERROR(__xludf.DUMMYFUNCTION("""COMPUTED_VALUE"""),45997.0)</f>
        <v>45997</v>
      </c>
      <c r="D231" s="1">
        <f>IFERROR(__xludf.DUMMYFUNCTION("""COMPUTED_VALUE"""),-3.9)</f>
        <v>-3.9</v>
      </c>
      <c r="E231" s="1">
        <f>IFERROR(__xludf.DUMMYFUNCTION("""COMPUTED_VALUE"""),228.0)</f>
        <v>228</v>
      </c>
      <c r="F231" s="1">
        <f>IFERROR(__xludf.DUMMYFUNCTION("""COMPUTED_VALUE"""),23.0)</f>
        <v>23</v>
      </c>
      <c r="G231" s="1">
        <f>IFERROR(__xludf.DUMMYFUNCTION("""COMPUTED_VALUE"""),-2.2)</f>
        <v>-2.2</v>
      </c>
      <c r="H231" s="1">
        <f>IFERROR(__xludf.DUMMYFUNCTION("""COMPUTED_VALUE"""),-1.6)</f>
        <v>-1.6</v>
      </c>
      <c r="I231" s="1" t="str">
        <f>IFERROR(__xludf.DUMMYFUNCTION("""COMPUTED_VALUE"""),"19.8-11.2")</f>
        <v>19.8-11.2</v>
      </c>
      <c r="J231" s="1" t="str">
        <f>IFERROR(__xludf.DUMMYFUNCTION("""COMPUTED_VALUE"""),"12.8-5.2")</f>
        <v>12.8-5.2</v>
      </c>
      <c r="K231" s="2">
        <f>IFERROR(__xludf.DUMMYFUNCTION("""COMPUTED_VALUE"""),0.023)</f>
        <v>0.023</v>
      </c>
      <c r="L231" s="1" t="str">
        <f>IFERROR(__xludf.DUMMYFUNCTION("""COMPUTED_VALUE"""),"304th")</f>
        <v>304th</v>
      </c>
    </row>
    <row r="232">
      <c r="A232" s="1" t="str">
        <f>IFERROR(__xludf.DUMMYFUNCTION("""COMPUTED_VALUE"""),"Central Michigan Chippewas")</f>
        <v>Central Michigan Chippewas</v>
      </c>
      <c r="B232" s="1" t="str">
        <f>IFERROR(__xludf.DUMMYFUNCTION("""COMPUTED_VALUE"""),"MAC")</f>
        <v>MAC</v>
      </c>
      <c r="C232" s="3">
        <f>IFERROR(__xludf.DUMMYFUNCTION("""COMPUTED_VALUE"""),45847.0)</f>
        <v>45847</v>
      </c>
      <c r="D232" s="1">
        <f>IFERROR(__xludf.DUMMYFUNCTION("""COMPUTED_VALUE"""),-4.0)</f>
        <v>-4</v>
      </c>
      <c r="E232" s="1">
        <f>IFERROR(__xludf.DUMMYFUNCTION("""COMPUTED_VALUE"""),229.0)</f>
        <v>229</v>
      </c>
      <c r="F232" s="1">
        <f>IFERROR(__xludf.DUMMYFUNCTION("""COMPUTED_VALUE"""),6.0)</f>
        <v>6</v>
      </c>
      <c r="G232" s="1">
        <f>IFERROR(__xludf.DUMMYFUNCTION("""COMPUTED_VALUE"""),-5.6)</f>
        <v>-5.6</v>
      </c>
      <c r="H232" s="1">
        <f>IFERROR(__xludf.DUMMYFUNCTION("""COMPUTED_VALUE"""),1.6)</f>
        <v>1.6</v>
      </c>
      <c r="I232" s="1" t="str">
        <f>IFERROR(__xludf.DUMMYFUNCTION("""COMPUTED_VALUE"""),"15.6-15.4")</f>
        <v>15.6-15.4</v>
      </c>
      <c r="J232" s="1" t="str">
        <f>IFERROR(__xludf.DUMMYFUNCTION("""COMPUTED_VALUE"""),"9.1-8.9")</f>
        <v>9.1-8.9</v>
      </c>
      <c r="K232" s="2">
        <f>IFERROR(__xludf.DUMMYFUNCTION("""COMPUTED_VALUE"""),0.028)</f>
        <v>0.028</v>
      </c>
      <c r="L232" s="1" t="str">
        <f>IFERROR(__xludf.DUMMYFUNCTION("""COMPUTED_VALUE"""),"291st")</f>
        <v>291st</v>
      </c>
    </row>
    <row r="233">
      <c r="A233" s="1" t="str">
        <f>IFERROR(__xludf.DUMMYFUNCTION("""COMPUTED_VALUE"""),"Ball State Cardinals")</f>
        <v>Ball State Cardinals</v>
      </c>
      <c r="B233" s="1" t="str">
        <f>IFERROR(__xludf.DUMMYFUNCTION("""COMPUTED_VALUE"""),"MAC")</f>
        <v>MAC</v>
      </c>
      <c r="C233" s="3">
        <f>IFERROR(__xludf.DUMMYFUNCTION("""COMPUTED_VALUE"""),45877.0)</f>
        <v>45877</v>
      </c>
      <c r="D233" s="1">
        <f>IFERROR(__xludf.DUMMYFUNCTION("""COMPUTED_VALUE"""),-4.0)</f>
        <v>-4</v>
      </c>
      <c r="E233" s="1">
        <f>IFERROR(__xludf.DUMMYFUNCTION("""COMPUTED_VALUE"""),230.0)</f>
        <v>230</v>
      </c>
      <c r="F233" s="1">
        <f>IFERROR(__xludf.DUMMYFUNCTION("""COMPUTED_VALUE"""),3.0)</f>
        <v>3</v>
      </c>
      <c r="G233" s="1">
        <f>IFERROR(__xludf.DUMMYFUNCTION("""COMPUTED_VALUE"""),-2.4)</f>
        <v>-2.4</v>
      </c>
      <c r="H233" s="1">
        <f>IFERROR(__xludf.DUMMYFUNCTION("""COMPUTED_VALUE"""),-1.6)</f>
        <v>-1.6</v>
      </c>
      <c r="I233" s="1" t="str">
        <f>IFERROR(__xludf.DUMMYFUNCTION("""COMPUTED_VALUE"""),"16.6-14.4")</f>
        <v>16.6-14.4</v>
      </c>
      <c r="J233" s="1" t="str">
        <f>IFERROR(__xludf.DUMMYFUNCTION("""COMPUTED_VALUE"""),"9.9-8.1")</f>
        <v>9.9-8.1</v>
      </c>
      <c r="K233" s="2">
        <f>IFERROR(__xludf.DUMMYFUNCTION("""COMPUTED_VALUE"""),0.019)</f>
        <v>0.019</v>
      </c>
      <c r="L233" s="1" t="str">
        <f>IFERROR(__xludf.DUMMYFUNCTION("""COMPUTED_VALUE"""),"290th")</f>
        <v>290th</v>
      </c>
    </row>
    <row r="234">
      <c r="A234" s="1" t="str">
        <f>IFERROR(__xludf.DUMMYFUNCTION("""COMPUTED_VALUE"""),"Cal State Bakersfield Roadrunners")</f>
        <v>Cal State Bakersfield Roadrunners</v>
      </c>
      <c r="B234" s="1" t="str">
        <f>IFERROR(__xludf.DUMMYFUNCTION("""COMPUTED_VALUE"""),"Big West")</f>
        <v>Big West</v>
      </c>
      <c r="C234" s="3">
        <f>IFERROR(__xludf.DUMMYFUNCTION("""COMPUTED_VALUE"""),45909.0)</f>
        <v>45909</v>
      </c>
      <c r="D234" s="1">
        <f>IFERROR(__xludf.DUMMYFUNCTION("""COMPUTED_VALUE"""),-4.1)</f>
        <v>-4.1</v>
      </c>
      <c r="E234" s="1">
        <f>IFERROR(__xludf.DUMMYFUNCTION("""COMPUTED_VALUE"""),231.0)</f>
        <v>231</v>
      </c>
      <c r="F234" s="1">
        <f>IFERROR(__xludf.DUMMYFUNCTION("""COMPUTED_VALUE"""),3.0)</f>
        <v>3</v>
      </c>
      <c r="G234" s="1">
        <f>IFERROR(__xludf.DUMMYFUNCTION("""COMPUTED_VALUE"""),-1.8)</f>
        <v>-1.8</v>
      </c>
      <c r="H234" s="1">
        <f>IFERROR(__xludf.DUMMYFUNCTION("""COMPUTED_VALUE"""),-2.3)</f>
        <v>-2.3</v>
      </c>
      <c r="I234" s="1" t="str">
        <f>IFERROR(__xludf.DUMMYFUNCTION("""COMPUTED_VALUE"""),"15.8-16.2")</f>
        <v>15.8-16.2</v>
      </c>
      <c r="J234" s="1" t="str">
        <f>IFERROR(__xludf.DUMMYFUNCTION("""COMPUTED_VALUE"""),"9.8-10.2")</f>
        <v>9.8-10.2</v>
      </c>
      <c r="K234" s="2">
        <f>IFERROR(__xludf.DUMMYFUNCTION("""COMPUTED_VALUE"""),0.001)</f>
        <v>0.001</v>
      </c>
      <c r="L234" s="1" t="str">
        <f>IFERROR(__xludf.DUMMYFUNCTION("""COMPUTED_VALUE"""),"219th")</f>
        <v>219th</v>
      </c>
    </row>
    <row r="235">
      <c r="A235" s="1" t="str">
        <f>IFERROR(__xludf.DUMMYFUNCTION("""COMPUTED_VALUE"""),"Dartmouth Big Green")</f>
        <v>Dartmouth Big Green</v>
      </c>
      <c r="B235" s="1" t="str">
        <f>IFERROR(__xludf.DUMMYFUNCTION("""COMPUTED_VALUE"""),"Ivy")</f>
        <v>Ivy</v>
      </c>
      <c r="C235" s="3">
        <f>IFERROR(__xludf.DUMMYFUNCTION("""COMPUTED_VALUE"""),45845.0)</f>
        <v>45845</v>
      </c>
      <c r="D235" s="1">
        <f>IFERROR(__xludf.DUMMYFUNCTION("""COMPUTED_VALUE"""),-4.1)</f>
        <v>-4.1</v>
      </c>
      <c r="E235" s="1">
        <f>IFERROR(__xludf.DUMMYFUNCTION("""COMPUTED_VALUE"""),232.0)</f>
        <v>232</v>
      </c>
      <c r="F235" s="1">
        <f>IFERROR(__xludf.DUMMYFUNCTION("""COMPUTED_VALUE"""),10.0)</f>
        <v>10</v>
      </c>
      <c r="G235" s="1">
        <f>IFERROR(__xludf.DUMMYFUNCTION("""COMPUTED_VALUE"""),-4.0)</f>
        <v>-4</v>
      </c>
      <c r="H235" s="1">
        <f>IFERROR(__xludf.DUMMYFUNCTION("""COMPUTED_VALUE"""),-0.2)</f>
        <v>-0.2</v>
      </c>
      <c r="I235" s="1" t="str">
        <f>IFERROR(__xludf.DUMMYFUNCTION("""COMPUTED_VALUE"""),"11.4-15.6")</f>
        <v>11.4-15.6</v>
      </c>
      <c r="J235" s="1" t="str">
        <f>IFERROR(__xludf.DUMMYFUNCTION("""COMPUTED_VALUE"""),"5.4-8.6")</f>
        <v>5.4-8.6</v>
      </c>
      <c r="K235" s="2">
        <f>IFERROR(__xludf.DUMMYFUNCTION("""COMPUTED_VALUE"""),0.002)</f>
        <v>0.002</v>
      </c>
      <c r="L235" s="1" t="str">
        <f>IFERROR(__xludf.DUMMYFUNCTION("""COMPUTED_VALUE"""),"132nd")</f>
        <v>132nd</v>
      </c>
    </row>
    <row r="236">
      <c r="A236" s="1" t="str">
        <f>IFERROR(__xludf.DUMMYFUNCTION("""COMPUTED_VALUE"""),"Monmouth Hawks")</f>
        <v>Monmouth Hawks</v>
      </c>
      <c r="B236" s="1" t="str">
        <f>IFERROR(__xludf.DUMMYFUNCTION("""COMPUTED_VALUE"""),"CAA")</f>
        <v>CAA</v>
      </c>
      <c r="C236" s="3">
        <f>IFERROR(__xludf.DUMMYFUNCTION("""COMPUTED_VALUE"""),45790.0)</f>
        <v>45790</v>
      </c>
      <c r="D236" s="1">
        <f>IFERROR(__xludf.DUMMYFUNCTION("""COMPUTED_VALUE"""),-4.4)</f>
        <v>-4.4</v>
      </c>
      <c r="E236" s="1">
        <f>IFERROR(__xludf.DUMMYFUNCTION("""COMPUTED_VALUE"""),233.0)</f>
        <v>233</v>
      </c>
      <c r="F236" s="1">
        <f>IFERROR(__xludf.DUMMYFUNCTION("""COMPUTED_VALUE"""),17.0)</f>
        <v>17</v>
      </c>
      <c r="G236" s="1">
        <f>IFERROR(__xludf.DUMMYFUNCTION("""COMPUTED_VALUE"""),-2.6)</f>
        <v>-2.6</v>
      </c>
      <c r="H236" s="1">
        <f>IFERROR(__xludf.DUMMYFUNCTION("""COMPUTED_VALUE"""),-1.8)</f>
        <v>-1.8</v>
      </c>
      <c r="I236" s="1" t="str">
        <f>IFERROR(__xludf.DUMMYFUNCTION("""COMPUTED_VALUE"""),"10.5-20.5")</f>
        <v>10.5-20.5</v>
      </c>
      <c r="J236" s="1" t="str">
        <f>IFERROR(__xludf.DUMMYFUNCTION("""COMPUTED_VALUE"""),"8.5-9.5")</f>
        <v>8.5-9.5</v>
      </c>
      <c r="K236" s="2">
        <f>IFERROR(__xludf.DUMMYFUNCTION("""COMPUTED_VALUE"""),0.008)</f>
        <v>0.008</v>
      </c>
      <c r="L236" s="1" t="str">
        <f>IFERROR(__xludf.DUMMYFUNCTION("""COMPUTED_VALUE"""),"182nd")</f>
        <v>182nd</v>
      </c>
    </row>
    <row r="237">
      <c r="A237" s="1" t="str">
        <f>IFERROR(__xludf.DUMMYFUNCTION("""COMPUTED_VALUE"""),"Robert Morris Colonials")</f>
        <v>Robert Morris Colonials</v>
      </c>
      <c r="B237" s="1" t="str">
        <f>IFERROR(__xludf.DUMMYFUNCTION("""COMPUTED_VALUE"""),"Horizon")</f>
        <v>Horizon</v>
      </c>
      <c r="C237" s="3">
        <f>IFERROR(__xludf.DUMMYFUNCTION("""COMPUTED_VALUE"""),45998.0)</f>
        <v>45998</v>
      </c>
      <c r="D237" s="1">
        <f>IFERROR(__xludf.DUMMYFUNCTION("""COMPUTED_VALUE"""),-4.5)</f>
        <v>-4.5</v>
      </c>
      <c r="E237" s="1">
        <f>IFERROR(__xludf.DUMMYFUNCTION("""COMPUTED_VALUE"""),234.0)</f>
        <v>234</v>
      </c>
      <c r="F237" s="1">
        <f>IFERROR(__xludf.DUMMYFUNCTION("""COMPUTED_VALUE"""),22.0)</f>
        <v>22</v>
      </c>
      <c r="G237" s="1">
        <f>IFERROR(__xludf.DUMMYFUNCTION("""COMPUTED_VALUE"""),-4.2)</f>
        <v>-4.2</v>
      </c>
      <c r="H237" s="1">
        <f>IFERROR(__xludf.DUMMYFUNCTION("""COMPUTED_VALUE"""),-0.3)</f>
        <v>-0.3</v>
      </c>
      <c r="I237" s="1" t="str">
        <f>IFERROR(__xludf.DUMMYFUNCTION("""COMPUTED_VALUE"""),"17.8-13.2")</f>
        <v>17.8-13.2</v>
      </c>
      <c r="J237" s="1" t="str">
        <f>IFERROR(__xludf.DUMMYFUNCTION("""COMPUTED_VALUE"""),"9.8-10.2")</f>
        <v>9.8-10.2</v>
      </c>
      <c r="K237" s="2">
        <f>IFERROR(__xludf.DUMMYFUNCTION("""COMPUTED_VALUE"""),0.013)</f>
        <v>0.013</v>
      </c>
      <c r="L237" s="1" t="str">
        <f>IFERROR(__xludf.DUMMYFUNCTION("""COMPUTED_VALUE"""),"226th")</f>
        <v>226th</v>
      </c>
    </row>
    <row r="238">
      <c r="A238" s="1" t="str">
        <f>IFERROR(__xludf.DUMMYFUNCTION("""COMPUTED_VALUE"""),"Northern Kentucky Norse")</f>
        <v>Northern Kentucky Norse</v>
      </c>
      <c r="B238" s="1" t="str">
        <f>IFERROR(__xludf.DUMMYFUNCTION("""COMPUTED_VALUE"""),"Horizon")</f>
        <v>Horizon</v>
      </c>
      <c r="C238" s="3">
        <f>IFERROR(__xludf.DUMMYFUNCTION("""COMPUTED_VALUE"""),45910.0)</f>
        <v>45910</v>
      </c>
      <c r="D238" s="1">
        <f>IFERROR(__xludf.DUMMYFUNCTION("""COMPUTED_VALUE"""),-4.6)</f>
        <v>-4.6</v>
      </c>
      <c r="E238" s="1">
        <f>IFERROR(__xludf.DUMMYFUNCTION("""COMPUTED_VALUE"""),235.0)</f>
        <v>235</v>
      </c>
      <c r="F238" s="1">
        <f>IFERROR(__xludf.DUMMYFUNCTION("""COMPUTED_VALUE"""),22.0)</f>
        <v>22</v>
      </c>
      <c r="G238" s="1">
        <f>IFERROR(__xludf.DUMMYFUNCTION("""COMPUTED_VALUE"""),-5.0)</f>
        <v>-5</v>
      </c>
      <c r="H238" s="1">
        <f>IFERROR(__xludf.DUMMYFUNCTION("""COMPUTED_VALUE"""),0.5)</f>
        <v>0.5</v>
      </c>
      <c r="I238" s="1" t="str">
        <f>IFERROR(__xludf.DUMMYFUNCTION("""COMPUTED_VALUE"""),"14.6-16.4")</f>
        <v>14.6-16.4</v>
      </c>
      <c r="J238" s="1" t="str">
        <f>IFERROR(__xludf.DUMMYFUNCTION("""COMPUTED_VALUE"""),"9.6-10.4")</f>
        <v>9.6-10.4</v>
      </c>
      <c r="K238" s="2">
        <f>IFERROR(__xludf.DUMMYFUNCTION("""COMPUTED_VALUE"""),0.025)</f>
        <v>0.025</v>
      </c>
      <c r="L238" s="1" t="str">
        <f>IFERROR(__xludf.DUMMYFUNCTION("""COMPUTED_VALUE"""),"217th")</f>
        <v>217th</v>
      </c>
    </row>
    <row r="239">
      <c r="A239" s="1" t="str">
        <f>IFERROR(__xludf.DUMMYFUNCTION("""COMPUTED_VALUE"""),"Presbyterian Blue Hose")</f>
        <v>Presbyterian Blue Hose</v>
      </c>
      <c r="B239" s="1" t="str">
        <f>IFERROR(__xludf.DUMMYFUNCTION("""COMPUTED_VALUE"""),"Big South")</f>
        <v>Big South</v>
      </c>
      <c r="C239" s="3">
        <f>IFERROR(__xludf.DUMMYFUNCTION("""COMPUTED_VALUE"""),45880.0)</f>
        <v>45880</v>
      </c>
      <c r="D239" s="1">
        <f>IFERROR(__xludf.DUMMYFUNCTION("""COMPUTED_VALUE"""),-4.6)</f>
        <v>-4.6</v>
      </c>
      <c r="E239" s="1">
        <f>IFERROR(__xludf.DUMMYFUNCTION("""COMPUTED_VALUE"""),236.0)</f>
        <v>236</v>
      </c>
      <c r="F239" s="1">
        <f>IFERROR(__xludf.DUMMYFUNCTION("""COMPUTED_VALUE"""),7.0)</f>
        <v>7</v>
      </c>
      <c r="G239" s="1">
        <f>IFERROR(__xludf.DUMMYFUNCTION("""COMPUTED_VALUE"""),-1.8)</f>
        <v>-1.8</v>
      </c>
      <c r="H239" s="1">
        <f>IFERROR(__xludf.DUMMYFUNCTION("""COMPUTED_VALUE"""),-2.8)</f>
        <v>-2.8</v>
      </c>
      <c r="I239" s="1" t="str">
        <f>IFERROR(__xludf.DUMMYFUNCTION("""COMPUTED_VALUE"""),"13.1-17.9")</f>
        <v>13.1-17.9</v>
      </c>
      <c r="J239" s="1" t="str">
        <f>IFERROR(__xludf.DUMMYFUNCTION("""COMPUTED_VALUE"""),"6.1-9.9")</f>
        <v>6.1-9.9</v>
      </c>
      <c r="K239" s="4">
        <f>IFERROR(__xludf.DUMMYFUNCTION("""COMPUTED_VALUE"""),0.01)</f>
        <v>0.01</v>
      </c>
      <c r="L239" s="1" t="str">
        <f>IFERROR(__xludf.DUMMYFUNCTION("""COMPUTED_VALUE"""),"173rd")</f>
        <v>173rd</v>
      </c>
    </row>
    <row r="240">
      <c r="A240" s="1" t="str">
        <f>IFERROR(__xludf.DUMMYFUNCTION("""COMPUTED_VALUE"""),"American University Eagles")</f>
        <v>American University Eagles</v>
      </c>
      <c r="B240" s="1" t="str">
        <f>IFERROR(__xludf.DUMMYFUNCTION("""COMPUTED_VALUE"""),"Patriot")</f>
        <v>Patriot</v>
      </c>
      <c r="C240" s="3">
        <f>IFERROR(__xludf.DUMMYFUNCTION("""COMPUTED_VALUE"""),45909.0)</f>
        <v>45909</v>
      </c>
      <c r="D240" s="1">
        <f>IFERROR(__xludf.DUMMYFUNCTION("""COMPUTED_VALUE"""),-4.6)</f>
        <v>-4.6</v>
      </c>
      <c r="E240" s="1">
        <f>IFERROR(__xludf.DUMMYFUNCTION("""COMPUTED_VALUE"""),237.0)</f>
        <v>237</v>
      </c>
      <c r="F240" s="1">
        <f>IFERROR(__xludf.DUMMYFUNCTION("""COMPUTED_VALUE"""),20.0)</f>
        <v>20</v>
      </c>
      <c r="G240" s="1">
        <f>IFERROR(__xludf.DUMMYFUNCTION("""COMPUTED_VALUE"""),-2.6)</f>
        <v>-2.6</v>
      </c>
      <c r="H240" s="1">
        <f>IFERROR(__xludf.DUMMYFUNCTION("""COMPUTED_VALUE"""),-2.0)</f>
        <v>-2</v>
      </c>
      <c r="I240" s="1" t="str">
        <f>IFERROR(__xludf.DUMMYFUNCTION("""COMPUTED_VALUE"""),"16.4-14.6")</f>
        <v>16.4-14.6</v>
      </c>
      <c r="J240" s="1" t="str">
        <f>IFERROR(__xludf.DUMMYFUNCTION("""COMPUTED_VALUE"""),"10.4-7.6")</f>
        <v>10.4-7.6</v>
      </c>
      <c r="K240" s="2">
        <f>IFERROR(__xludf.DUMMYFUNCTION("""COMPUTED_VALUE"""),0.216)</f>
        <v>0.216</v>
      </c>
      <c r="L240" s="1" t="str">
        <f>IFERROR(__xludf.DUMMYFUNCTION("""COMPUTED_VALUE"""),"310th")</f>
        <v>310th</v>
      </c>
    </row>
    <row r="241">
      <c r="A241" s="1" t="str">
        <f>IFERROR(__xludf.DUMMYFUNCTION("""COMPUTED_VALUE"""),"Mount St. Mary's Mountaineers")</f>
        <v>Mount St. Mary's Mountaineers</v>
      </c>
      <c r="B241" s="1" t="str">
        <f>IFERROR(__xludf.DUMMYFUNCTION("""COMPUTED_VALUE"""),"MAAC")</f>
        <v>MAAC</v>
      </c>
      <c r="C241" s="3">
        <f>IFERROR(__xludf.DUMMYFUNCTION("""COMPUTED_VALUE"""),45967.0)</f>
        <v>45967</v>
      </c>
      <c r="D241" s="1">
        <f>IFERROR(__xludf.DUMMYFUNCTION("""COMPUTED_VALUE"""),-4.7)</f>
        <v>-4.7</v>
      </c>
      <c r="E241" s="1">
        <f>IFERROR(__xludf.DUMMYFUNCTION("""COMPUTED_VALUE"""),238.0)</f>
        <v>238</v>
      </c>
      <c r="F241" s="1">
        <f>IFERROR(__xludf.DUMMYFUNCTION("""COMPUTED_VALUE"""),10.0)</f>
        <v>10</v>
      </c>
      <c r="G241" s="1">
        <f>IFERROR(__xludf.DUMMYFUNCTION("""COMPUTED_VALUE"""),-5.9)</f>
        <v>-5.9</v>
      </c>
      <c r="H241" s="1">
        <f>IFERROR(__xludf.DUMMYFUNCTION("""COMPUTED_VALUE"""),1.2)</f>
        <v>1.2</v>
      </c>
      <c r="I241" s="1" t="str">
        <f>IFERROR(__xludf.DUMMYFUNCTION("""COMPUTED_VALUE"""),"18.8-12.2")</f>
        <v>18.8-12.2</v>
      </c>
      <c r="J241" s="1" t="str">
        <f>IFERROR(__xludf.DUMMYFUNCTION("""COMPUTED_VALUE"""),"11.8-8.2")</f>
        <v>11.8-8.2</v>
      </c>
      <c r="K241" s="2">
        <f>IFERROR(__xludf.DUMMYFUNCTION("""COMPUTED_VALUE"""),0.106)</f>
        <v>0.106</v>
      </c>
      <c r="L241" s="1" t="str">
        <f>IFERROR(__xludf.DUMMYFUNCTION("""COMPUTED_VALUE"""),"301st")</f>
        <v>301st</v>
      </c>
    </row>
    <row r="242">
      <c r="A242" s="1" t="str">
        <f>IFERROR(__xludf.DUMMYFUNCTION("""COMPUTED_VALUE"""),"Idaho State Bengals")</f>
        <v>Idaho State Bengals</v>
      </c>
      <c r="B242" s="1" t="str">
        <f>IFERROR(__xludf.DUMMYFUNCTION("""COMPUTED_VALUE"""),"Big Sky")</f>
        <v>Big Sky</v>
      </c>
      <c r="C242" s="3">
        <f>IFERROR(__xludf.DUMMYFUNCTION("""COMPUTED_VALUE"""),45846.0)</f>
        <v>45846</v>
      </c>
      <c r="D242" s="1">
        <f>IFERROR(__xludf.DUMMYFUNCTION("""COMPUTED_VALUE"""),-4.8)</f>
        <v>-4.8</v>
      </c>
      <c r="E242" s="1">
        <f>IFERROR(__xludf.DUMMYFUNCTION("""COMPUTED_VALUE"""),239.0)</f>
        <v>239</v>
      </c>
      <c r="F242" s="1">
        <f>IFERROR(__xludf.DUMMYFUNCTION("""COMPUTED_VALUE"""),3.0)</f>
        <v>3</v>
      </c>
      <c r="G242" s="1">
        <f>IFERROR(__xludf.DUMMYFUNCTION("""COMPUTED_VALUE"""),-3.2)</f>
        <v>-3.2</v>
      </c>
      <c r="H242" s="1">
        <f>IFERROR(__xludf.DUMMYFUNCTION("""COMPUTED_VALUE"""),-1.6)</f>
        <v>-1.6</v>
      </c>
      <c r="I242" s="1" t="str">
        <f>IFERROR(__xludf.DUMMYFUNCTION("""COMPUTED_VALUE"""),"14.4-14.6")</f>
        <v>14.4-14.6</v>
      </c>
      <c r="J242" s="1" t="str">
        <f>IFERROR(__xludf.DUMMYFUNCTION("""COMPUTED_VALUE"""),"9.4-8.6")</f>
        <v>9.4-8.6</v>
      </c>
      <c r="K242" s="2">
        <f>IFERROR(__xludf.DUMMYFUNCTION("""COMPUTED_VALUE"""),0.046)</f>
        <v>0.046</v>
      </c>
      <c r="L242" s="1" t="str">
        <f>IFERROR(__xludf.DUMMYFUNCTION("""COMPUTED_VALUE"""),"283rd")</f>
        <v>283rd</v>
      </c>
    </row>
    <row r="243">
      <c r="A243" s="1" t="str">
        <f>IFERROR(__xludf.DUMMYFUNCTION("""COMPUTED_VALUE"""),"Tulsa Golden Hurricane")</f>
        <v>Tulsa Golden Hurricane</v>
      </c>
      <c r="B243" s="1" t="str">
        <f>IFERROR(__xludf.DUMMYFUNCTION("""COMPUTED_VALUE"""),"American")</f>
        <v>American</v>
      </c>
      <c r="C243" s="3">
        <f>IFERROR(__xludf.DUMMYFUNCTION("""COMPUTED_VALUE"""),45878.0)</f>
        <v>45878</v>
      </c>
      <c r="D243" s="1">
        <f>IFERROR(__xludf.DUMMYFUNCTION("""COMPUTED_VALUE"""),-4.8)</f>
        <v>-4.8</v>
      </c>
      <c r="E243" s="1">
        <f>IFERROR(__xludf.DUMMYFUNCTION("""COMPUTED_VALUE"""),240.0)</f>
        <v>240</v>
      </c>
      <c r="F243" s="1">
        <f>IFERROR(__xludf.DUMMYFUNCTION("""COMPUTED_VALUE"""),6.0)</f>
        <v>6</v>
      </c>
      <c r="G243" s="1">
        <f>IFERROR(__xludf.DUMMYFUNCTION("""COMPUTED_VALUE"""),-4.0)</f>
        <v>-4</v>
      </c>
      <c r="H243" s="1">
        <f>IFERROR(__xludf.DUMMYFUNCTION("""COMPUTED_VALUE"""),-0.8)</f>
        <v>-0.8</v>
      </c>
      <c r="I243" s="1" t="str">
        <f>IFERROR(__xludf.DUMMYFUNCTION("""COMPUTED_VALUE"""),"11.7-19.3")</f>
        <v>11.7-19.3</v>
      </c>
      <c r="J243" s="1" t="str">
        <f>IFERROR(__xludf.DUMMYFUNCTION("""COMPUTED_VALUE"""),"5.7-12.3")</f>
        <v>5.7-12.3</v>
      </c>
      <c r="K243" s="1" t="str">
        <f>IFERROR(__xludf.DUMMYFUNCTION("""COMPUTED_VALUE"""),"&lt;0.1%")</f>
        <v>&lt;0.1%</v>
      </c>
      <c r="L243" s="1" t="str">
        <f>IFERROR(__xludf.DUMMYFUNCTION("""COMPUTED_VALUE"""),"112th")</f>
        <v>112th</v>
      </c>
    </row>
    <row r="244">
      <c r="A244" s="1" t="str">
        <f>IFERROR(__xludf.DUMMYFUNCTION("""COMPUTED_VALUE"""),"UMBC Retrievers")</f>
        <v>UMBC Retrievers</v>
      </c>
      <c r="B244" s="1" t="str">
        <f>IFERROR(__xludf.DUMMYFUNCTION("""COMPUTED_VALUE"""),"Am. East")</f>
        <v>Am. East</v>
      </c>
      <c r="C244" s="3">
        <f>IFERROR(__xludf.DUMMYFUNCTION("""COMPUTED_VALUE"""),45909.0)</f>
        <v>45909</v>
      </c>
      <c r="D244" s="1">
        <f>IFERROR(__xludf.DUMMYFUNCTION("""COMPUTED_VALUE"""),-4.8)</f>
        <v>-4.8</v>
      </c>
      <c r="E244" s="1">
        <f>IFERROR(__xludf.DUMMYFUNCTION("""COMPUTED_VALUE"""),241.0)</f>
        <v>241</v>
      </c>
      <c r="F244" s="1">
        <f>IFERROR(__xludf.DUMMYFUNCTION("""COMPUTED_VALUE"""),9.0)</f>
        <v>9</v>
      </c>
      <c r="G244" s="1">
        <f>IFERROR(__xludf.DUMMYFUNCTION("""COMPUTED_VALUE"""),-0.8)</f>
        <v>-0.8</v>
      </c>
      <c r="H244" s="1">
        <f>IFERROR(__xludf.DUMMYFUNCTION("""COMPUTED_VALUE"""),-4.0)</f>
        <v>-4</v>
      </c>
      <c r="I244" s="1" t="str">
        <f>IFERROR(__xludf.DUMMYFUNCTION("""COMPUTED_VALUE"""),"15.2-15.8")</f>
        <v>15.2-15.8</v>
      </c>
      <c r="J244" s="1" t="str">
        <f>IFERROR(__xludf.DUMMYFUNCTION("""COMPUTED_VALUE"""),"7.2-8.8")</f>
        <v>7.2-8.8</v>
      </c>
      <c r="K244" s="2">
        <f>IFERROR(__xludf.DUMMYFUNCTION("""COMPUTED_VALUE"""),0.049)</f>
        <v>0.049</v>
      </c>
      <c r="L244" s="1" t="str">
        <f>IFERROR(__xludf.DUMMYFUNCTION("""COMPUTED_VALUE"""),"238th")</f>
        <v>238th</v>
      </c>
    </row>
    <row r="245">
      <c r="A245" s="1" t="str">
        <f>IFERROR(__xludf.DUMMYFUNCTION("""COMPUTED_VALUE"""),"North Carolina Central Eagles")</f>
        <v>North Carolina Central Eagles</v>
      </c>
      <c r="B245" s="1" t="str">
        <f>IFERROR(__xludf.DUMMYFUNCTION("""COMPUTED_VALUE"""),"MEAC")</f>
        <v>MEAC</v>
      </c>
      <c r="C245" s="3">
        <f>IFERROR(__xludf.DUMMYFUNCTION("""COMPUTED_VALUE"""),45912.0)</f>
        <v>45912</v>
      </c>
      <c r="D245" s="1">
        <f>IFERROR(__xludf.DUMMYFUNCTION("""COMPUTED_VALUE"""),-4.9)</f>
        <v>-4.9</v>
      </c>
      <c r="E245" s="1">
        <f>IFERROR(__xludf.DUMMYFUNCTION("""COMPUTED_VALUE"""),242.0)</f>
        <v>242</v>
      </c>
      <c r="F245" s="1">
        <f>IFERROR(__xludf.DUMMYFUNCTION("""COMPUTED_VALUE"""),1.0)</f>
        <v>1</v>
      </c>
      <c r="G245" s="1">
        <f>IFERROR(__xludf.DUMMYFUNCTION("""COMPUTED_VALUE"""),-2.5)</f>
        <v>-2.5</v>
      </c>
      <c r="H245" s="1">
        <f>IFERROR(__xludf.DUMMYFUNCTION("""COMPUTED_VALUE"""),-2.4)</f>
        <v>-2.4</v>
      </c>
      <c r="I245" s="1" t="str">
        <f>IFERROR(__xludf.DUMMYFUNCTION("""COMPUTED_VALUE"""),"14.8-16.2")</f>
        <v>14.8-16.2</v>
      </c>
      <c r="J245" s="1" t="str">
        <f>IFERROR(__xludf.DUMMYFUNCTION("""COMPUTED_VALUE"""),"7.8-6.2")</f>
        <v>7.8-6.2</v>
      </c>
      <c r="K245" s="2">
        <f>IFERROR(__xludf.DUMMYFUNCTION("""COMPUTED_VALUE"""),0.175)</f>
        <v>0.175</v>
      </c>
      <c r="L245" s="1" t="str">
        <f>IFERROR(__xludf.DUMMYFUNCTION("""COMPUTED_VALUE"""),"319th")</f>
        <v>319th</v>
      </c>
    </row>
    <row r="246">
      <c r="A246" s="1" t="str">
        <f>IFERROR(__xludf.DUMMYFUNCTION("""COMPUTED_VALUE"""),"UAlbany Great Danes")</f>
        <v>UAlbany Great Danes</v>
      </c>
      <c r="B246" s="1" t="str">
        <f>IFERROR(__xludf.DUMMYFUNCTION("""COMPUTED_VALUE"""),"Am. East")</f>
        <v>Am. East</v>
      </c>
      <c r="C246" s="3">
        <f>IFERROR(__xludf.DUMMYFUNCTION("""COMPUTED_VALUE"""),45910.0)</f>
        <v>45910</v>
      </c>
      <c r="D246" s="1">
        <f>IFERROR(__xludf.DUMMYFUNCTION("""COMPUTED_VALUE"""),-4.9)</f>
        <v>-4.9</v>
      </c>
      <c r="E246" s="1">
        <f>IFERROR(__xludf.DUMMYFUNCTION("""COMPUTED_VALUE"""),243.0)</f>
        <v>243</v>
      </c>
      <c r="F246" s="1">
        <f>IFERROR(__xludf.DUMMYFUNCTION("""COMPUTED_VALUE"""),18.0)</f>
        <v>18</v>
      </c>
      <c r="G246" s="1">
        <f>IFERROR(__xludf.DUMMYFUNCTION("""COMPUTED_VALUE"""),-2.2)</f>
        <v>-2.2</v>
      </c>
      <c r="H246" s="1">
        <f>IFERROR(__xludf.DUMMYFUNCTION("""COMPUTED_VALUE"""),-2.7)</f>
        <v>-2.7</v>
      </c>
      <c r="I246" s="1" t="str">
        <f>IFERROR(__xludf.DUMMYFUNCTION("""COMPUTED_VALUE"""),"15.4-15.6")</f>
        <v>15.4-15.6</v>
      </c>
      <c r="J246" s="1" t="str">
        <f>IFERROR(__xludf.DUMMYFUNCTION("""COMPUTED_VALUE"""),"7.4-8.6")</f>
        <v>7.4-8.6</v>
      </c>
      <c r="K246" s="2">
        <f>IFERROR(__xludf.DUMMYFUNCTION("""COMPUTED_VALUE"""),0.057)</f>
        <v>0.057</v>
      </c>
      <c r="L246" s="1" t="str">
        <f>IFERROR(__xludf.DUMMYFUNCTION("""COMPUTED_VALUE"""),"284th")</f>
        <v>284th</v>
      </c>
    </row>
    <row r="247">
      <c r="A247" s="1" t="str">
        <f>IFERROR(__xludf.DUMMYFUNCTION("""COMPUTED_VALUE"""),"Lamar Cardinals")</f>
        <v>Lamar Cardinals</v>
      </c>
      <c r="B247" s="1" t="str">
        <f>IFERROR(__xludf.DUMMYFUNCTION("""COMPUTED_VALUE"""),"Southland")</f>
        <v>Southland</v>
      </c>
      <c r="C247" s="3">
        <f>IFERROR(__xludf.DUMMYFUNCTION("""COMPUTED_VALUE"""),45908.0)</f>
        <v>45908</v>
      </c>
      <c r="D247" s="1">
        <f>IFERROR(__xludf.DUMMYFUNCTION("""COMPUTED_VALUE"""),-4.9)</f>
        <v>-4.9</v>
      </c>
      <c r="E247" s="1">
        <f>IFERROR(__xludf.DUMMYFUNCTION("""COMPUTED_VALUE"""),244.0)</f>
        <v>244</v>
      </c>
      <c r="F247" s="1">
        <f>IFERROR(__xludf.DUMMYFUNCTION("""COMPUTED_VALUE"""),26.0)</f>
        <v>26</v>
      </c>
      <c r="G247" s="1">
        <f>IFERROR(__xludf.DUMMYFUNCTION("""COMPUTED_VALUE"""),-4.8)</f>
        <v>-4.8</v>
      </c>
      <c r="H247" s="1">
        <f>IFERROR(__xludf.DUMMYFUNCTION("""COMPUTED_VALUE"""),0.0)</f>
        <v>0</v>
      </c>
      <c r="I247" s="1" t="str">
        <f>IFERROR(__xludf.DUMMYFUNCTION("""COMPUTED_VALUE"""),"15.5-15.5")</f>
        <v>15.5-15.5</v>
      </c>
      <c r="J247" s="1" t="str">
        <f>IFERROR(__xludf.DUMMYFUNCTION("""COMPUTED_VALUE"""),"10.5-9.5")</f>
        <v>10.5-9.5</v>
      </c>
      <c r="K247" s="1" t="str">
        <f>IFERROR(__xludf.DUMMYFUNCTION("""COMPUTED_VALUE"""),"&lt;0.1%")</f>
        <v>&lt;0.1%</v>
      </c>
      <c r="L247" s="1" t="str">
        <f>IFERROR(__xludf.DUMMYFUNCTION("""COMPUTED_VALUE"""),"216th")</f>
        <v>216th</v>
      </c>
    </row>
    <row r="248">
      <c r="A248" s="1" t="str">
        <f>IFERROR(__xludf.DUMMYFUNCTION("""COMPUTED_VALUE"""),"UC Davis Aggies")</f>
        <v>UC Davis Aggies</v>
      </c>
      <c r="B248" s="1" t="str">
        <f>IFERROR(__xludf.DUMMYFUNCTION("""COMPUTED_VALUE"""),"Big West")</f>
        <v>Big West</v>
      </c>
      <c r="C248" s="3">
        <f>IFERROR(__xludf.DUMMYFUNCTION("""COMPUTED_VALUE"""),45938.0)</f>
        <v>45938</v>
      </c>
      <c r="D248" s="1">
        <f>IFERROR(__xludf.DUMMYFUNCTION("""COMPUTED_VALUE"""),-5.0)</f>
        <v>-5</v>
      </c>
      <c r="E248" s="1">
        <f>IFERROR(__xludf.DUMMYFUNCTION("""COMPUTED_VALUE"""),245.0)</f>
        <v>245</v>
      </c>
      <c r="F248" s="1">
        <f>IFERROR(__xludf.DUMMYFUNCTION("""COMPUTED_VALUE"""),6.0)</f>
        <v>6</v>
      </c>
      <c r="G248" s="1">
        <f>IFERROR(__xludf.DUMMYFUNCTION("""COMPUTED_VALUE"""),-6.9)</f>
        <v>-6.9</v>
      </c>
      <c r="H248" s="1">
        <f>IFERROR(__xludf.DUMMYFUNCTION("""COMPUTED_VALUE"""),1.9)</f>
        <v>1.9</v>
      </c>
      <c r="I248" s="1" t="str">
        <f>IFERROR(__xludf.DUMMYFUNCTION("""COMPUTED_VALUE"""),"14.7-16.3")</f>
        <v>14.7-16.3</v>
      </c>
      <c r="J248" s="1" t="str">
        <f>IFERROR(__xludf.DUMMYFUNCTION("""COMPUTED_VALUE"""),"8.7-11.3")</f>
        <v>8.7-11.3</v>
      </c>
      <c r="K248" s="1" t="str">
        <f>IFERROR(__xludf.DUMMYFUNCTION("""COMPUTED_VALUE"""),"&lt;0.1%")</f>
        <v>&lt;0.1%</v>
      </c>
      <c r="L248" s="1" t="str">
        <f>IFERROR(__xludf.DUMMYFUNCTION("""COMPUTED_VALUE"""),"152nd")</f>
        <v>152nd</v>
      </c>
    </row>
    <row r="249">
      <c r="A249" s="1" t="str">
        <f>IFERROR(__xludf.DUMMYFUNCTION("""COMPUTED_VALUE"""),"Stephen F. Austin Lumberjacks")</f>
        <v>Stephen F. Austin Lumberjacks</v>
      </c>
      <c r="B249" s="1" t="str">
        <f>IFERROR(__xludf.DUMMYFUNCTION("""COMPUTED_VALUE"""),"Southland")</f>
        <v>Southland</v>
      </c>
      <c r="C249" s="3">
        <f>IFERROR(__xludf.DUMMYFUNCTION("""COMPUTED_VALUE"""),45878.0)</f>
        <v>45878</v>
      </c>
      <c r="D249" s="1">
        <f>IFERROR(__xludf.DUMMYFUNCTION("""COMPUTED_VALUE"""),-5.1)</f>
        <v>-5.1</v>
      </c>
      <c r="E249" s="1">
        <f>IFERROR(__xludf.DUMMYFUNCTION("""COMPUTED_VALUE"""),246.0)</f>
        <v>246</v>
      </c>
      <c r="F249" s="1">
        <f>IFERROR(__xludf.DUMMYFUNCTION("""COMPUTED_VALUE"""),2.0)</f>
        <v>2</v>
      </c>
      <c r="G249" s="1">
        <f>IFERROR(__xludf.DUMMYFUNCTION("""COMPUTED_VALUE"""),-9.9)</f>
        <v>-9.9</v>
      </c>
      <c r="H249" s="1">
        <f>IFERROR(__xludf.DUMMYFUNCTION("""COMPUTED_VALUE"""),4.8)</f>
        <v>4.8</v>
      </c>
      <c r="I249" s="1" t="str">
        <f>IFERROR(__xludf.DUMMYFUNCTION("""COMPUTED_VALUE"""),"15.0-16.0")</f>
        <v>15.0-16.0</v>
      </c>
      <c r="J249" s="1" t="str">
        <f>IFERROR(__xludf.DUMMYFUNCTION("""COMPUTED_VALUE"""),"8.0-12.0")</f>
        <v>8.0-12.0</v>
      </c>
      <c r="K249" s="2">
        <f>IFERROR(__xludf.DUMMYFUNCTION("""COMPUTED_VALUE"""),0.002)</f>
        <v>0.002</v>
      </c>
      <c r="L249" s="1" t="str">
        <f>IFERROR(__xludf.DUMMYFUNCTION("""COMPUTED_VALUE"""),"255th")</f>
        <v>255th</v>
      </c>
    </row>
    <row r="250">
      <c r="A250" s="1" t="str">
        <f>IFERROR(__xludf.DUMMYFUNCTION("""COMPUTED_VALUE"""),"Northern Arizona Lumberjacks")</f>
        <v>Northern Arizona Lumberjacks</v>
      </c>
      <c r="B250" s="1" t="str">
        <f>IFERROR(__xludf.DUMMYFUNCTION("""COMPUTED_VALUE"""),"Big Sky")</f>
        <v>Big Sky</v>
      </c>
      <c r="C250" s="3">
        <f>IFERROR(__xludf.DUMMYFUNCTION("""COMPUTED_VALUE"""),45968.0)</f>
        <v>45968</v>
      </c>
      <c r="D250" s="1">
        <f>IFERROR(__xludf.DUMMYFUNCTION("""COMPUTED_VALUE"""),-5.1)</f>
        <v>-5.1</v>
      </c>
      <c r="E250" s="1">
        <f>IFERROR(__xludf.DUMMYFUNCTION("""COMPUTED_VALUE"""),247.0)</f>
        <v>247</v>
      </c>
      <c r="F250" s="1">
        <f>IFERROR(__xludf.DUMMYFUNCTION("""COMPUTED_VALUE"""),12.0)</f>
        <v>12</v>
      </c>
      <c r="G250" s="1">
        <f>IFERROR(__xludf.DUMMYFUNCTION("""COMPUTED_VALUE"""),-2.7)</f>
        <v>-2.7</v>
      </c>
      <c r="H250" s="1">
        <f>IFERROR(__xludf.DUMMYFUNCTION("""COMPUTED_VALUE"""),-2.4)</f>
        <v>-2.4</v>
      </c>
      <c r="I250" s="1" t="str">
        <f>IFERROR(__xludf.DUMMYFUNCTION("""COMPUTED_VALUE"""),"17.2-13.8")</f>
        <v>17.2-13.8</v>
      </c>
      <c r="J250" s="1" t="str">
        <f>IFERROR(__xludf.DUMMYFUNCTION("""COMPUTED_VALUE"""),"8.2-9.8")</f>
        <v>8.2-9.8</v>
      </c>
      <c r="K250" s="4">
        <f>IFERROR(__xludf.DUMMYFUNCTION("""COMPUTED_VALUE"""),0.03)</f>
        <v>0.03</v>
      </c>
      <c r="L250" s="1" t="str">
        <f>IFERROR(__xludf.DUMMYFUNCTION("""COMPUTED_VALUE"""),"256th")</f>
        <v>256th</v>
      </c>
    </row>
    <row r="251">
      <c r="A251" s="1" t="str">
        <f>IFERROR(__xludf.DUMMYFUNCTION("""COMPUTED_VALUE"""),"Campbell Fighting Camels")</f>
        <v>Campbell Fighting Camels</v>
      </c>
      <c r="B251" s="1" t="str">
        <f>IFERROR(__xludf.DUMMYFUNCTION("""COMPUTED_VALUE"""),"CAA")</f>
        <v>CAA</v>
      </c>
      <c r="C251" s="3">
        <f>IFERROR(__xludf.DUMMYFUNCTION("""COMPUTED_VALUE"""),45849.0)</f>
        <v>45849</v>
      </c>
      <c r="D251" s="1">
        <f>IFERROR(__xludf.DUMMYFUNCTION("""COMPUTED_VALUE"""),-5.2)</f>
        <v>-5.2</v>
      </c>
      <c r="E251" s="1">
        <f>IFERROR(__xludf.DUMMYFUNCTION("""COMPUTED_VALUE"""),248.0)</f>
        <v>248</v>
      </c>
      <c r="F251" s="1">
        <f>IFERROR(__xludf.DUMMYFUNCTION("""COMPUTED_VALUE"""),6.0)</f>
        <v>6</v>
      </c>
      <c r="G251" s="1">
        <f>IFERROR(__xludf.DUMMYFUNCTION("""COMPUTED_VALUE"""),-4.8)</f>
        <v>-4.8</v>
      </c>
      <c r="H251" s="1">
        <f>IFERROR(__xludf.DUMMYFUNCTION("""COMPUTED_VALUE"""),-0.4)</f>
        <v>-0.4</v>
      </c>
      <c r="I251" s="1" t="str">
        <f>IFERROR(__xludf.DUMMYFUNCTION("""COMPUTED_VALUE"""),"12.5-18.5")</f>
        <v>12.5-18.5</v>
      </c>
      <c r="J251" s="1" t="str">
        <f>IFERROR(__xludf.DUMMYFUNCTION("""COMPUTED_VALUE"""),"7.5-10.5")</f>
        <v>7.5-10.5</v>
      </c>
      <c r="K251" s="2">
        <f>IFERROR(__xludf.DUMMYFUNCTION("""COMPUTED_VALUE"""),0.003)</f>
        <v>0.003</v>
      </c>
      <c r="L251" s="1" t="str">
        <f>IFERROR(__xludf.DUMMYFUNCTION("""COMPUTED_VALUE"""),"207th")</f>
        <v>207th</v>
      </c>
    </row>
    <row r="252">
      <c r="A252" s="1" t="str">
        <f>IFERROR(__xludf.DUMMYFUNCTION("""COMPUTED_VALUE"""),"Harvard Crimson")</f>
        <v>Harvard Crimson</v>
      </c>
      <c r="B252" s="1" t="str">
        <f>IFERROR(__xludf.DUMMYFUNCTION("""COMPUTED_VALUE"""),"Ivy")</f>
        <v>Ivy</v>
      </c>
      <c r="C252" s="3">
        <f>IFERROR(__xludf.DUMMYFUNCTION("""COMPUTED_VALUE"""),45786.0)</f>
        <v>45786</v>
      </c>
      <c r="D252" s="1">
        <f>IFERROR(__xludf.DUMMYFUNCTION("""COMPUTED_VALUE"""),-5.2)</f>
        <v>-5.2</v>
      </c>
      <c r="E252" s="1">
        <f>IFERROR(__xludf.DUMMYFUNCTION("""COMPUTED_VALUE"""),249.0)</f>
        <v>249</v>
      </c>
      <c r="F252" s="1">
        <f>IFERROR(__xludf.DUMMYFUNCTION("""COMPUTED_VALUE"""),6.0)</f>
        <v>6</v>
      </c>
      <c r="G252" s="1">
        <f>IFERROR(__xludf.DUMMYFUNCTION("""COMPUTED_VALUE"""),-4.4)</f>
        <v>-4.4</v>
      </c>
      <c r="H252" s="1">
        <f>IFERROR(__xludf.DUMMYFUNCTION("""COMPUTED_VALUE"""),-0.8)</f>
        <v>-0.8</v>
      </c>
      <c r="I252" s="1" t="str">
        <f>IFERROR(__xludf.DUMMYFUNCTION("""COMPUTED_VALUE"""),"9.3-17.7")</f>
        <v>9.3-17.7</v>
      </c>
      <c r="J252" s="1" t="str">
        <f>IFERROR(__xludf.DUMMYFUNCTION("""COMPUTED_VALUE"""),"4.3-9.7")</f>
        <v>4.3-9.7</v>
      </c>
      <c r="K252" s="2">
        <f>IFERROR(__xludf.DUMMYFUNCTION("""COMPUTED_VALUE"""),0.002)</f>
        <v>0.002</v>
      </c>
      <c r="L252" s="1" t="str">
        <f>IFERROR(__xludf.DUMMYFUNCTION("""COMPUTED_VALUE"""),"140th")</f>
        <v>140th</v>
      </c>
    </row>
    <row r="253">
      <c r="A253" s="1" t="str">
        <f>IFERROR(__xludf.DUMMYFUNCTION("""COMPUTED_VALUE"""),"Bethune-Cookman Wildcats")</f>
        <v>Bethune-Cookman Wildcats</v>
      </c>
      <c r="B253" s="1" t="str">
        <f>IFERROR(__xludf.DUMMYFUNCTION("""COMPUTED_VALUE"""),"SWAC")</f>
        <v>SWAC</v>
      </c>
      <c r="C253" s="3">
        <f>IFERROR(__xludf.DUMMYFUNCTION("""COMPUTED_VALUE"""),45788.0)</f>
        <v>45788</v>
      </c>
      <c r="D253" s="1">
        <f>IFERROR(__xludf.DUMMYFUNCTION("""COMPUTED_VALUE"""),-5.3)</f>
        <v>-5.3</v>
      </c>
      <c r="E253" s="1">
        <f>IFERROR(__xludf.DUMMYFUNCTION("""COMPUTED_VALUE"""),250.0)</f>
        <v>250</v>
      </c>
      <c r="F253" s="1">
        <f>IFERROR(__xludf.DUMMYFUNCTION("""COMPUTED_VALUE"""),6.0)</f>
        <v>6</v>
      </c>
      <c r="G253" s="1">
        <f>IFERROR(__xludf.DUMMYFUNCTION("""COMPUTED_VALUE"""),-6.6)</f>
        <v>-6.6</v>
      </c>
      <c r="H253" s="1">
        <f>IFERROR(__xludf.DUMMYFUNCTION("""COMPUTED_VALUE"""),1.3)</f>
        <v>1.3</v>
      </c>
      <c r="I253" s="1" t="str">
        <f>IFERROR(__xludf.DUMMYFUNCTION("""COMPUTED_VALUE"""),"15.9-15.1")</f>
        <v>15.9-15.1</v>
      </c>
      <c r="J253" s="1" t="str">
        <f>IFERROR(__xludf.DUMMYFUNCTION("""COMPUTED_VALUE"""),"12.9-5.1")</f>
        <v>12.9-5.1</v>
      </c>
      <c r="K253" s="2">
        <f>IFERROR(__xludf.DUMMYFUNCTION("""COMPUTED_VALUE"""),0.257)</f>
        <v>0.257</v>
      </c>
      <c r="L253" s="1" t="str">
        <f>IFERROR(__xludf.DUMMYFUNCTION("""COMPUTED_VALUE"""),"364th")</f>
        <v>364th</v>
      </c>
    </row>
    <row r="254">
      <c r="A254" s="1" t="str">
        <f>IFERROR(__xludf.DUMMYFUNCTION("""COMPUTED_VALUE"""),"South Dakota Coyotes")</f>
        <v>South Dakota Coyotes</v>
      </c>
      <c r="B254" s="1" t="str">
        <f>IFERROR(__xludf.DUMMYFUNCTION("""COMPUTED_VALUE"""),"Summit")</f>
        <v>Summit</v>
      </c>
      <c r="C254" s="3">
        <f>IFERROR(__xludf.DUMMYFUNCTION("""COMPUTED_VALUE"""),45969.0)</f>
        <v>45969</v>
      </c>
      <c r="D254" s="1">
        <f>IFERROR(__xludf.DUMMYFUNCTION("""COMPUTED_VALUE"""),-5.3)</f>
        <v>-5.3</v>
      </c>
      <c r="E254" s="1">
        <f>IFERROR(__xludf.DUMMYFUNCTION("""COMPUTED_VALUE"""),251.0)</f>
        <v>251</v>
      </c>
      <c r="F254" s="1">
        <f>IFERROR(__xludf.DUMMYFUNCTION("""COMPUTED_VALUE"""),3.0)</f>
        <v>3</v>
      </c>
      <c r="G254" s="1">
        <f>IFERROR(__xludf.DUMMYFUNCTION("""COMPUTED_VALUE"""),1.0)</f>
        <v>1</v>
      </c>
      <c r="H254" s="1">
        <f>IFERROR(__xludf.DUMMYFUNCTION("""COMPUTED_VALUE"""),-6.4)</f>
        <v>-6.4</v>
      </c>
      <c r="I254" s="1" t="str">
        <f>IFERROR(__xludf.DUMMYFUNCTION("""COMPUTED_VALUE"""),"16.4-14.6")</f>
        <v>16.4-14.6</v>
      </c>
      <c r="J254" s="1" t="str">
        <f>IFERROR(__xludf.DUMMYFUNCTION("""COMPUTED_VALUE"""),"7.4-8.6")</f>
        <v>7.4-8.6</v>
      </c>
      <c r="K254" s="2">
        <f>IFERROR(__xludf.DUMMYFUNCTION("""COMPUTED_VALUE"""),0.016)</f>
        <v>0.016</v>
      </c>
      <c r="L254" s="1" t="str">
        <f>IFERROR(__xludf.DUMMYFUNCTION("""COMPUTED_VALUE"""),"245th")</f>
        <v>245th</v>
      </c>
    </row>
    <row r="255">
      <c r="A255" s="1" t="str">
        <f>IFERROR(__xludf.DUMMYFUNCTION("""COMPUTED_VALUE"""),"Hampton Pirates")</f>
        <v>Hampton Pirates</v>
      </c>
      <c r="B255" s="1" t="str">
        <f>IFERROR(__xludf.DUMMYFUNCTION("""COMPUTED_VALUE"""),"CAA")</f>
        <v>CAA</v>
      </c>
      <c r="C255" s="3">
        <f>IFERROR(__xludf.DUMMYFUNCTION("""COMPUTED_VALUE"""),45909.0)</f>
        <v>45909</v>
      </c>
      <c r="D255" s="1">
        <f>IFERROR(__xludf.DUMMYFUNCTION("""COMPUTED_VALUE"""),-5.3)</f>
        <v>-5.3</v>
      </c>
      <c r="E255" s="1">
        <f>IFERROR(__xludf.DUMMYFUNCTION("""COMPUTED_VALUE"""),252.0)</f>
        <v>252</v>
      </c>
      <c r="F255" s="1">
        <f>IFERROR(__xludf.DUMMYFUNCTION("""COMPUTED_VALUE"""),1.0)</f>
        <v>1</v>
      </c>
      <c r="G255" s="1">
        <f>IFERROR(__xludf.DUMMYFUNCTION("""COMPUTED_VALUE"""),-4.3)</f>
        <v>-4.3</v>
      </c>
      <c r="H255" s="1">
        <f>IFERROR(__xludf.DUMMYFUNCTION("""COMPUTED_VALUE"""),-1.0)</f>
        <v>-1</v>
      </c>
      <c r="I255" s="1" t="str">
        <f>IFERROR(__xludf.DUMMYFUNCTION("""COMPUTED_VALUE"""),"13.4-16.6")</f>
        <v>13.4-16.6</v>
      </c>
      <c r="J255" s="1" t="str">
        <f>IFERROR(__xludf.DUMMYFUNCTION("""COMPUTED_VALUE"""),"6.4-11.6")</f>
        <v>6.4-11.6</v>
      </c>
      <c r="K255" s="2">
        <f>IFERROR(__xludf.DUMMYFUNCTION("""COMPUTED_VALUE"""),0.003)</f>
        <v>0.003</v>
      </c>
      <c r="L255" s="1" t="str">
        <f>IFERROR(__xludf.DUMMYFUNCTION("""COMPUTED_VALUE"""),"163rd")</f>
        <v>163rd</v>
      </c>
    </row>
    <row r="256">
      <c r="A256" s="1" t="str">
        <f>IFERROR(__xludf.DUMMYFUNCTION("""COMPUTED_VALUE"""),"Omaha Mavericks")</f>
        <v>Omaha Mavericks</v>
      </c>
      <c r="B256" s="1" t="str">
        <f>IFERROR(__xludf.DUMMYFUNCTION("""COMPUTED_VALUE"""),"Summit")</f>
        <v>Summit</v>
      </c>
      <c r="C256" s="3">
        <f>IFERROR(__xludf.DUMMYFUNCTION("""COMPUTED_VALUE"""),45970.0)</f>
        <v>45970</v>
      </c>
      <c r="D256" s="1">
        <f>IFERROR(__xludf.DUMMYFUNCTION("""COMPUTED_VALUE"""),-5.4)</f>
        <v>-5.4</v>
      </c>
      <c r="E256" s="1">
        <f>IFERROR(__xludf.DUMMYFUNCTION("""COMPUTED_VALUE"""),253.0)</f>
        <v>253</v>
      </c>
      <c r="F256" s="1">
        <f>IFERROR(__xludf.DUMMYFUNCTION("""COMPUTED_VALUE"""),16.0)</f>
        <v>16</v>
      </c>
      <c r="G256" s="1">
        <f>IFERROR(__xludf.DUMMYFUNCTION("""COMPUTED_VALUE"""),-2.4)</f>
        <v>-2.4</v>
      </c>
      <c r="H256" s="1">
        <f>IFERROR(__xludf.DUMMYFUNCTION("""COMPUTED_VALUE"""),-3.0)</f>
        <v>-3</v>
      </c>
      <c r="I256" s="1" t="str">
        <f>IFERROR(__xludf.DUMMYFUNCTION("""COMPUTED_VALUE"""),"16.2-14.8")</f>
        <v>16.2-14.8</v>
      </c>
      <c r="J256" s="1" t="str">
        <f>IFERROR(__xludf.DUMMYFUNCTION("""COMPUTED_VALUE"""),"10.2-5.8")</f>
        <v>10.2-5.8</v>
      </c>
      <c r="K256" s="2">
        <f>IFERROR(__xludf.DUMMYFUNCTION("""COMPUTED_VALUE"""),0.011)</f>
        <v>0.011</v>
      </c>
      <c r="L256" s="1" t="str">
        <f>IFERROR(__xludf.DUMMYFUNCTION("""COMPUTED_VALUE"""),"246th")</f>
        <v>246th</v>
      </c>
    </row>
    <row r="257">
      <c r="A257" s="1" t="str">
        <f>IFERROR(__xludf.DUMMYFUNCTION("""COMPUTED_VALUE"""),"North Florida Ospreys")</f>
        <v>North Florida Ospreys</v>
      </c>
      <c r="B257" s="1" t="str">
        <f>IFERROR(__xludf.DUMMYFUNCTION("""COMPUTED_VALUE"""),"ASUN")</f>
        <v>ASUN</v>
      </c>
      <c r="C257" s="3">
        <f>IFERROR(__xludf.DUMMYFUNCTION("""COMPUTED_VALUE"""),45909.0)</f>
        <v>45909</v>
      </c>
      <c r="D257" s="1">
        <f>IFERROR(__xludf.DUMMYFUNCTION("""COMPUTED_VALUE"""),-5.4)</f>
        <v>-5.4</v>
      </c>
      <c r="E257" s="1">
        <f>IFERROR(__xludf.DUMMYFUNCTION("""COMPUTED_VALUE"""),254.0)</f>
        <v>254</v>
      </c>
      <c r="F257" s="1">
        <f>IFERROR(__xludf.DUMMYFUNCTION("""COMPUTED_VALUE"""),8.0)</f>
        <v>8</v>
      </c>
      <c r="G257" s="1">
        <f>IFERROR(__xludf.DUMMYFUNCTION("""COMPUTED_VALUE"""),0.9)</f>
        <v>0.9</v>
      </c>
      <c r="H257" s="1">
        <f>IFERROR(__xludf.DUMMYFUNCTION("""COMPUTED_VALUE"""),-6.3)</f>
        <v>-6.3</v>
      </c>
      <c r="I257" s="1" t="str">
        <f>IFERROR(__xludf.DUMMYFUNCTION("""COMPUTED_VALUE"""),"15.9-15.1")</f>
        <v>15.9-15.1</v>
      </c>
      <c r="J257" s="1" t="str">
        <f>IFERROR(__xludf.DUMMYFUNCTION("""COMPUTED_VALUE"""),"8.9-9.1")</f>
        <v>8.9-9.1</v>
      </c>
      <c r="K257" s="2">
        <f>IFERROR(__xludf.DUMMYFUNCTION("""COMPUTED_VALUE"""),0.012)</f>
        <v>0.012</v>
      </c>
      <c r="L257" s="1" t="str">
        <f>IFERROR(__xludf.DUMMYFUNCTION("""COMPUTED_VALUE"""),"294th")</f>
        <v>294th</v>
      </c>
    </row>
    <row r="258">
      <c r="A258" s="1" t="str">
        <f>IFERROR(__xludf.DUMMYFUNCTION("""COMPUTED_VALUE"""),"Missouri State Bears")</f>
        <v>Missouri State Bears</v>
      </c>
      <c r="B258" s="1" t="str">
        <f>IFERROR(__xludf.DUMMYFUNCTION("""COMPUTED_VALUE"""),"MVC")</f>
        <v>MVC</v>
      </c>
      <c r="C258" s="3">
        <f>IFERROR(__xludf.DUMMYFUNCTION("""COMPUTED_VALUE"""),45849.0)</f>
        <v>45849</v>
      </c>
      <c r="D258" s="1">
        <f>IFERROR(__xludf.DUMMYFUNCTION("""COMPUTED_VALUE"""),-5.4)</f>
        <v>-5.4</v>
      </c>
      <c r="E258" s="1">
        <f>IFERROR(__xludf.DUMMYFUNCTION("""COMPUTED_VALUE"""),255.0)</f>
        <v>255</v>
      </c>
      <c r="F258" s="1">
        <f>IFERROR(__xludf.DUMMYFUNCTION("""COMPUTED_VALUE"""),24.0)</f>
        <v>24</v>
      </c>
      <c r="G258" s="1">
        <f>IFERROR(__xludf.DUMMYFUNCTION("""COMPUTED_VALUE"""),-4.0)</f>
        <v>-4</v>
      </c>
      <c r="H258" s="1">
        <f>IFERROR(__xludf.DUMMYFUNCTION("""COMPUTED_VALUE"""),-1.4)</f>
        <v>-1.4</v>
      </c>
      <c r="I258" s="1" t="str">
        <f>IFERROR(__xludf.DUMMYFUNCTION("""COMPUTED_VALUE"""),"10.5-20.5")</f>
        <v>10.5-20.5</v>
      </c>
      <c r="J258" s="1" t="str">
        <f>IFERROR(__xludf.DUMMYFUNCTION("""COMPUTED_VALUE"""),"3.5-16.5")</f>
        <v>3.5-16.5</v>
      </c>
      <c r="K258" s="1" t="str">
        <f>IFERROR(__xludf.DUMMYFUNCTION("""COMPUTED_VALUE"""),"&lt;0.1%")</f>
        <v>&lt;0.1%</v>
      </c>
      <c r="L258" s="1" t="str">
        <f>IFERROR(__xludf.DUMMYFUNCTION("""COMPUTED_VALUE"""),"120th")</f>
        <v>120th</v>
      </c>
    </row>
    <row r="259">
      <c r="A259" s="1" t="str">
        <f>IFERROR(__xludf.DUMMYFUNCTION("""COMPUTED_VALUE"""),"Gardner-Webb Runnin' Bulldogs")</f>
        <v>Gardner-Webb Runnin' Bulldogs</v>
      </c>
      <c r="B259" s="1" t="str">
        <f>IFERROR(__xludf.DUMMYFUNCTION("""COMPUTED_VALUE"""),"Big South")</f>
        <v>Big South</v>
      </c>
      <c r="C259" s="3">
        <f>IFERROR(__xludf.DUMMYFUNCTION("""COMPUTED_VALUE"""),45849.0)</f>
        <v>45849</v>
      </c>
      <c r="D259" s="1">
        <f>IFERROR(__xludf.DUMMYFUNCTION("""COMPUTED_VALUE"""),-5.5)</f>
        <v>-5.5</v>
      </c>
      <c r="E259" s="1">
        <f>IFERROR(__xludf.DUMMYFUNCTION("""COMPUTED_VALUE"""),256.0)</f>
        <v>256</v>
      </c>
      <c r="F259" s="1">
        <f>IFERROR(__xludf.DUMMYFUNCTION("""COMPUTED_VALUE"""),16.0)</f>
        <v>16</v>
      </c>
      <c r="G259" s="1">
        <f>IFERROR(__xludf.DUMMYFUNCTION("""COMPUTED_VALUE"""),-3.3)</f>
        <v>-3.3</v>
      </c>
      <c r="H259" s="1">
        <f>IFERROR(__xludf.DUMMYFUNCTION("""COMPUTED_VALUE"""),-2.1)</f>
        <v>-2.1</v>
      </c>
      <c r="I259" s="1" t="str">
        <f>IFERROR(__xludf.DUMMYFUNCTION("""COMPUTED_VALUE"""),"11.6-17.4")</f>
        <v>11.6-17.4</v>
      </c>
      <c r="J259" s="1" t="str">
        <f>IFERROR(__xludf.DUMMYFUNCTION("""COMPUTED_VALUE"""),"6.6-9.4")</f>
        <v>6.6-9.4</v>
      </c>
      <c r="K259" s="2">
        <f>IFERROR(__xludf.DUMMYFUNCTION("""COMPUTED_VALUE"""),0.005)</f>
        <v>0.005</v>
      </c>
      <c r="L259" s="1" t="str">
        <f>IFERROR(__xludf.DUMMYFUNCTION("""COMPUTED_VALUE"""),"206th")</f>
        <v>206th</v>
      </c>
    </row>
    <row r="260">
      <c r="A260" s="1" t="str">
        <f>IFERROR(__xludf.DUMMYFUNCTION("""COMPUTED_VALUE"""),"Lafayette Leopards")</f>
        <v>Lafayette Leopards</v>
      </c>
      <c r="B260" s="1" t="str">
        <f>IFERROR(__xludf.DUMMYFUNCTION("""COMPUTED_VALUE"""),"Patriot")</f>
        <v>Patriot</v>
      </c>
      <c r="C260" s="3">
        <f>IFERROR(__xludf.DUMMYFUNCTION("""COMPUTED_VALUE"""),45849.0)</f>
        <v>45849</v>
      </c>
      <c r="D260" s="1">
        <f>IFERROR(__xludf.DUMMYFUNCTION("""COMPUTED_VALUE"""),-5.5)</f>
        <v>-5.5</v>
      </c>
      <c r="E260" s="1">
        <f>IFERROR(__xludf.DUMMYFUNCTION("""COMPUTED_VALUE"""),257.0)</f>
        <v>257</v>
      </c>
      <c r="F260" s="1">
        <f>IFERROR(__xludf.DUMMYFUNCTION("""COMPUTED_VALUE"""),4.0)</f>
        <v>4</v>
      </c>
      <c r="G260" s="1">
        <f>IFERROR(__xludf.DUMMYFUNCTION("""COMPUTED_VALUE"""),-5.7)</f>
        <v>-5.7</v>
      </c>
      <c r="H260" s="1">
        <f>IFERROR(__xludf.DUMMYFUNCTION("""COMPUTED_VALUE"""),0.3)</f>
        <v>0.3</v>
      </c>
      <c r="I260" s="1" t="str">
        <f>IFERROR(__xludf.DUMMYFUNCTION("""COMPUTED_VALUE"""),"14.0-17.0")</f>
        <v>14.0-17.0</v>
      </c>
      <c r="J260" s="1" t="str">
        <f>IFERROR(__xludf.DUMMYFUNCTION("""COMPUTED_VALUE"""),"9.0-9.0")</f>
        <v>9.0-9.0</v>
      </c>
      <c r="K260" s="2">
        <f>IFERROR(__xludf.DUMMYFUNCTION("""COMPUTED_VALUE"""),0.137)</f>
        <v>0.137</v>
      </c>
      <c r="L260" s="1" t="str">
        <f>IFERROR(__xludf.DUMMYFUNCTION("""COMPUTED_VALUE"""),"312th")</f>
        <v>312th</v>
      </c>
    </row>
    <row r="261">
      <c r="A261" s="1" t="str">
        <f>IFERROR(__xludf.DUMMYFUNCTION("""COMPUTED_VALUE"""),"Bucknell Bison")</f>
        <v>Bucknell Bison</v>
      </c>
      <c r="B261" s="1" t="str">
        <f>IFERROR(__xludf.DUMMYFUNCTION("""COMPUTED_VALUE"""),"Patriot")</f>
        <v>Patriot</v>
      </c>
      <c r="C261" s="3">
        <f>IFERROR(__xludf.DUMMYFUNCTION("""COMPUTED_VALUE"""),45849.0)</f>
        <v>45849</v>
      </c>
      <c r="D261" s="1">
        <f>IFERROR(__xludf.DUMMYFUNCTION("""COMPUTED_VALUE"""),-5.5)</f>
        <v>-5.5</v>
      </c>
      <c r="E261" s="1">
        <f>IFERROR(__xludf.DUMMYFUNCTION("""COMPUTED_VALUE"""),258.0)</f>
        <v>258</v>
      </c>
      <c r="F261" s="1">
        <f>IFERROR(__xludf.DUMMYFUNCTION("""COMPUTED_VALUE"""),9.0)</f>
        <v>9</v>
      </c>
      <c r="G261" s="1">
        <f>IFERROR(__xludf.DUMMYFUNCTION("""COMPUTED_VALUE"""),-6.3)</f>
        <v>-6.3</v>
      </c>
      <c r="H261" s="1">
        <f>IFERROR(__xludf.DUMMYFUNCTION("""COMPUTED_VALUE"""),0.8)</f>
        <v>0.8</v>
      </c>
      <c r="I261" s="1" t="str">
        <f>IFERROR(__xludf.DUMMYFUNCTION("""COMPUTED_VALUE"""),"13.9-17.1")</f>
        <v>13.9-17.1</v>
      </c>
      <c r="J261" s="1" t="str">
        <f>IFERROR(__xludf.DUMMYFUNCTION("""COMPUTED_VALUE"""),"9.9-8.1")</f>
        <v>9.9-8.1</v>
      </c>
      <c r="K261" s="2">
        <f>IFERROR(__xludf.DUMMYFUNCTION("""COMPUTED_VALUE"""),0.162)</f>
        <v>0.162</v>
      </c>
      <c r="L261" s="1" t="str">
        <f>IFERROR(__xludf.DUMMYFUNCTION("""COMPUTED_VALUE"""),"308th")</f>
        <v>308th</v>
      </c>
    </row>
    <row r="262">
      <c r="A262" s="1" t="str">
        <f>IFERROR(__xludf.DUMMYFUNCTION("""COMPUTED_VALUE"""),"Incarnate Word Cardinals")</f>
        <v>Incarnate Word Cardinals</v>
      </c>
      <c r="B262" s="1" t="str">
        <f>IFERROR(__xludf.DUMMYFUNCTION("""COMPUTED_VALUE"""),"Southland")</f>
        <v>Southland</v>
      </c>
      <c r="C262" s="3">
        <f>IFERROR(__xludf.DUMMYFUNCTION("""COMPUTED_VALUE"""),45908.0)</f>
        <v>45908</v>
      </c>
      <c r="D262" s="1">
        <f>IFERROR(__xludf.DUMMYFUNCTION("""COMPUTED_VALUE"""),-5.6)</f>
        <v>-5.6</v>
      </c>
      <c r="E262" s="1">
        <f>IFERROR(__xludf.DUMMYFUNCTION("""COMPUTED_VALUE"""),259.0)</f>
        <v>259</v>
      </c>
      <c r="F262" s="1">
        <f>IFERROR(__xludf.DUMMYFUNCTION("""COMPUTED_VALUE"""),14.0)</f>
        <v>14</v>
      </c>
      <c r="G262" s="1">
        <f>IFERROR(__xludf.DUMMYFUNCTION("""COMPUTED_VALUE"""),-1.3)</f>
        <v>-1.3</v>
      </c>
      <c r="H262" s="1">
        <f>IFERROR(__xludf.DUMMYFUNCTION("""COMPUTED_VALUE"""),-4.3)</f>
        <v>-4.3</v>
      </c>
      <c r="I262" s="1" t="str">
        <f>IFERROR(__xludf.DUMMYFUNCTION("""COMPUTED_VALUE"""),"16.0-15.0")</f>
        <v>16.0-15.0</v>
      </c>
      <c r="J262" s="1" t="str">
        <f>IFERROR(__xludf.DUMMYFUNCTION("""COMPUTED_VALUE"""),"9.0-11.0")</f>
        <v>9.0-11.0</v>
      </c>
      <c r="K262" s="2">
        <f>IFERROR(__xludf.DUMMYFUNCTION("""COMPUTED_VALUE"""),0.003)</f>
        <v>0.003</v>
      </c>
      <c r="L262" s="1" t="str">
        <f>IFERROR(__xludf.DUMMYFUNCTION("""COMPUTED_VALUE"""),"268th")</f>
        <v>268th</v>
      </c>
    </row>
    <row r="263">
      <c r="A263" s="1" t="str">
        <f>IFERROR(__xludf.DUMMYFUNCTION("""COMPUTED_VALUE"""),"Southern Utah Thunderbirds")</f>
        <v>Southern Utah Thunderbirds</v>
      </c>
      <c r="B263" s="1" t="str">
        <f>IFERROR(__xludf.DUMMYFUNCTION("""COMPUTED_VALUE"""),"WAC")</f>
        <v>WAC</v>
      </c>
      <c r="C263" s="3">
        <f>IFERROR(__xludf.DUMMYFUNCTION("""COMPUTED_VALUE"""),45908.0)</f>
        <v>45908</v>
      </c>
      <c r="D263" s="1">
        <f>IFERROR(__xludf.DUMMYFUNCTION("""COMPUTED_VALUE"""),-5.7)</f>
        <v>-5.7</v>
      </c>
      <c r="E263" s="1">
        <f>IFERROR(__xludf.DUMMYFUNCTION("""COMPUTED_VALUE"""),260.0)</f>
        <v>260</v>
      </c>
      <c r="F263" s="1">
        <f>IFERROR(__xludf.DUMMYFUNCTION("""COMPUTED_VALUE"""),3.0)</f>
        <v>3</v>
      </c>
      <c r="G263" s="1">
        <f>IFERROR(__xludf.DUMMYFUNCTION("""COMPUTED_VALUE"""),-3.9)</f>
        <v>-3.9</v>
      </c>
      <c r="H263" s="1">
        <f>IFERROR(__xludf.DUMMYFUNCTION("""COMPUTED_VALUE"""),-1.7)</f>
        <v>-1.7</v>
      </c>
      <c r="I263" s="1" t="str">
        <f>IFERROR(__xludf.DUMMYFUNCTION("""COMPUTED_VALUE"""),"14.0-16.0")</f>
        <v>14.0-16.0</v>
      </c>
      <c r="J263" s="1" t="str">
        <f>IFERROR(__xludf.DUMMYFUNCTION("""COMPUTED_VALUE"""),"6.0-10.0")</f>
        <v>6.0-10.0</v>
      </c>
      <c r="K263" s="2">
        <f>IFERROR(__xludf.DUMMYFUNCTION("""COMPUTED_VALUE"""),0.003)</f>
        <v>0.003</v>
      </c>
      <c r="L263" s="1" t="str">
        <f>IFERROR(__xludf.DUMMYFUNCTION("""COMPUTED_VALUE"""),"185th")</f>
        <v>185th</v>
      </c>
    </row>
    <row r="264">
      <c r="A264" s="1" t="str">
        <f>IFERROR(__xludf.DUMMYFUNCTION("""COMPUTED_VALUE"""),"Eastern Kentucky Colonels")</f>
        <v>Eastern Kentucky Colonels</v>
      </c>
      <c r="B264" s="1" t="str">
        <f>IFERROR(__xludf.DUMMYFUNCTION("""COMPUTED_VALUE"""),"ASUN")</f>
        <v>ASUN</v>
      </c>
      <c r="C264" s="3">
        <f>IFERROR(__xludf.DUMMYFUNCTION("""COMPUTED_VALUE"""),45879.0)</f>
        <v>45879</v>
      </c>
      <c r="D264" s="1">
        <f>IFERROR(__xludf.DUMMYFUNCTION("""COMPUTED_VALUE"""),-5.7)</f>
        <v>-5.7</v>
      </c>
      <c r="E264" s="1">
        <f>IFERROR(__xludf.DUMMYFUNCTION("""COMPUTED_VALUE"""),261.0)</f>
        <v>261</v>
      </c>
      <c r="F264" s="1">
        <f>IFERROR(__xludf.DUMMYFUNCTION("""COMPUTED_VALUE"""),9.0)</f>
        <v>9</v>
      </c>
      <c r="G264" s="1">
        <f>IFERROR(__xludf.DUMMYFUNCTION("""COMPUTED_VALUE"""),-2.0)</f>
        <v>-2</v>
      </c>
      <c r="H264" s="1">
        <f>IFERROR(__xludf.DUMMYFUNCTION("""COMPUTED_VALUE"""),-3.7)</f>
        <v>-3.7</v>
      </c>
      <c r="I264" s="1" t="str">
        <f>IFERROR(__xludf.DUMMYFUNCTION("""COMPUTED_VALUE"""),"14.8-16.2")</f>
        <v>14.8-16.2</v>
      </c>
      <c r="J264" s="1" t="str">
        <f>IFERROR(__xludf.DUMMYFUNCTION("""COMPUTED_VALUE"""),"8.8-9.2")</f>
        <v>8.8-9.2</v>
      </c>
      <c r="K264" s="2">
        <f>IFERROR(__xludf.DUMMYFUNCTION("""COMPUTED_VALUE"""),0.011)</f>
        <v>0.011</v>
      </c>
      <c r="L264" s="1" t="str">
        <f>IFERROR(__xludf.DUMMYFUNCTION("""COMPUTED_VALUE"""),"286th")</f>
        <v>286th</v>
      </c>
    </row>
    <row r="265">
      <c r="A265" s="1" t="str">
        <f>IFERROR(__xludf.DUMMYFUNCTION("""COMPUTED_VALUE"""),"Abilene Christian Wildcats")</f>
        <v>Abilene Christian Wildcats</v>
      </c>
      <c r="B265" s="1" t="str">
        <f>IFERROR(__xludf.DUMMYFUNCTION("""COMPUTED_VALUE"""),"WAC")</f>
        <v>WAC</v>
      </c>
      <c r="C265" s="3">
        <f>IFERROR(__xludf.DUMMYFUNCTION("""COMPUTED_VALUE"""),45879.0)</f>
        <v>45879</v>
      </c>
      <c r="D265" s="1">
        <f>IFERROR(__xludf.DUMMYFUNCTION("""COMPUTED_VALUE"""),-5.8)</f>
        <v>-5.8</v>
      </c>
      <c r="E265" s="1">
        <f>IFERROR(__xludf.DUMMYFUNCTION("""COMPUTED_VALUE"""),262.0)</f>
        <v>262</v>
      </c>
      <c r="F265" s="1">
        <f>IFERROR(__xludf.DUMMYFUNCTION("""COMPUTED_VALUE"""),4.0)</f>
        <v>4</v>
      </c>
      <c r="G265" s="1">
        <f>IFERROR(__xludf.DUMMYFUNCTION("""COMPUTED_VALUE"""),-5.9)</f>
        <v>-5.9</v>
      </c>
      <c r="H265" s="1">
        <f>IFERROR(__xludf.DUMMYFUNCTION("""COMPUTED_VALUE"""),0.1)</f>
        <v>0.1</v>
      </c>
      <c r="I265" s="1" t="str">
        <f>IFERROR(__xludf.DUMMYFUNCTION("""COMPUTED_VALUE"""),"13.7-17.3")</f>
        <v>13.7-17.3</v>
      </c>
      <c r="J265" s="1" t="str">
        <f>IFERROR(__xludf.DUMMYFUNCTION("""COMPUTED_VALUE"""),"5.7-10.3")</f>
        <v>5.7-10.3</v>
      </c>
      <c r="K265" s="2">
        <f>IFERROR(__xludf.DUMMYFUNCTION("""COMPUTED_VALUE"""),0.002)</f>
        <v>0.002</v>
      </c>
      <c r="L265" s="1" t="str">
        <f>IFERROR(__xludf.DUMMYFUNCTION("""COMPUTED_VALUE"""),"247th")</f>
        <v>247th</v>
      </c>
    </row>
    <row r="266">
      <c r="A266" s="1" t="str">
        <f>IFERROR(__xludf.DUMMYFUNCTION("""COMPUTED_VALUE"""),"Little Rock Trojans")</f>
        <v>Little Rock Trojans</v>
      </c>
      <c r="B266" s="1" t="str">
        <f>IFERROR(__xludf.DUMMYFUNCTION("""COMPUTED_VALUE"""),"OVC")</f>
        <v>OVC</v>
      </c>
      <c r="C266" s="3">
        <f>IFERROR(__xludf.DUMMYFUNCTION("""COMPUTED_VALUE"""),45937.0)</f>
        <v>45937</v>
      </c>
      <c r="D266" s="1">
        <f>IFERROR(__xludf.DUMMYFUNCTION("""COMPUTED_VALUE"""),-5.8)</f>
        <v>-5.8</v>
      </c>
      <c r="E266" s="1">
        <f>IFERROR(__xludf.DUMMYFUNCTION("""COMPUTED_VALUE"""),263.0)</f>
        <v>263</v>
      </c>
      <c r="F266" s="1">
        <f>IFERROR(__xludf.DUMMYFUNCTION("""COMPUTED_VALUE"""),13.0)</f>
        <v>13</v>
      </c>
      <c r="G266" s="1">
        <f>IFERROR(__xludf.DUMMYFUNCTION("""COMPUTED_VALUE"""),-6.9)</f>
        <v>-6.9</v>
      </c>
      <c r="H266" s="1">
        <f>IFERROR(__xludf.DUMMYFUNCTION("""COMPUTED_VALUE"""),1.0)</f>
        <v>1</v>
      </c>
      <c r="I266" s="1" t="str">
        <f>IFERROR(__xludf.DUMMYFUNCTION("""COMPUTED_VALUE"""),"18.6-12.4")</f>
        <v>18.6-12.4</v>
      </c>
      <c r="J266" s="1" t="str">
        <f>IFERROR(__xludf.DUMMYFUNCTION("""COMPUTED_VALUE"""),"11.9-7.1")</f>
        <v>11.9-7.1</v>
      </c>
      <c r="K266" s="2">
        <f>IFERROR(__xludf.DUMMYFUNCTION("""COMPUTED_VALUE"""),0.304)</f>
        <v>0.304</v>
      </c>
      <c r="L266" s="1" t="str">
        <f>IFERROR(__xludf.DUMMYFUNCTION("""COMPUTED_VALUE"""),"345th")</f>
        <v>345th</v>
      </c>
    </row>
    <row r="267">
      <c r="A267" s="1" t="str">
        <f>IFERROR(__xludf.DUMMYFUNCTION("""COMPUTED_VALUE"""),"SIU Edwardsville Cougars")</f>
        <v>SIU Edwardsville Cougars</v>
      </c>
      <c r="B267" s="1" t="str">
        <f>IFERROR(__xludf.DUMMYFUNCTION("""COMPUTED_VALUE"""),"OVC")</f>
        <v>OVC</v>
      </c>
      <c r="C267" s="3">
        <f>IFERROR(__xludf.DUMMYFUNCTION("""COMPUTED_VALUE"""),45997.0)</f>
        <v>45997</v>
      </c>
      <c r="D267" s="1">
        <f>IFERROR(__xludf.DUMMYFUNCTION("""COMPUTED_VALUE"""),-5.8)</f>
        <v>-5.8</v>
      </c>
      <c r="E267" s="1">
        <f>IFERROR(__xludf.DUMMYFUNCTION("""COMPUTED_VALUE"""),264.0)</f>
        <v>264</v>
      </c>
      <c r="F267" s="1">
        <f>IFERROR(__xludf.DUMMYFUNCTION("""COMPUTED_VALUE"""),1.0)</f>
        <v>1</v>
      </c>
      <c r="G267" s="1">
        <f>IFERROR(__xludf.DUMMYFUNCTION("""COMPUTED_VALUE"""),-6.3)</f>
        <v>-6.3</v>
      </c>
      <c r="H267" s="1">
        <f>IFERROR(__xludf.DUMMYFUNCTION("""COMPUTED_VALUE"""),0.5)</f>
        <v>0.5</v>
      </c>
      <c r="I267" s="1" t="str">
        <f>IFERROR(__xludf.DUMMYFUNCTION("""COMPUTED_VALUE"""),"19.9-11.1")</f>
        <v>19.9-11.1</v>
      </c>
      <c r="J267" s="1" t="str">
        <f>IFERROR(__xludf.DUMMYFUNCTION("""COMPUTED_VALUE"""),"12.9-7.1")</f>
        <v>12.9-7.1</v>
      </c>
      <c r="K267" s="2">
        <f>IFERROR(__xludf.DUMMYFUNCTION("""COMPUTED_VALUE"""),0.311)</f>
        <v>0.311</v>
      </c>
      <c r="L267" s="1" t="str">
        <f>IFERROR(__xludf.DUMMYFUNCTION("""COMPUTED_VALUE"""),"342nd")</f>
        <v>342nd</v>
      </c>
    </row>
    <row r="268">
      <c r="A268" s="1" t="str">
        <f>IFERROR(__xludf.DUMMYFUNCTION("""COMPUTED_VALUE"""),"Boston University Terriers")</f>
        <v>Boston University Terriers</v>
      </c>
      <c r="B268" s="1" t="str">
        <f>IFERROR(__xludf.DUMMYFUNCTION("""COMPUTED_VALUE"""),"Patriot")</f>
        <v>Patriot</v>
      </c>
      <c r="C268" s="3">
        <f>IFERROR(__xludf.DUMMYFUNCTION("""COMPUTED_VALUE"""),45909.0)</f>
        <v>45909</v>
      </c>
      <c r="D268" s="1">
        <f>IFERROR(__xludf.DUMMYFUNCTION("""COMPUTED_VALUE"""),-5.9)</f>
        <v>-5.9</v>
      </c>
      <c r="E268" s="1">
        <f>IFERROR(__xludf.DUMMYFUNCTION("""COMPUTED_VALUE"""),265.0)</f>
        <v>265</v>
      </c>
      <c r="F268" s="1">
        <f>IFERROR(__xludf.DUMMYFUNCTION("""COMPUTED_VALUE"""),27.0)</f>
        <v>27</v>
      </c>
      <c r="G268" s="1">
        <f>IFERROR(__xludf.DUMMYFUNCTION("""COMPUTED_VALUE"""),-4.9)</f>
        <v>-4.9</v>
      </c>
      <c r="H268" s="1">
        <f>IFERROR(__xludf.DUMMYFUNCTION("""COMPUTED_VALUE"""),-1.0)</f>
        <v>-1</v>
      </c>
      <c r="I268" s="1" t="str">
        <f>IFERROR(__xludf.DUMMYFUNCTION("""COMPUTED_VALUE"""),"15.7-15.3")</f>
        <v>15.7-15.3</v>
      </c>
      <c r="J268" s="1" t="str">
        <f>IFERROR(__xludf.DUMMYFUNCTION("""COMPUTED_VALUE"""),"9.7-8.3")</f>
        <v>9.7-8.3</v>
      </c>
      <c r="K268" s="2">
        <f>IFERROR(__xludf.DUMMYFUNCTION("""COMPUTED_VALUE"""),0.162)</f>
        <v>0.162</v>
      </c>
      <c r="L268" s="1" t="str">
        <f>IFERROR(__xludf.DUMMYFUNCTION("""COMPUTED_VALUE"""),"313th")</f>
        <v>313th</v>
      </c>
    </row>
    <row r="269">
      <c r="A269" s="1" t="str">
        <f>IFERROR(__xludf.DUMMYFUNCTION("""COMPUTED_VALUE"""),"Portland State Vikings")</f>
        <v>Portland State Vikings</v>
      </c>
      <c r="B269" s="1" t="str">
        <f>IFERROR(__xludf.DUMMYFUNCTION("""COMPUTED_VALUE"""),"Big Sky")</f>
        <v>Big Sky</v>
      </c>
      <c r="C269" s="3">
        <f>IFERROR(__xludf.DUMMYFUNCTION("""COMPUTED_VALUE"""),45937.0)</f>
        <v>45937</v>
      </c>
      <c r="D269" s="1">
        <f>IFERROR(__xludf.DUMMYFUNCTION("""COMPUTED_VALUE"""),-6.0)</f>
        <v>-6</v>
      </c>
      <c r="E269" s="1">
        <f>IFERROR(__xludf.DUMMYFUNCTION("""COMPUTED_VALUE"""),266.0)</f>
        <v>266</v>
      </c>
      <c r="F269" s="1">
        <f>IFERROR(__xludf.DUMMYFUNCTION("""COMPUTED_VALUE"""),6.0)</f>
        <v>6</v>
      </c>
      <c r="G269" s="1">
        <f>IFERROR(__xludf.DUMMYFUNCTION("""COMPUTED_VALUE"""),-5.4)</f>
        <v>-5.4</v>
      </c>
      <c r="H269" s="1">
        <f>IFERROR(__xludf.DUMMYFUNCTION("""COMPUTED_VALUE"""),-0.5)</f>
        <v>-0.5</v>
      </c>
      <c r="I269" s="1" t="str">
        <f>IFERROR(__xludf.DUMMYFUNCTION("""COMPUTED_VALUE"""),"15.9-15.1")</f>
        <v>15.9-15.1</v>
      </c>
      <c r="J269" s="1" t="str">
        <f>IFERROR(__xludf.DUMMYFUNCTION("""COMPUTED_VALUE"""),"7.9-10.1")</f>
        <v>7.9-10.1</v>
      </c>
      <c r="K269" s="2">
        <f>IFERROR(__xludf.DUMMYFUNCTION("""COMPUTED_VALUE"""),0.014)</f>
        <v>0.014</v>
      </c>
      <c r="L269" s="1" t="str">
        <f>IFERROR(__xludf.DUMMYFUNCTION("""COMPUTED_VALUE"""),"244th")</f>
        <v>244th</v>
      </c>
    </row>
    <row r="270">
      <c r="A270" s="1" t="str">
        <f>IFERROR(__xludf.DUMMYFUNCTION("""COMPUTED_VALUE"""),"Bowling Green Falcons")</f>
        <v>Bowling Green Falcons</v>
      </c>
      <c r="B270" s="1" t="str">
        <f>IFERROR(__xludf.DUMMYFUNCTION("""COMPUTED_VALUE"""),"MAC")</f>
        <v>MAC</v>
      </c>
      <c r="C270" s="3">
        <f>IFERROR(__xludf.DUMMYFUNCTION("""COMPUTED_VALUE"""),45847.0)</f>
        <v>45847</v>
      </c>
      <c r="D270" s="1">
        <f>IFERROR(__xludf.DUMMYFUNCTION("""COMPUTED_VALUE"""),-6.1)</f>
        <v>-6.1</v>
      </c>
      <c r="E270" s="1">
        <f>IFERROR(__xludf.DUMMYFUNCTION("""COMPUTED_VALUE"""),267.0)</f>
        <v>267</v>
      </c>
      <c r="F270" s="1">
        <f>IFERROR(__xludf.DUMMYFUNCTION("""COMPUTED_VALUE"""),7.0)</f>
        <v>7</v>
      </c>
      <c r="G270" s="1">
        <f>IFERROR(__xludf.DUMMYFUNCTION("""COMPUTED_VALUE"""),-3.1)</f>
        <v>-3.1</v>
      </c>
      <c r="H270" s="1">
        <f>IFERROR(__xludf.DUMMYFUNCTION("""COMPUTED_VALUE"""),-3.0)</f>
        <v>-3</v>
      </c>
      <c r="I270" s="1" t="str">
        <f>IFERROR(__xludf.DUMMYFUNCTION("""COMPUTED_VALUE"""),"14.3-16.7")</f>
        <v>14.3-16.7</v>
      </c>
      <c r="J270" s="1" t="str">
        <f>IFERROR(__xludf.DUMMYFUNCTION("""COMPUTED_VALUE"""),"8.6-9.4")</f>
        <v>8.6-9.4</v>
      </c>
      <c r="K270" s="2">
        <f>IFERROR(__xludf.DUMMYFUNCTION("""COMPUTED_VALUE"""),0.008)</f>
        <v>0.008</v>
      </c>
      <c r="L270" s="1" t="str">
        <f>IFERROR(__xludf.DUMMYFUNCTION("""COMPUTED_VALUE"""),"277th")</f>
        <v>277th</v>
      </c>
    </row>
    <row r="271">
      <c r="A271" s="1" t="str">
        <f>IFERROR(__xludf.DUMMYFUNCTION("""COMPUTED_VALUE"""),"Morehead State Eagles")</f>
        <v>Morehead State Eagles</v>
      </c>
      <c r="B271" s="1" t="str">
        <f>IFERROR(__xludf.DUMMYFUNCTION("""COMPUTED_VALUE"""),"OVC")</f>
        <v>OVC</v>
      </c>
      <c r="C271" s="3">
        <f>IFERROR(__xludf.DUMMYFUNCTION("""COMPUTED_VALUE"""),45968.0)</f>
        <v>45968</v>
      </c>
      <c r="D271" s="1">
        <f>IFERROR(__xludf.DUMMYFUNCTION("""COMPUTED_VALUE"""),-6.3)</f>
        <v>-6.3</v>
      </c>
      <c r="E271" s="1">
        <f>IFERROR(__xludf.DUMMYFUNCTION("""COMPUTED_VALUE"""),268.0)</f>
        <v>268</v>
      </c>
      <c r="F271" s="1">
        <f>IFERROR(__xludf.DUMMYFUNCTION("""COMPUTED_VALUE"""),11.0)</f>
        <v>11</v>
      </c>
      <c r="G271" s="1">
        <f>IFERROR(__xludf.DUMMYFUNCTION("""COMPUTED_VALUE"""),-5.9)</f>
        <v>-5.9</v>
      </c>
      <c r="H271" s="1">
        <f>IFERROR(__xludf.DUMMYFUNCTION("""COMPUTED_VALUE"""),-0.4)</f>
        <v>-0.4</v>
      </c>
      <c r="I271" s="1" t="str">
        <f>IFERROR(__xludf.DUMMYFUNCTION("""COMPUTED_VALUE"""),"18.8-12.2")</f>
        <v>18.8-12.2</v>
      </c>
      <c r="J271" s="1" t="str">
        <f>IFERROR(__xludf.DUMMYFUNCTION("""COMPUTED_VALUE"""),"13.8-6.2")</f>
        <v>13.8-6.2</v>
      </c>
      <c r="K271" s="2">
        <f>IFERROR(__xludf.DUMMYFUNCTION("""COMPUTED_VALUE"""),0.261)</f>
        <v>0.261</v>
      </c>
      <c r="L271" s="1" t="str">
        <f>IFERROR(__xludf.DUMMYFUNCTION("""COMPUTED_VALUE"""),"344th")</f>
        <v>344th</v>
      </c>
    </row>
    <row r="272">
      <c r="A272" s="1" t="str">
        <f>IFERROR(__xludf.DUMMYFUNCTION("""COMPUTED_VALUE"""),"Georgia State Panthers")</f>
        <v>Georgia State Panthers</v>
      </c>
      <c r="B272" s="1" t="str">
        <f>IFERROR(__xludf.DUMMYFUNCTION("""COMPUTED_VALUE"""),"Sun Belt")</f>
        <v>Sun Belt</v>
      </c>
      <c r="C272" s="3">
        <f>IFERROR(__xludf.DUMMYFUNCTION("""COMPUTED_VALUE"""),45849.0)</f>
        <v>45849</v>
      </c>
      <c r="D272" s="1">
        <f>IFERROR(__xludf.DUMMYFUNCTION("""COMPUTED_VALUE"""),-6.3)</f>
        <v>-6.3</v>
      </c>
      <c r="E272" s="1">
        <f>IFERROR(__xludf.DUMMYFUNCTION("""COMPUTED_VALUE"""),269.0)</f>
        <v>269</v>
      </c>
      <c r="F272" s="1">
        <f>IFERROR(__xludf.DUMMYFUNCTION("""COMPUTED_VALUE"""),1.0)</f>
        <v>1</v>
      </c>
      <c r="G272" s="1">
        <f>IFERROR(__xludf.DUMMYFUNCTION("""COMPUTED_VALUE"""),-3.3)</f>
        <v>-3.3</v>
      </c>
      <c r="H272" s="1">
        <f>IFERROR(__xludf.DUMMYFUNCTION("""COMPUTED_VALUE"""),-3.0)</f>
        <v>-3</v>
      </c>
      <c r="I272" s="1" t="str">
        <f>IFERROR(__xludf.DUMMYFUNCTION("""COMPUTED_VALUE"""),"12.2-18.8")</f>
        <v>12.2-18.8</v>
      </c>
      <c r="J272" s="1" t="str">
        <f>IFERROR(__xludf.DUMMYFUNCTION("""COMPUTED_VALUE"""),"7.5-10.5")</f>
        <v>7.5-10.5</v>
      </c>
      <c r="K272" s="1" t="str">
        <f>IFERROR(__xludf.DUMMYFUNCTION("""COMPUTED_VALUE"""),"&lt;0.1%")</f>
        <v>&lt;0.1%</v>
      </c>
      <c r="L272" s="1" t="str">
        <f>IFERROR(__xludf.DUMMYFUNCTION("""COMPUTED_VALUE"""),"197th")</f>
        <v>197th</v>
      </c>
    </row>
    <row r="273">
      <c r="A273" s="1" t="str">
        <f>IFERROR(__xludf.DUMMYFUNCTION("""COMPUTED_VALUE"""),"Iona Gaels")</f>
        <v>Iona Gaels</v>
      </c>
      <c r="B273" s="1" t="str">
        <f>IFERROR(__xludf.DUMMYFUNCTION("""COMPUTED_VALUE"""),"MAAC")</f>
        <v>MAAC</v>
      </c>
      <c r="C273" s="3">
        <f>IFERROR(__xludf.DUMMYFUNCTION("""COMPUTED_VALUE"""),45820.0)</f>
        <v>45820</v>
      </c>
      <c r="D273" s="1">
        <f>IFERROR(__xludf.DUMMYFUNCTION("""COMPUTED_VALUE"""),-6.3)</f>
        <v>-6.3</v>
      </c>
      <c r="E273" s="1">
        <f>IFERROR(__xludf.DUMMYFUNCTION("""COMPUTED_VALUE"""),270.0)</f>
        <v>270</v>
      </c>
      <c r="F273" s="1">
        <f>IFERROR(__xludf.DUMMYFUNCTION("""COMPUTED_VALUE"""),7.0)</f>
        <v>7</v>
      </c>
      <c r="G273" s="1">
        <f>IFERROR(__xludf.DUMMYFUNCTION("""COMPUTED_VALUE"""),-6.3)</f>
        <v>-6.3</v>
      </c>
      <c r="H273" s="1">
        <f>IFERROR(__xludf.DUMMYFUNCTION("""COMPUTED_VALUE"""),-0.1)</f>
        <v>-0.1</v>
      </c>
      <c r="I273" s="1" t="str">
        <f>IFERROR(__xludf.DUMMYFUNCTION("""COMPUTED_VALUE"""),"12.8-18.2")</f>
        <v>12.8-18.2</v>
      </c>
      <c r="J273" s="1" t="str">
        <f>IFERROR(__xludf.DUMMYFUNCTION("""COMPUTED_VALUE"""),"9.8-10.2")</f>
        <v>9.8-10.2</v>
      </c>
      <c r="K273" s="2">
        <f>IFERROR(__xludf.DUMMYFUNCTION("""COMPUTED_VALUE"""),0.048)</f>
        <v>0.048</v>
      </c>
      <c r="L273" s="1" t="str">
        <f>IFERROR(__xludf.DUMMYFUNCTION("""COMPUTED_VALUE"""),"320th")</f>
        <v>320th</v>
      </c>
    </row>
    <row r="274">
      <c r="A274" s="1" t="str">
        <f>IFERROR(__xludf.DUMMYFUNCTION("""COMPUTED_VALUE"""),"Fairfield Stags")</f>
        <v>Fairfield Stags</v>
      </c>
      <c r="B274" s="1" t="str">
        <f>IFERROR(__xludf.DUMMYFUNCTION("""COMPUTED_VALUE"""),"MAAC")</f>
        <v>MAAC</v>
      </c>
      <c r="C274" s="3">
        <f>IFERROR(__xludf.DUMMYFUNCTION("""COMPUTED_VALUE"""),45848.0)</f>
        <v>45848</v>
      </c>
      <c r="D274" s="1">
        <f>IFERROR(__xludf.DUMMYFUNCTION("""COMPUTED_VALUE"""),-6.3)</f>
        <v>-6.3</v>
      </c>
      <c r="E274" s="1">
        <f>IFERROR(__xludf.DUMMYFUNCTION("""COMPUTED_VALUE"""),271.0)</f>
        <v>271</v>
      </c>
      <c r="F274" s="1">
        <f>IFERROR(__xludf.DUMMYFUNCTION("""COMPUTED_VALUE"""),4.0)</f>
        <v>4</v>
      </c>
      <c r="G274" s="1">
        <f>IFERROR(__xludf.DUMMYFUNCTION("""COMPUTED_VALUE"""),-2.4)</f>
        <v>-2.4</v>
      </c>
      <c r="H274" s="1">
        <f>IFERROR(__xludf.DUMMYFUNCTION("""COMPUTED_VALUE"""),-3.9)</f>
        <v>-3.9</v>
      </c>
      <c r="I274" s="1" t="str">
        <f>IFERROR(__xludf.DUMMYFUNCTION("""COMPUTED_VALUE"""),"14.0-17.0")</f>
        <v>14.0-17.0</v>
      </c>
      <c r="J274" s="1" t="str">
        <f>IFERROR(__xludf.DUMMYFUNCTION("""COMPUTED_VALUE"""),"10.0-10.0")</f>
        <v>10.0-10.0</v>
      </c>
      <c r="K274" s="2">
        <f>IFERROR(__xludf.DUMMYFUNCTION("""COMPUTED_VALUE"""),0.037)</f>
        <v>0.037</v>
      </c>
      <c r="L274" s="1" t="str">
        <f>IFERROR(__xludf.DUMMYFUNCTION("""COMPUTED_VALUE"""),"305th")</f>
        <v>305th</v>
      </c>
    </row>
    <row r="275">
      <c r="A275" s="1" t="str">
        <f>IFERROR(__xludf.DUMMYFUNCTION("""COMPUTED_VALUE"""),"Lehigh Mountain Hawks")</f>
        <v>Lehigh Mountain Hawks</v>
      </c>
      <c r="B275" s="1" t="str">
        <f>IFERROR(__xludf.DUMMYFUNCTION("""COMPUTED_VALUE"""),"Patriot")</f>
        <v>Patriot</v>
      </c>
      <c r="C275" s="3">
        <f>IFERROR(__xludf.DUMMYFUNCTION("""COMPUTED_VALUE"""),45818.0)</f>
        <v>45818</v>
      </c>
      <c r="D275" s="1">
        <f>IFERROR(__xludf.DUMMYFUNCTION("""COMPUTED_VALUE"""),-6.4)</f>
        <v>-6.4</v>
      </c>
      <c r="E275" s="1">
        <f>IFERROR(__xludf.DUMMYFUNCTION("""COMPUTED_VALUE"""),272.0)</f>
        <v>272</v>
      </c>
      <c r="F275" s="1">
        <f>IFERROR(__xludf.DUMMYFUNCTION("""COMPUTED_VALUE"""),8.0)</f>
        <v>8</v>
      </c>
      <c r="G275" s="1">
        <f>IFERROR(__xludf.DUMMYFUNCTION("""COMPUTED_VALUE"""),-4.5)</f>
        <v>-4.5</v>
      </c>
      <c r="H275" s="1">
        <f>IFERROR(__xludf.DUMMYFUNCTION("""COMPUTED_VALUE"""),-1.9)</f>
        <v>-1.9</v>
      </c>
      <c r="I275" s="1" t="str">
        <f>IFERROR(__xludf.DUMMYFUNCTION("""COMPUTED_VALUE"""),"12.5-16.5")</f>
        <v>12.5-16.5</v>
      </c>
      <c r="J275" s="1" t="str">
        <f>IFERROR(__xludf.DUMMYFUNCTION("""COMPUTED_VALUE"""),"7.5-10.5")</f>
        <v>7.5-10.5</v>
      </c>
      <c r="K275" s="2">
        <f>IFERROR(__xludf.DUMMYFUNCTION("""COMPUTED_VALUE"""),0.104)</f>
        <v>0.104</v>
      </c>
      <c r="L275" s="1" t="str">
        <f>IFERROR(__xludf.DUMMYFUNCTION("""COMPUTED_VALUE"""),"315th")</f>
        <v>315th</v>
      </c>
    </row>
    <row r="276">
      <c r="A276" s="1" t="str">
        <f>IFERROR(__xludf.DUMMYFUNCTION("""COMPUTED_VALUE"""),"Fresno State Bulldogs")</f>
        <v>Fresno State Bulldogs</v>
      </c>
      <c r="B276" s="1" t="str">
        <f>IFERROR(__xludf.DUMMYFUNCTION("""COMPUTED_VALUE"""),"Mountain West")</f>
        <v>Mountain West</v>
      </c>
      <c r="C276" s="3">
        <f>IFERROR(__xludf.DUMMYFUNCTION("""COMPUTED_VALUE"""),45790.0)</f>
        <v>45790</v>
      </c>
      <c r="D276" s="1">
        <f>IFERROR(__xludf.DUMMYFUNCTION("""COMPUTED_VALUE"""),-6.5)</f>
        <v>-6.5</v>
      </c>
      <c r="E276" s="1">
        <f>IFERROR(__xludf.DUMMYFUNCTION("""COMPUTED_VALUE"""),273.0)</f>
        <v>273</v>
      </c>
      <c r="F276" s="1">
        <f>IFERROR(__xludf.DUMMYFUNCTION("""COMPUTED_VALUE"""),2.0)</f>
        <v>2</v>
      </c>
      <c r="G276" s="1">
        <f>IFERROR(__xludf.DUMMYFUNCTION("""COMPUTED_VALUE"""),-5.2)</f>
        <v>-5.2</v>
      </c>
      <c r="H276" s="1">
        <f>IFERROR(__xludf.DUMMYFUNCTION("""COMPUTED_VALUE"""),-1.2)</f>
        <v>-1.2</v>
      </c>
      <c r="I276" s="1" t="str">
        <f>IFERROR(__xludf.DUMMYFUNCTION("""COMPUTED_VALUE"""),"7.2-23.8")</f>
        <v>7.2-23.8</v>
      </c>
      <c r="J276" s="1" t="str">
        <f>IFERROR(__xludf.DUMMYFUNCTION("""COMPUTED_VALUE"""),"3.2-16.8")</f>
        <v>3.2-16.8</v>
      </c>
      <c r="K276" s="1" t="str">
        <f>IFERROR(__xludf.DUMMYFUNCTION("""COMPUTED_VALUE"""),"&lt;0.1%")</f>
        <v>&lt;0.1%</v>
      </c>
      <c r="L276" s="1" t="str">
        <f>IFERROR(__xludf.DUMMYFUNCTION("""COMPUTED_VALUE"""),"83rd")</f>
        <v>83rd</v>
      </c>
    </row>
    <row r="277">
      <c r="A277" s="1" t="str">
        <f>IFERROR(__xludf.DUMMYFUNCTION("""COMPUTED_VALUE"""),"Idaho Vandals")</f>
        <v>Idaho Vandals</v>
      </c>
      <c r="B277" s="1" t="str">
        <f>IFERROR(__xludf.DUMMYFUNCTION("""COMPUTED_VALUE"""),"Big Sky")</f>
        <v>Big Sky</v>
      </c>
      <c r="C277" s="3">
        <f>IFERROR(__xludf.DUMMYFUNCTION("""COMPUTED_VALUE"""),45848.0)</f>
        <v>45848</v>
      </c>
      <c r="D277" s="1">
        <f>IFERROR(__xludf.DUMMYFUNCTION("""COMPUTED_VALUE"""),-6.5)</f>
        <v>-6.5</v>
      </c>
      <c r="E277" s="1">
        <f>IFERROR(__xludf.DUMMYFUNCTION("""COMPUTED_VALUE"""),274.0)</f>
        <v>274</v>
      </c>
      <c r="F277" s="1">
        <f>IFERROR(__xludf.DUMMYFUNCTION("""COMPUTED_VALUE"""),4.0)</f>
        <v>4</v>
      </c>
      <c r="G277" s="1">
        <f>IFERROR(__xludf.DUMMYFUNCTION("""COMPUTED_VALUE"""),-1.8)</f>
        <v>-1.8</v>
      </c>
      <c r="H277" s="1">
        <f>IFERROR(__xludf.DUMMYFUNCTION("""COMPUTED_VALUE"""),-4.7)</f>
        <v>-4.7</v>
      </c>
      <c r="I277" s="1" t="str">
        <f>IFERROR(__xludf.DUMMYFUNCTION("""COMPUTED_VALUE"""),"12.8-18.2")</f>
        <v>12.8-18.2</v>
      </c>
      <c r="J277" s="1" t="str">
        <f>IFERROR(__xludf.DUMMYFUNCTION("""COMPUTED_VALUE"""),"7.8-10.2")</f>
        <v>7.8-10.2</v>
      </c>
      <c r="K277" s="2">
        <f>IFERROR(__xludf.DUMMYFUNCTION("""COMPUTED_VALUE"""),0.009)</f>
        <v>0.009</v>
      </c>
      <c r="L277" s="1" t="str">
        <f>IFERROR(__xludf.DUMMYFUNCTION("""COMPUTED_VALUE"""),"243rd")</f>
        <v>243rd</v>
      </c>
    </row>
    <row r="278">
      <c r="A278" s="1" t="str">
        <f>IFERROR(__xludf.DUMMYFUNCTION("""COMPUTED_VALUE"""),"Air Force Falcons")</f>
        <v>Air Force Falcons</v>
      </c>
      <c r="B278" s="1" t="str">
        <f>IFERROR(__xludf.DUMMYFUNCTION("""COMPUTED_VALUE"""),"Mountain West")</f>
        <v>Mountain West</v>
      </c>
      <c r="C278" s="3">
        <f>IFERROR(__xludf.DUMMYFUNCTION("""COMPUTED_VALUE"""),45731.0)</f>
        <v>45731</v>
      </c>
      <c r="D278" s="1">
        <f>IFERROR(__xludf.DUMMYFUNCTION("""COMPUTED_VALUE"""),-6.6)</f>
        <v>-6.6</v>
      </c>
      <c r="E278" s="1">
        <f>IFERROR(__xludf.DUMMYFUNCTION("""COMPUTED_VALUE"""),275.0)</f>
        <v>275</v>
      </c>
      <c r="F278" s="1">
        <f>IFERROR(__xludf.DUMMYFUNCTION("""COMPUTED_VALUE"""),1.0)</f>
        <v>1</v>
      </c>
      <c r="G278" s="1">
        <f>IFERROR(__xludf.DUMMYFUNCTION("""COMPUTED_VALUE"""),-3.9)</f>
        <v>-3.9</v>
      </c>
      <c r="H278" s="1">
        <f>IFERROR(__xludf.DUMMYFUNCTION("""COMPUTED_VALUE"""),-2.7)</f>
        <v>-2.7</v>
      </c>
      <c r="I278" s="1" t="str">
        <f>IFERROR(__xludf.DUMMYFUNCTION("""COMPUTED_VALUE"""),"4.8-26.2")</f>
        <v>4.8-26.2</v>
      </c>
      <c r="J278" s="1" t="str">
        <f>IFERROR(__xludf.DUMMYFUNCTION("""COMPUTED_VALUE"""),"1.8-18.2")</f>
        <v>1.8-18.2</v>
      </c>
      <c r="K278" s="1" t="str">
        <f>IFERROR(__xludf.DUMMYFUNCTION("""COMPUTED_VALUE"""),"&lt;0.1%")</f>
        <v>&lt;0.1%</v>
      </c>
      <c r="L278" s="1" t="str">
        <f>IFERROR(__xludf.DUMMYFUNCTION("""COMPUTED_VALUE"""),"79th")</f>
        <v>79th</v>
      </c>
    </row>
    <row r="279">
      <c r="A279" s="1" t="str">
        <f>IFERROR(__xludf.DUMMYFUNCTION("""COMPUTED_VALUE"""),"Florida International Panthers")</f>
        <v>Florida International Panthers</v>
      </c>
      <c r="B279" s="1" t="str">
        <f>IFERROR(__xludf.DUMMYFUNCTION("""COMPUTED_VALUE"""),"CUSA")</f>
        <v>CUSA</v>
      </c>
      <c r="C279" s="3">
        <f>IFERROR(__xludf.DUMMYFUNCTION("""COMPUTED_VALUE"""),45849.0)</f>
        <v>45849</v>
      </c>
      <c r="D279" s="1">
        <f>IFERROR(__xludf.DUMMYFUNCTION("""COMPUTED_VALUE"""),-6.7)</f>
        <v>-6.7</v>
      </c>
      <c r="E279" s="1">
        <f>IFERROR(__xludf.DUMMYFUNCTION("""COMPUTED_VALUE"""),276.0)</f>
        <v>276</v>
      </c>
      <c r="F279" s="1">
        <f>IFERROR(__xludf.DUMMYFUNCTION("""COMPUTED_VALUE"""),5.0)</f>
        <v>5</v>
      </c>
      <c r="G279" s="1">
        <f>IFERROR(__xludf.DUMMYFUNCTION("""COMPUTED_VALUE"""),-6.9)</f>
        <v>-6.9</v>
      </c>
      <c r="H279" s="1">
        <f>IFERROR(__xludf.DUMMYFUNCTION("""COMPUTED_VALUE"""),0.2)</f>
        <v>0.2</v>
      </c>
      <c r="I279" s="1" t="str">
        <f>IFERROR(__xludf.DUMMYFUNCTION("""COMPUTED_VALUE"""),"10.4-20.6")</f>
        <v>10.4-20.6</v>
      </c>
      <c r="J279" s="1" t="str">
        <f>IFERROR(__xludf.DUMMYFUNCTION("""COMPUTED_VALUE"""),"4.4-13.6")</f>
        <v>4.4-13.6</v>
      </c>
      <c r="K279" s="1" t="str">
        <f>IFERROR(__xludf.DUMMYFUNCTION("""COMPUTED_VALUE"""),"&lt;0.1%")</f>
        <v>&lt;0.1%</v>
      </c>
      <c r="L279" s="1" t="str">
        <f>IFERROR(__xludf.DUMMYFUNCTION("""COMPUTED_VALUE"""),"134th")</f>
        <v>134th</v>
      </c>
    </row>
    <row r="280">
      <c r="A280" s="1" t="str">
        <f>IFERROR(__xludf.DUMMYFUNCTION("""COMPUTED_VALUE"""),"UT Martin Skyhawks")</f>
        <v>UT Martin Skyhawks</v>
      </c>
      <c r="B280" s="1" t="str">
        <f>IFERROR(__xludf.DUMMYFUNCTION("""COMPUTED_VALUE"""),"OVC")</f>
        <v>OVC</v>
      </c>
      <c r="C280" s="3">
        <f>IFERROR(__xludf.DUMMYFUNCTION("""COMPUTED_VALUE"""),45879.0)</f>
        <v>45879</v>
      </c>
      <c r="D280" s="1">
        <f>IFERROR(__xludf.DUMMYFUNCTION("""COMPUTED_VALUE"""),-6.9)</f>
        <v>-6.9</v>
      </c>
      <c r="E280" s="1">
        <f>IFERROR(__xludf.DUMMYFUNCTION("""COMPUTED_VALUE"""),277.0)</f>
        <v>277</v>
      </c>
      <c r="F280" s="1">
        <f>IFERROR(__xludf.DUMMYFUNCTION("""COMPUTED_VALUE"""),1.0)</f>
        <v>1</v>
      </c>
      <c r="G280" s="1">
        <f>IFERROR(__xludf.DUMMYFUNCTION("""COMPUTED_VALUE"""),-5.1)</f>
        <v>-5.1</v>
      </c>
      <c r="H280" s="1">
        <f>IFERROR(__xludf.DUMMYFUNCTION("""COMPUTED_VALUE"""),-1.8)</f>
        <v>-1.8</v>
      </c>
      <c r="I280" s="1" t="str">
        <f>IFERROR(__xludf.DUMMYFUNCTION("""COMPUTED_VALUE"""),"15.3-15.7")</f>
        <v>15.3-15.7</v>
      </c>
      <c r="J280" s="1" t="str">
        <f>IFERROR(__xludf.DUMMYFUNCTION("""COMPUTED_VALUE"""),"11.3-8.7")</f>
        <v>11.3-8.7</v>
      </c>
      <c r="K280" s="2">
        <f>IFERROR(__xludf.DUMMYFUNCTION("""COMPUTED_VALUE"""),0.163)</f>
        <v>0.163</v>
      </c>
      <c r="L280" s="1" t="str">
        <f>IFERROR(__xludf.DUMMYFUNCTION("""COMPUTED_VALUE"""),"339th")</f>
        <v>339th</v>
      </c>
    </row>
    <row r="281">
      <c r="A281" s="1" t="str">
        <f>IFERROR(__xludf.DUMMYFUNCTION("""COMPUTED_VALUE"""),"Navy Midshipmen")</f>
        <v>Navy Midshipmen</v>
      </c>
      <c r="B281" s="1" t="str">
        <f>IFERROR(__xludf.DUMMYFUNCTION("""COMPUTED_VALUE"""),"Patriot")</f>
        <v>Patriot</v>
      </c>
      <c r="C281" s="3">
        <f>IFERROR(__xludf.DUMMYFUNCTION("""COMPUTED_VALUE"""),45790.0)</f>
        <v>45790</v>
      </c>
      <c r="D281" s="1">
        <f>IFERROR(__xludf.DUMMYFUNCTION("""COMPUTED_VALUE"""),-6.9)</f>
        <v>-6.9</v>
      </c>
      <c r="E281" s="1">
        <f>IFERROR(__xludf.DUMMYFUNCTION("""COMPUTED_VALUE"""),278.0)</f>
        <v>278</v>
      </c>
      <c r="F281" s="1">
        <f>IFERROR(__xludf.DUMMYFUNCTION("""COMPUTED_VALUE"""),2.0)</f>
        <v>2</v>
      </c>
      <c r="G281" s="1">
        <f>IFERROR(__xludf.DUMMYFUNCTION("""COMPUTED_VALUE"""),-3.7)</f>
        <v>-3.7</v>
      </c>
      <c r="H281" s="1">
        <f>IFERROR(__xludf.DUMMYFUNCTION("""COMPUTED_VALUE"""),-3.2)</f>
        <v>-3.2</v>
      </c>
      <c r="I281" s="1" t="str">
        <f>IFERROR(__xludf.DUMMYFUNCTION("""COMPUTED_VALUE"""),"11.0-20.0")</f>
        <v>11.0-20.0</v>
      </c>
      <c r="J281" s="1" t="str">
        <f>IFERROR(__xludf.DUMMYFUNCTION("""COMPUTED_VALUE"""),"8.0-10.0")</f>
        <v>8.0-10.0</v>
      </c>
      <c r="K281" s="2">
        <f>IFERROR(__xludf.DUMMYFUNCTION("""COMPUTED_VALUE"""),0.072)</f>
        <v>0.072</v>
      </c>
      <c r="L281" s="1" t="str">
        <f>IFERROR(__xludf.DUMMYFUNCTION("""COMPUTED_VALUE"""),"295th")</f>
        <v>295th</v>
      </c>
    </row>
    <row r="282">
      <c r="A282" s="1" t="str">
        <f>IFERROR(__xludf.DUMMYFUNCTION("""COMPUTED_VALUE"""),"Army Black Knights")</f>
        <v>Army Black Knights</v>
      </c>
      <c r="B282" s="1" t="str">
        <f>IFERROR(__xludf.DUMMYFUNCTION("""COMPUTED_VALUE"""),"Patriot")</f>
        <v>Patriot</v>
      </c>
      <c r="C282" s="3">
        <f>IFERROR(__xludf.DUMMYFUNCTION("""COMPUTED_VALUE"""),45908.0)</f>
        <v>45908</v>
      </c>
      <c r="D282" s="1">
        <f>IFERROR(__xludf.DUMMYFUNCTION("""COMPUTED_VALUE"""),-7.0)</f>
        <v>-7</v>
      </c>
      <c r="E282" s="1">
        <f>IFERROR(__xludf.DUMMYFUNCTION("""COMPUTED_VALUE"""),279.0)</f>
        <v>279</v>
      </c>
      <c r="F282" s="1">
        <f>IFERROR(__xludf.DUMMYFUNCTION("""COMPUTED_VALUE"""),10.0)</f>
        <v>10</v>
      </c>
      <c r="G282" s="1">
        <f>IFERROR(__xludf.DUMMYFUNCTION("""COMPUTED_VALUE"""),-4.1)</f>
        <v>-4.1</v>
      </c>
      <c r="H282" s="1">
        <f>IFERROR(__xludf.DUMMYFUNCTION("""COMPUTED_VALUE"""),-2.9)</f>
        <v>-2.9</v>
      </c>
      <c r="I282" s="1" t="str">
        <f>IFERROR(__xludf.DUMMYFUNCTION("""COMPUTED_VALUE"""),"15.2-14.8")</f>
        <v>15.2-14.8</v>
      </c>
      <c r="J282" s="1" t="str">
        <f>IFERROR(__xludf.DUMMYFUNCTION("""COMPUTED_VALUE"""),"9.2-8.8")</f>
        <v>9.2-8.8</v>
      </c>
      <c r="K282" s="2">
        <f>IFERROR(__xludf.DUMMYFUNCTION("""COMPUTED_VALUE"""),0.061)</f>
        <v>0.061</v>
      </c>
      <c r="L282" s="1" t="str">
        <f>IFERROR(__xludf.DUMMYFUNCTION("""COMPUTED_VALUE"""),"317th")</f>
        <v>317th</v>
      </c>
    </row>
    <row r="283">
      <c r="A283" s="1" t="str">
        <f>IFERROR(__xludf.DUMMYFUNCTION("""COMPUTED_VALUE"""),"Pennsylvania Quakers")</f>
        <v>Pennsylvania Quakers</v>
      </c>
      <c r="B283" s="1" t="str">
        <f>IFERROR(__xludf.DUMMYFUNCTION("""COMPUTED_VALUE"""),"Ivy")</f>
        <v>Ivy</v>
      </c>
      <c r="C283" s="3">
        <f>IFERROR(__xludf.DUMMYFUNCTION("""COMPUTED_VALUE"""),45757.0)</f>
        <v>45757</v>
      </c>
      <c r="D283" s="1">
        <f>IFERROR(__xludf.DUMMYFUNCTION("""COMPUTED_VALUE"""),-7.0)</f>
        <v>-7</v>
      </c>
      <c r="E283" s="1">
        <f>IFERROR(__xludf.DUMMYFUNCTION("""COMPUTED_VALUE"""),280.0)</f>
        <v>280</v>
      </c>
      <c r="F283" s="1">
        <f>IFERROR(__xludf.DUMMYFUNCTION("""COMPUTED_VALUE"""),7.0)</f>
        <v>7</v>
      </c>
      <c r="G283" s="1">
        <f>IFERROR(__xludf.DUMMYFUNCTION("""COMPUTED_VALUE"""),-3.0)</f>
        <v>-3</v>
      </c>
      <c r="H283" s="1">
        <f>IFERROR(__xludf.DUMMYFUNCTION("""COMPUTED_VALUE"""),-4.1)</f>
        <v>-4.1</v>
      </c>
      <c r="I283" s="1" t="str">
        <f>IFERROR(__xludf.DUMMYFUNCTION("""COMPUTED_VALUE"""),"7.5-19.5")</f>
        <v>7.5-19.5</v>
      </c>
      <c r="J283" s="1" t="str">
        <f>IFERROR(__xludf.DUMMYFUNCTION("""COMPUTED_VALUE"""),"3.5-10.5")</f>
        <v>3.5-10.5</v>
      </c>
      <c r="K283" s="1" t="str">
        <f>IFERROR(__xludf.DUMMYFUNCTION("""COMPUTED_VALUE"""),"&lt;0.1%")</f>
        <v>&lt;0.1%</v>
      </c>
      <c r="L283" s="1" t="str">
        <f>IFERROR(__xludf.DUMMYFUNCTION("""COMPUTED_VALUE"""),"135th")</f>
        <v>135th</v>
      </c>
    </row>
    <row r="284">
      <c r="A284" s="1" t="str">
        <f>IFERROR(__xludf.DUMMYFUNCTION("""COMPUTED_VALUE"""),"Sacred Heart Pioneers")</f>
        <v>Sacred Heart Pioneers</v>
      </c>
      <c r="B284" s="1" t="str">
        <f>IFERROR(__xludf.DUMMYFUNCTION("""COMPUTED_VALUE"""),"MAAC")</f>
        <v>MAAC</v>
      </c>
      <c r="C284" s="3">
        <f>IFERROR(__xludf.DUMMYFUNCTION("""COMPUTED_VALUE"""),45819.0)</f>
        <v>45819</v>
      </c>
      <c r="D284" s="1">
        <f>IFERROR(__xludf.DUMMYFUNCTION("""COMPUTED_VALUE"""),-7.2)</f>
        <v>-7.2</v>
      </c>
      <c r="E284" s="1">
        <f>IFERROR(__xludf.DUMMYFUNCTION("""COMPUTED_VALUE"""),281.0)</f>
        <v>281</v>
      </c>
      <c r="F284" s="1">
        <f>IFERROR(__xludf.DUMMYFUNCTION("""COMPUTED_VALUE"""),8.0)</f>
        <v>8</v>
      </c>
      <c r="G284" s="1">
        <f>IFERROR(__xludf.DUMMYFUNCTION("""COMPUTED_VALUE"""),-2.7)</f>
        <v>-2.7</v>
      </c>
      <c r="H284" s="1">
        <f>IFERROR(__xludf.DUMMYFUNCTION("""COMPUTED_VALUE"""),-4.5)</f>
        <v>-4.5</v>
      </c>
      <c r="I284" s="1" t="str">
        <f>IFERROR(__xludf.DUMMYFUNCTION("""COMPUTED_VALUE"""),"12.6-18.4")</f>
        <v>12.6-18.4</v>
      </c>
      <c r="J284" s="1" t="str">
        <f>IFERROR(__xludf.DUMMYFUNCTION("""COMPUTED_VALUE"""),"8.6-11.4")</f>
        <v>8.6-11.4</v>
      </c>
      <c r="K284" s="2">
        <f>IFERROR(__xludf.DUMMYFUNCTION("""COMPUTED_VALUE"""),0.028)</f>
        <v>0.028</v>
      </c>
      <c r="L284" s="1" t="str">
        <f>IFERROR(__xludf.DUMMYFUNCTION("""COMPUTED_VALUE"""),"311th")</f>
        <v>311th</v>
      </c>
    </row>
    <row r="285">
      <c r="A285" s="1" t="str">
        <f>IFERROR(__xludf.DUMMYFUNCTION("""COMPUTED_VALUE"""),"Wagner Seahawks")</f>
        <v>Wagner Seahawks</v>
      </c>
      <c r="B285" s="1" t="str">
        <f>IFERROR(__xludf.DUMMYFUNCTION("""COMPUTED_VALUE"""),"NEC")</f>
        <v>NEC</v>
      </c>
      <c r="C285" s="3">
        <f>IFERROR(__xludf.DUMMYFUNCTION("""COMPUTED_VALUE"""),45907.0)</f>
        <v>45907</v>
      </c>
      <c r="D285" s="1">
        <f>IFERROR(__xludf.DUMMYFUNCTION("""COMPUTED_VALUE"""),-7.2)</f>
        <v>-7.2</v>
      </c>
      <c r="E285" s="1">
        <f>IFERROR(__xludf.DUMMYFUNCTION("""COMPUTED_VALUE"""),282.0)</f>
        <v>282</v>
      </c>
      <c r="F285" s="1">
        <f>IFERROR(__xludf.DUMMYFUNCTION("""COMPUTED_VALUE"""),3.0)</f>
        <v>3</v>
      </c>
      <c r="G285" s="1">
        <f>IFERROR(__xludf.DUMMYFUNCTION("""COMPUTED_VALUE"""),-8.9)</f>
        <v>-8.9</v>
      </c>
      <c r="H285" s="1">
        <f>IFERROR(__xludf.DUMMYFUNCTION("""COMPUTED_VALUE"""),1.7)</f>
        <v>1.7</v>
      </c>
      <c r="I285" s="1" t="str">
        <f>IFERROR(__xludf.DUMMYFUNCTION("""COMPUTED_VALUE"""),"16.8-12.2")</f>
        <v>16.8-12.2</v>
      </c>
      <c r="J285" s="1" t="str">
        <f>IFERROR(__xludf.DUMMYFUNCTION("""COMPUTED_VALUE"""),"8.8-7.2")</f>
        <v>8.8-7.2</v>
      </c>
      <c r="K285" s="2">
        <f>IFERROR(__xludf.DUMMYFUNCTION("""COMPUTED_VALUE"""),0.144)</f>
        <v>0.144</v>
      </c>
      <c r="L285" s="1" t="str">
        <f>IFERROR(__xludf.DUMMYFUNCTION("""COMPUTED_VALUE"""),"351st")</f>
        <v>351st</v>
      </c>
    </row>
    <row r="286">
      <c r="A286" s="1" t="str">
        <f>IFERROR(__xludf.DUMMYFUNCTION("""COMPUTED_VALUE"""),"Georgia Southern Eagles")</f>
        <v>Georgia Southern Eagles</v>
      </c>
      <c r="B286" s="1" t="str">
        <f>IFERROR(__xludf.DUMMYFUNCTION("""COMPUTED_VALUE"""),"Sun Belt")</f>
        <v>Sun Belt</v>
      </c>
      <c r="C286" s="3">
        <f>IFERROR(__xludf.DUMMYFUNCTION("""COMPUTED_VALUE"""),45909.0)</f>
        <v>45909</v>
      </c>
      <c r="D286" s="1">
        <f>IFERROR(__xludf.DUMMYFUNCTION("""COMPUTED_VALUE"""),-7.3)</f>
        <v>-7.3</v>
      </c>
      <c r="E286" s="1">
        <f>IFERROR(__xludf.DUMMYFUNCTION("""COMPUTED_VALUE"""),283.0)</f>
        <v>283</v>
      </c>
      <c r="F286" s="1">
        <f>IFERROR(__xludf.DUMMYFUNCTION("""COMPUTED_VALUE"""),3.0)</f>
        <v>3</v>
      </c>
      <c r="G286" s="1">
        <f>IFERROR(__xludf.DUMMYFUNCTION("""COMPUTED_VALUE"""),-4.6)</f>
        <v>-4.6</v>
      </c>
      <c r="H286" s="1">
        <f>IFERROR(__xludf.DUMMYFUNCTION("""COMPUTED_VALUE"""),-2.6)</f>
        <v>-2.6</v>
      </c>
      <c r="I286" s="1" t="str">
        <f>IFERROR(__xludf.DUMMYFUNCTION("""COMPUTED_VALUE"""),"14.1-16.9")</f>
        <v>14.1-16.9</v>
      </c>
      <c r="J286" s="1" t="str">
        <f>IFERROR(__xludf.DUMMYFUNCTION("""COMPUTED_VALUE"""),"6.7-11.3")</f>
        <v>6.7-11.3</v>
      </c>
      <c r="K286" s="1" t="str">
        <f>IFERROR(__xludf.DUMMYFUNCTION("""COMPUTED_VALUE"""),"&lt;0.1%")</f>
        <v>&lt;0.1%</v>
      </c>
      <c r="L286" s="1" t="str">
        <f>IFERROR(__xludf.DUMMYFUNCTION("""COMPUTED_VALUE"""),"235th")</f>
        <v>235th</v>
      </c>
    </row>
    <row r="287">
      <c r="A287" s="1" t="str">
        <f>IFERROR(__xludf.DUMMYFUNCTION("""COMPUTED_VALUE"""),"Southeast Missouri State Redhawks")</f>
        <v>Southeast Missouri State Redhawks</v>
      </c>
      <c r="B287" s="1" t="str">
        <f>IFERROR(__xludf.DUMMYFUNCTION("""COMPUTED_VALUE"""),"OVC")</f>
        <v>OVC</v>
      </c>
      <c r="C287" s="3">
        <f>IFERROR(__xludf.DUMMYFUNCTION("""COMPUTED_VALUE"""),45939.0)</f>
        <v>45939</v>
      </c>
      <c r="D287" s="1">
        <f>IFERROR(__xludf.DUMMYFUNCTION("""COMPUTED_VALUE"""),-7.3)</f>
        <v>-7.3</v>
      </c>
      <c r="E287" s="1">
        <f>IFERROR(__xludf.DUMMYFUNCTION("""COMPUTED_VALUE"""),284.0)</f>
        <v>284</v>
      </c>
      <c r="F287" s="1">
        <f>IFERROR(__xludf.DUMMYFUNCTION("""COMPUTED_VALUE"""),2.0)</f>
        <v>2</v>
      </c>
      <c r="G287" s="1">
        <f>IFERROR(__xludf.DUMMYFUNCTION("""COMPUTED_VALUE"""),-7.3)</f>
        <v>-7.3</v>
      </c>
      <c r="H287" s="1">
        <f>IFERROR(__xludf.DUMMYFUNCTION("""COMPUTED_VALUE"""),0.0)</f>
        <v>0</v>
      </c>
      <c r="I287" s="1" t="str">
        <f>IFERROR(__xludf.DUMMYFUNCTION("""COMPUTED_VALUE"""),"16.4-14.6")</f>
        <v>16.4-14.6</v>
      </c>
      <c r="J287" s="1" t="str">
        <f>IFERROR(__xludf.DUMMYFUNCTION("""COMPUTED_VALUE"""),"11.4-8.6")</f>
        <v>11.4-8.6</v>
      </c>
      <c r="K287" s="4">
        <f>IFERROR(__xludf.DUMMYFUNCTION("""COMPUTED_VALUE"""),0.13)</f>
        <v>0.13</v>
      </c>
      <c r="L287" s="1" t="str">
        <f>IFERROR(__xludf.DUMMYFUNCTION("""COMPUTED_VALUE"""),"334th")</f>
        <v>334th</v>
      </c>
    </row>
    <row r="288">
      <c r="A288" s="1" t="str">
        <f>IFERROR(__xludf.DUMMYFUNCTION("""COMPUTED_VALUE"""),"Charleston Southern Buccaneers")</f>
        <v>Charleston Southern Buccaneers</v>
      </c>
      <c r="B288" s="1" t="str">
        <f>IFERROR(__xludf.DUMMYFUNCTION("""COMPUTED_VALUE"""),"Big South")</f>
        <v>Big South</v>
      </c>
      <c r="C288" s="3">
        <f>IFERROR(__xludf.DUMMYFUNCTION("""COMPUTED_VALUE"""),45791.0)</f>
        <v>45791</v>
      </c>
      <c r="D288" s="1">
        <f>IFERROR(__xludf.DUMMYFUNCTION("""COMPUTED_VALUE"""),-7.3)</f>
        <v>-7.3</v>
      </c>
      <c r="E288" s="1">
        <f>IFERROR(__xludf.DUMMYFUNCTION("""COMPUTED_VALUE"""),285.0)</f>
        <v>285</v>
      </c>
      <c r="F288" s="1">
        <f>IFERROR(__xludf.DUMMYFUNCTION("""COMPUTED_VALUE"""),6.0)</f>
        <v>6</v>
      </c>
      <c r="G288" s="1">
        <f>IFERROR(__xludf.DUMMYFUNCTION("""COMPUTED_VALUE"""),-4.4)</f>
        <v>-4.4</v>
      </c>
      <c r="H288" s="1">
        <f>IFERROR(__xludf.DUMMYFUNCTION("""COMPUTED_VALUE"""),-3.0)</f>
        <v>-3</v>
      </c>
      <c r="I288" s="1" t="str">
        <f>IFERROR(__xludf.DUMMYFUNCTION("""COMPUTED_VALUE"""),"9.3-21.7")</f>
        <v>9.3-21.7</v>
      </c>
      <c r="J288" s="1" t="str">
        <f>IFERROR(__xludf.DUMMYFUNCTION("""COMPUTED_VALUE"""),"5.3-10.7")</f>
        <v>5.3-10.7</v>
      </c>
      <c r="K288" s="1" t="str">
        <f>IFERROR(__xludf.DUMMYFUNCTION("""COMPUTED_VALUE"""),"&lt;0.1%")</f>
        <v>&lt;0.1%</v>
      </c>
      <c r="L288" s="1" t="str">
        <f>IFERROR(__xludf.DUMMYFUNCTION("""COMPUTED_VALUE"""),"208th")</f>
        <v>208th</v>
      </c>
    </row>
    <row r="289">
      <c r="A289" s="1" t="str">
        <f>IFERROR(__xludf.DUMMYFUNCTION("""COMPUTED_VALUE"""),"Tarleton State Texans")</f>
        <v>Tarleton State Texans</v>
      </c>
      <c r="B289" s="1" t="str">
        <f>IFERROR(__xludf.DUMMYFUNCTION("""COMPUTED_VALUE"""),"WAC")</f>
        <v>WAC</v>
      </c>
      <c r="C289" s="3">
        <f>IFERROR(__xludf.DUMMYFUNCTION("""COMPUTED_VALUE"""),45880.0)</f>
        <v>45880</v>
      </c>
      <c r="D289" s="1">
        <f>IFERROR(__xludf.DUMMYFUNCTION("""COMPUTED_VALUE"""),-7.4)</f>
        <v>-7.4</v>
      </c>
      <c r="E289" s="1">
        <f>IFERROR(__xludf.DUMMYFUNCTION("""COMPUTED_VALUE"""),286.0)</f>
        <v>286</v>
      </c>
      <c r="F289" s="1">
        <f>IFERROR(__xludf.DUMMYFUNCTION("""COMPUTED_VALUE"""),8.0)</f>
        <v>8</v>
      </c>
      <c r="G289" s="1">
        <f>IFERROR(__xludf.DUMMYFUNCTION("""COMPUTED_VALUE"""),-8.2)</f>
        <v>-8.2</v>
      </c>
      <c r="H289" s="1">
        <f>IFERROR(__xludf.DUMMYFUNCTION("""COMPUTED_VALUE"""),0.8)</f>
        <v>0.8</v>
      </c>
      <c r="I289" s="1" t="str">
        <f>IFERROR(__xludf.DUMMYFUNCTION("""COMPUTED_VALUE"""),"11.7-19.3")</f>
        <v>11.7-19.3</v>
      </c>
      <c r="J289" s="1" t="str">
        <f>IFERROR(__xludf.DUMMYFUNCTION("""COMPUTED_VALUE"""),"6.7-9.3")</f>
        <v>6.7-9.3</v>
      </c>
      <c r="K289" s="1" t="str">
        <f>IFERROR(__xludf.DUMMYFUNCTION("""COMPUTED_VALUE"""),"&lt;0.1%")</f>
        <v>&lt;0.1%</v>
      </c>
      <c r="L289" s="1" t="str">
        <f>IFERROR(__xludf.DUMMYFUNCTION("""COMPUTED_VALUE"""),"157th")</f>
        <v>157th</v>
      </c>
    </row>
    <row r="290">
      <c r="A290" s="1" t="str">
        <f>IFERROR(__xludf.DUMMYFUNCTION("""COMPUTED_VALUE"""),"Niagara Purple Eagles")</f>
        <v>Niagara Purple Eagles</v>
      </c>
      <c r="B290" s="1" t="str">
        <f>IFERROR(__xludf.DUMMYFUNCTION("""COMPUTED_VALUE"""),"MAAC")</f>
        <v>MAAC</v>
      </c>
      <c r="C290" s="3">
        <f>IFERROR(__xludf.DUMMYFUNCTION("""COMPUTED_VALUE"""),45848.0)</f>
        <v>45848</v>
      </c>
      <c r="D290" s="1">
        <f>IFERROR(__xludf.DUMMYFUNCTION("""COMPUTED_VALUE"""),-7.4)</f>
        <v>-7.4</v>
      </c>
      <c r="E290" s="1">
        <f>IFERROR(__xludf.DUMMYFUNCTION("""COMPUTED_VALUE"""),287.0)</f>
        <v>287</v>
      </c>
      <c r="F290" s="1">
        <f>IFERROR(__xludf.DUMMYFUNCTION("""COMPUTED_VALUE"""),3.0)</f>
        <v>3</v>
      </c>
      <c r="G290" s="1">
        <f>IFERROR(__xludf.DUMMYFUNCTION("""COMPUTED_VALUE"""),-3.8)</f>
        <v>-3.8</v>
      </c>
      <c r="H290" s="1">
        <f>IFERROR(__xludf.DUMMYFUNCTION("""COMPUTED_VALUE"""),-3.6)</f>
        <v>-3.6</v>
      </c>
      <c r="I290" s="1" t="str">
        <f>IFERROR(__xludf.DUMMYFUNCTION("""COMPUTED_VALUE"""),"13.5-17.5")</f>
        <v>13.5-17.5</v>
      </c>
      <c r="J290" s="1" t="str">
        <f>IFERROR(__xludf.DUMMYFUNCTION("""COMPUTED_VALUE"""),"8.5-11.5")</f>
        <v>8.5-11.5</v>
      </c>
      <c r="K290" s="2">
        <f>IFERROR(__xludf.DUMMYFUNCTION("""COMPUTED_VALUE"""),0.025)</f>
        <v>0.025</v>
      </c>
      <c r="L290" s="1" t="str">
        <f>IFERROR(__xludf.DUMMYFUNCTION("""COMPUTED_VALUE"""),"300th")</f>
        <v>300th</v>
      </c>
    </row>
    <row r="291">
      <c r="A291" s="1" t="str">
        <f>IFERROR(__xludf.DUMMYFUNCTION("""COMPUTED_VALUE"""),"Southern Miss Golden Eagles")</f>
        <v>Southern Miss Golden Eagles</v>
      </c>
      <c r="B291" s="1" t="str">
        <f>IFERROR(__xludf.DUMMYFUNCTION("""COMPUTED_VALUE"""),"Sun Belt")</f>
        <v>Sun Belt</v>
      </c>
      <c r="C291" s="3">
        <f>IFERROR(__xludf.DUMMYFUNCTION("""COMPUTED_VALUE"""),45879.0)</f>
        <v>45879</v>
      </c>
      <c r="D291" s="1">
        <f>IFERROR(__xludf.DUMMYFUNCTION("""COMPUTED_VALUE"""),-7.4)</f>
        <v>-7.4</v>
      </c>
      <c r="E291" s="1">
        <f>IFERROR(__xludf.DUMMYFUNCTION("""COMPUTED_VALUE"""),288.0)</f>
        <v>288</v>
      </c>
      <c r="F291" s="1">
        <f>IFERROR(__xludf.DUMMYFUNCTION("""COMPUTED_VALUE"""),7.0)</f>
        <v>7</v>
      </c>
      <c r="G291" s="1">
        <f>IFERROR(__xludf.DUMMYFUNCTION("""COMPUTED_VALUE"""),-5.8)</f>
        <v>-5.8</v>
      </c>
      <c r="H291" s="1">
        <f>IFERROR(__xludf.DUMMYFUNCTION("""COMPUTED_VALUE"""),-1.6)</f>
        <v>-1.6</v>
      </c>
      <c r="I291" s="1" t="str">
        <f>IFERROR(__xludf.DUMMYFUNCTION("""COMPUTED_VALUE"""),"12.2-18.8")</f>
        <v>12.2-18.8</v>
      </c>
      <c r="J291" s="1" t="str">
        <f>IFERROR(__xludf.DUMMYFUNCTION("""COMPUTED_VALUE"""),"7.0-11.0")</f>
        <v>7.0-11.0</v>
      </c>
      <c r="K291" s="1" t="str">
        <f>IFERROR(__xludf.DUMMYFUNCTION("""COMPUTED_VALUE"""),"&lt;0.1%")</f>
        <v>&lt;0.1%</v>
      </c>
      <c r="L291" s="1" t="str">
        <f>IFERROR(__xludf.DUMMYFUNCTION("""COMPUTED_VALUE"""),"169th")</f>
        <v>169th</v>
      </c>
    </row>
    <row r="292">
      <c r="A292" s="1" t="str">
        <f>IFERROR(__xludf.DUMMYFUNCTION("""COMPUTED_VALUE"""),"Cal Poly Mustangs")</f>
        <v>Cal Poly Mustangs</v>
      </c>
      <c r="B292" s="1" t="str">
        <f>IFERROR(__xludf.DUMMYFUNCTION("""COMPUTED_VALUE"""),"Big West")</f>
        <v>Big West</v>
      </c>
      <c r="C292" s="3">
        <f>IFERROR(__xludf.DUMMYFUNCTION("""COMPUTED_VALUE"""),45821.0)</f>
        <v>45821</v>
      </c>
      <c r="D292" s="1">
        <f>IFERROR(__xludf.DUMMYFUNCTION("""COMPUTED_VALUE"""),-7.5)</f>
        <v>-7.5</v>
      </c>
      <c r="E292" s="1">
        <f>IFERROR(__xludf.DUMMYFUNCTION("""COMPUTED_VALUE"""),289.0)</f>
        <v>289</v>
      </c>
      <c r="F292" s="1">
        <f>IFERROR(__xludf.DUMMYFUNCTION("""COMPUTED_VALUE"""),6.0)</f>
        <v>6</v>
      </c>
      <c r="G292" s="1">
        <f>IFERROR(__xludf.DUMMYFUNCTION("""COMPUTED_VALUE"""),-3.9)</f>
        <v>-3.9</v>
      </c>
      <c r="H292" s="1">
        <f>IFERROR(__xludf.DUMMYFUNCTION("""COMPUTED_VALUE"""),-3.7)</f>
        <v>-3.7</v>
      </c>
      <c r="I292" s="1" t="str">
        <f>IFERROR(__xludf.DUMMYFUNCTION("""COMPUTED_VALUE"""),"10.8-21.2")</f>
        <v>10.8-21.2</v>
      </c>
      <c r="J292" s="1" t="str">
        <f>IFERROR(__xludf.DUMMYFUNCTION("""COMPUTED_VALUE"""),"4.8-15.2")</f>
        <v>4.8-15.2</v>
      </c>
      <c r="K292" s="1" t="str">
        <f>IFERROR(__xludf.DUMMYFUNCTION("""COMPUTED_VALUE"""),"&lt;0.1%")</f>
        <v>&lt;0.1%</v>
      </c>
      <c r="L292" s="1" t="str">
        <f>IFERROR(__xludf.DUMMYFUNCTION("""COMPUTED_VALUE"""),"199th")</f>
        <v>199th</v>
      </c>
    </row>
    <row r="293">
      <c r="A293" s="1" t="str">
        <f>IFERROR(__xludf.DUMMYFUNCTION("""COMPUTED_VALUE"""),"Eastern Washington Eagles")</f>
        <v>Eastern Washington Eagles</v>
      </c>
      <c r="B293" s="1" t="str">
        <f>IFERROR(__xludf.DUMMYFUNCTION("""COMPUTED_VALUE"""),"Big Sky")</f>
        <v>Big Sky</v>
      </c>
      <c r="C293" s="3">
        <f>IFERROR(__xludf.DUMMYFUNCTION("""COMPUTED_VALUE"""),45819.0)</f>
        <v>45819</v>
      </c>
      <c r="D293" s="1">
        <f>IFERROR(__xludf.DUMMYFUNCTION("""COMPUTED_VALUE"""),-7.5)</f>
        <v>-7.5</v>
      </c>
      <c r="E293" s="1">
        <f>IFERROR(__xludf.DUMMYFUNCTION("""COMPUTED_VALUE"""),290.0)</f>
        <v>290</v>
      </c>
      <c r="F293" s="1">
        <f>IFERROR(__xludf.DUMMYFUNCTION("""COMPUTED_VALUE"""),7.0)</f>
        <v>7</v>
      </c>
      <c r="G293" s="1">
        <f>IFERROR(__xludf.DUMMYFUNCTION("""COMPUTED_VALUE"""),-3.9)</f>
        <v>-3.9</v>
      </c>
      <c r="H293" s="1">
        <f>IFERROR(__xludf.DUMMYFUNCTION("""COMPUTED_VALUE"""),-3.7)</f>
        <v>-3.7</v>
      </c>
      <c r="I293" s="1" t="str">
        <f>IFERROR(__xludf.DUMMYFUNCTION("""COMPUTED_VALUE"""),"11.2-19.8")</f>
        <v>11.2-19.8</v>
      </c>
      <c r="J293" s="1" t="str">
        <f>IFERROR(__xludf.DUMMYFUNCTION("""COMPUTED_VALUE"""),"7.2-10.8")</f>
        <v>7.2-10.8</v>
      </c>
      <c r="K293" s="2">
        <f>IFERROR(__xludf.DUMMYFUNCTION("""COMPUTED_VALUE"""),0.004)</f>
        <v>0.004</v>
      </c>
      <c r="L293" s="1" t="str">
        <f>IFERROR(__xludf.DUMMYFUNCTION("""COMPUTED_VALUE"""),"237th")</f>
        <v>237th</v>
      </c>
    </row>
    <row r="294">
      <c r="A294" s="1" t="str">
        <f>IFERROR(__xludf.DUMMYFUNCTION("""COMPUTED_VALUE"""),"Howard Bison")</f>
        <v>Howard Bison</v>
      </c>
      <c r="B294" s="1" t="str">
        <f>IFERROR(__xludf.DUMMYFUNCTION("""COMPUTED_VALUE"""),"MEAC")</f>
        <v>MEAC</v>
      </c>
      <c r="C294" s="3">
        <f>IFERROR(__xludf.DUMMYFUNCTION("""COMPUTED_VALUE"""),45879.0)</f>
        <v>45879</v>
      </c>
      <c r="D294" s="1">
        <f>IFERROR(__xludf.DUMMYFUNCTION("""COMPUTED_VALUE"""),-7.6)</f>
        <v>-7.6</v>
      </c>
      <c r="E294" s="1">
        <f>IFERROR(__xludf.DUMMYFUNCTION("""COMPUTED_VALUE"""),291.0)</f>
        <v>291</v>
      </c>
      <c r="F294" s="1">
        <f>IFERROR(__xludf.DUMMYFUNCTION("""COMPUTED_VALUE"""),25.0)</f>
        <v>25</v>
      </c>
      <c r="G294" s="1">
        <f>IFERROR(__xludf.DUMMYFUNCTION("""COMPUTED_VALUE"""),-1.2)</f>
        <v>-1.2</v>
      </c>
      <c r="H294" s="1">
        <f>IFERROR(__xludf.DUMMYFUNCTION("""COMPUTED_VALUE"""),-6.4)</f>
        <v>-6.4</v>
      </c>
      <c r="I294" s="1" t="str">
        <f>IFERROR(__xludf.DUMMYFUNCTION("""COMPUTED_VALUE"""),"14.2-15.8")</f>
        <v>14.2-15.8</v>
      </c>
      <c r="J294" s="1" t="str">
        <f>IFERROR(__xludf.DUMMYFUNCTION("""COMPUTED_VALUE"""),"8.2-5.8")</f>
        <v>8.2-5.8</v>
      </c>
      <c r="K294" s="2">
        <f>IFERROR(__xludf.DUMMYFUNCTION("""COMPUTED_VALUE"""),0.055)</f>
        <v>0.055</v>
      </c>
      <c r="L294" s="1" t="str">
        <f>IFERROR(__xludf.DUMMYFUNCTION("""COMPUTED_VALUE"""),"323rd")</f>
        <v>323rd</v>
      </c>
    </row>
    <row r="295">
      <c r="A295" s="1" t="str">
        <f>IFERROR(__xludf.DUMMYFUNCTION("""COMPUTED_VALUE"""),"North Dakota Fighting Hawks")</f>
        <v>North Dakota Fighting Hawks</v>
      </c>
      <c r="B295" s="1" t="str">
        <f>IFERROR(__xludf.DUMMYFUNCTION("""COMPUTED_VALUE"""),"Summit")</f>
        <v>Summit</v>
      </c>
      <c r="C295" s="3">
        <f>IFERROR(__xludf.DUMMYFUNCTION("""COMPUTED_VALUE"""),45851.0)</f>
        <v>45851</v>
      </c>
      <c r="D295" s="1">
        <f>IFERROR(__xludf.DUMMYFUNCTION("""COMPUTED_VALUE"""),-7.6)</f>
        <v>-7.6</v>
      </c>
      <c r="E295" s="1">
        <f>IFERROR(__xludf.DUMMYFUNCTION("""COMPUTED_VALUE"""),292.0)</f>
        <v>292</v>
      </c>
      <c r="F295" s="1">
        <f>IFERROR(__xludf.DUMMYFUNCTION("""COMPUTED_VALUE"""),11.0)</f>
        <v>11</v>
      </c>
      <c r="G295" s="1">
        <f>IFERROR(__xludf.DUMMYFUNCTION("""COMPUTED_VALUE"""),-2.3)</f>
        <v>-2.3</v>
      </c>
      <c r="H295" s="1">
        <f>IFERROR(__xludf.DUMMYFUNCTION("""COMPUTED_VALUE"""),-5.4)</f>
        <v>-5.4</v>
      </c>
      <c r="I295" s="1" t="str">
        <f>IFERROR(__xludf.DUMMYFUNCTION("""COMPUTED_VALUE"""),"11.0-20.0")</f>
        <v>11.0-20.0</v>
      </c>
      <c r="J295" s="1" t="str">
        <f>IFERROR(__xludf.DUMMYFUNCTION("""COMPUTED_VALUE"""),"5.0-11.0")</f>
        <v>5.0-11.0</v>
      </c>
      <c r="K295" s="2">
        <f>IFERROR(__xludf.DUMMYFUNCTION("""COMPUTED_VALUE"""),0.003)</f>
        <v>0.003</v>
      </c>
      <c r="L295" s="1" t="str">
        <f>IFERROR(__xludf.DUMMYFUNCTION("""COMPUTED_VALUE"""),"214th")</f>
        <v>214th</v>
      </c>
    </row>
    <row r="296">
      <c r="A296" s="1" t="str">
        <f>IFERROR(__xludf.DUMMYFUNCTION("""COMPUTED_VALUE"""),"Alabama State Hornets")</f>
        <v>Alabama State Hornets</v>
      </c>
      <c r="B296" s="1" t="str">
        <f>IFERROR(__xludf.DUMMYFUNCTION("""COMPUTED_VALUE"""),"SWAC")</f>
        <v>SWAC</v>
      </c>
      <c r="C296" s="3">
        <f>IFERROR(__xludf.DUMMYFUNCTION("""COMPUTED_VALUE"""),45819.0)</f>
        <v>45819</v>
      </c>
      <c r="D296" s="1">
        <f>IFERROR(__xludf.DUMMYFUNCTION("""COMPUTED_VALUE"""),-7.8)</f>
        <v>-7.8</v>
      </c>
      <c r="E296" s="1">
        <f>IFERROR(__xludf.DUMMYFUNCTION("""COMPUTED_VALUE"""),293.0)</f>
        <v>293</v>
      </c>
      <c r="F296" s="1">
        <f>IFERROR(__xludf.DUMMYFUNCTION("""COMPUTED_VALUE"""),5.0)</f>
        <v>5</v>
      </c>
      <c r="G296" s="1">
        <f>IFERROR(__xludf.DUMMYFUNCTION("""COMPUTED_VALUE"""),-3.7)</f>
        <v>-3.7</v>
      </c>
      <c r="H296" s="1">
        <f>IFERROR(__xludf.DUMMYFUNCTION("""COMPUTED_VALUE"""),-4.0)</f>
        <v>-4</v>
      </c>
      <c r="I296" s="1" t="str">
        <f>IFERROR(__xludf.DUMMYFUNCTION("""COMPUTED_VALUE"""),"14.6-16.4")</f>
        <v>14.6-16.4</v>
      </c>
      <c r="J296" s="1" t="str">
        <f>IFERROR(__xludf.DUMMYFUNCTION("""COMPUTED_VALUE"""),"10.6-7.4")</f>
        <v>10.6-7.4</v>
      </c>
      <c r="K296" s="2">
        <f>IFERROR(__xludf.DUMMYFUNCTION("""COMPUTED_VALUE"""),0.136)</f>
        <v>0.136</v>
      </c>
      <c r="L296" s="1" t="str">
        <f>IFERROR(__xludf.DUMMYFUNCTION("""COMPUTED_VALUE"""),"354th")</f>
        <v>354th</v>
      </c>
    </row>
    <row r="297">
      <c r="A297" s="1" t="str">
        <f>IFERROR(__xludf.DUMMYFUNCTION("""COMPUTED_VALUE"""),"Northwestern State Demons")</f>
        <v>Northwestern State Demons</v>
      </c>
      <c r="B297" s="1" t="str">
        <f>IFERROR(__xludf.DUMMYFUNCTION("""COMPUTED_VALUE"""),"Southland")</f>
        <v>Southland</v>
      </c>
      <c r="C297" s="3">
        <f>IFERROR(__xludf.DUMMYFUNCTION("""COMPUTED_VALUE"""),45847.0)</f>
        <v>45847</v>
      </c>
      <c r="D297" s="1">
        <f>IFERROR(__xludf.DUMMYFUNCTION("""COMPUTED_VALUE"""),-7.9)</f>
        <v>-7.9</v>
      </c>
      <c r="E297" s="1">
        <f>IFERROR(__xludf.DUMMYFUNCTION("""COMPUTED_VALUE"""),294.0)</f>
        <v>294</v>
      </c>
      <c r="F297" s="1">
        <f>IFERROR(__xludf.DUMMYFUNCTION("""COMPUTED_VALUE"""),4.0)</f>
        <v>4</v>
      </c>
      <c r="G297" s="1">
        <f>IFERROR(__xludf.DUMMYFUNCTION("""COMPUTED_VALUE"""),-4.7)</f>
        <v>-4.7</v>
      </c>
      <c r="H297" s="1">
        <f>IFERROR(__xludf.DUMMYFUNCTION("""COMPUTED_VALUE"""),-3.2)</f>
        <v>-3.2</v>
      </c>
      <c r="I297" s="1" t="str">
        <f>IFERROR(__xludf.DUMMYFUNCTION("""COMPUTED_VALUE"""),"13.1-16.9")</f>
        <v>13.1-16.9</v>
      </c>
      <c r="J297" s="1" t="str">
        <f>IFERROR(__xludf.DUMMYFUNCTION("""COMPUTED_VALUE"""),"10.1-9.9")</f>
        <v>10.1-9.9</v>
      </c>
      <c r="K297" s="1" t="str">
        <f>IFERROR(__xludf.DUMMYFUNCTION("""COMPUTED_VALUE"""),"&lt;0.1%")</f>
        <v>&lt;0.1%</v>
      </c>
      <c r="L297" s="1" t="str">
        <f>IFERROR(__xludf.DUMMYFUNCTION("""COMPUTED_VALUE"""),"287th")</f>
        <v>287th</v>
      </c>
    </row>
    <row r="298">
      <c r="A298" s="1" t="str">
        <f>IFERROR(__xludf.DUMMYFUNCTION("""COMPUTED_VALUE"""),"Austin Peay Governors")</f>
        <v>Austin Peay Governors</v>
      </c>
      <c r="B298" s="1" t="str">
        <f>IFERROR(__xludf.DUMMYFUNCTION("""COMPUTED_VALUE"""),"ASUN")</f>
        <v>ASUN</v>
      </c>
      <c r="C298" s="3">
        <f>IFERROR(__xludf.DUMMYFUNCTION("""COMPUTED_VALUE"""),45849.0)</f>
        <v>45849</v>
      </c>
      <c r="D298" s="1">
        <f>IFERROR(__xludf.DUMMYFUNCTION("""COMPUTED_VALUE"""),-8.0)</f>
        <v>-8</v>
      </c>
      <c r="E298" s="1">
        <f>IFERROR(__xludf.DUMMYFUNCTION("""COMPUTED_VALUE"""),295.0)</f>
        <v>295</v>
      </c>
      <c r="F298" s="1">
        <f>IFERROR(__xludf.DUMMYFUNCTION("""COMPUTED_VALUE"""),4.0)</f>
        <v>4</v>
      </c>
      <c r="G298" s="1">
        <f>IFERROR(__xludf.DUMMYFUNCTION("""COMPUTED_VALUE"""),-6.1)</f>
        <v>-6.1</v>
      </c>
      <c r="H298" s="1">
        <f>IFERROR(__xludf.DUMMYFUNCTION("""COMPUTED_VALUE"""),-1.9)</f>
        <v>-1.9</v>
      </c>
      <c r="I298" s="1" t="str">
        <f>IFERROR(__xludf.DUMMYFUNCTION("""COMPUTED_VALUE"""),"12.7-18.3")</f>
        <v>12.7-18.3</v>
      </c>
      <c r="J298" s="1" t="str">
        <f>IFERROR(__xludf.DUMMYFUNCTION("""COMPUTED_VALUE"""),"7.7-10.3")</f>
        <v>7.7-10.3</v>
      </c>
      <c r="K298" s="1" t="str">
        <f>IFERROR(__xludf.DUMMYFUNCTION("""COMPUTED_VALUE"""),"&lt;0.1%")</f>
        <v>&lt;0.1%</v>
      </c>
      <c r="L298" s="1" t="str">
        <f>IFERROR(__xludf.DUMMYFUNCTION("""COMPUTED_VALUE"""),"278th")</f>
        <v>278th</v>
      </c>
    </row>
    <row r="299">
      <c r="A299" s="1" t="str">
        <f>IFERROR(__xludf.DUMMYFUNCTION("""COMPUTED_VALUE"""),"Evansville Purple Aces")</f>
        <v>Evansville Purple Aces</v>
      </c>
      <c r="B299" s="1" t="str">
        <f>IFERROR(__xludf.DUMMYFUNCTION("""COMPUTED_VALUE"""),"MVC")</f>
        <v>MVC</v>
      </c>
      <c r="C299" s="3">
        <f>IFERROR(__xludf.DUMMYFUNCTION("""COMPUTED_VALUE"""),45820.0)</f>
        <v>45820</v>
      </c>
      <c r="D299" s="1">
        <f>IFERROR(__xludf.DUMMYFUNCTION("""COMPUTED_VALUE"""),-8.0)</f>
        <v>-8</v>
      </c>
      <c r="E299" s="1">
        <f>IFERROR(__xludf.DUMMYFUNCTION("""COMPUTED_VALUE"""),296.0)</f>
        <v>296</v>
      </c>
      <c r="F299" s="1">
        <f>IFERROR(__xludf.DUMMYFUNCTION("""COMPUTED_VALUE"""),6.0)</f>
        <v>6</v>
      </c>
      <c r="G299" s="1">
        <f>IFERROR(__xludf.DUMMYFUNCTION("""COMPUTED_VALUE"""),-8.5)</f>
        <v>-8.5</v>
      </c>
      <c r="H299" s="1">
        <f>IFERROR(__xludf.DUMMYFUNCTION("""COMPUTED_VALUE"""),0.5)</f>
        <v>0.5</v>
      </c>
      <c r="I299" s="1" t="str">
        <f>IFERROR(__xludf.DUMMYFUNCTION("""COMPUTED_VALUE"""),"8.8-22.2")</f>
        <v>8.8-22.2</v>
      </c>
      <c r="J299" s="1" t="str">
        <f>IFERROR(__xludf.DUMMYFUNCTION("""COMPUTED_VALUE"""),"5.8-14.2")</f>
        <v>5.8-14.2</v>
      </c>
      <c r="K299" s="1" t="str">
        <f>IFERROR(__xludf.DUMMYFUNCTION("""COMPUTED_VALUE"""),"&lt;0.1%")</f>
        <v>&lt;0.1%</v>
      </c>
      <c r="L299" s="1" t="str">
        <f>IFERROR(__xludf.DUMMYFUNCTION("""COMPUTED_VALUE"""),"131st")</f>
        <v>131st</v>
      </c>
    </row>
    <row r="300">
      <c r="A300" s="1" t="str">
        <f>IFERROR(__xludf.DUMMYFUNCTION("""COMPUTED_VALUE"""),"Fairleigh Dickinson Knights")</f>
        <v>Fairleigh Dickinson Knights</v>
      </c>
      <c r="B300" s="1" t="str">
        <f>IFERROR(__xludf.DUMMYFUNCTION("""COMPUTED_VALUE"""),"NEC")</f>
        <v>NEC</v>
      </c>
      <c r="C300" s="3">
        <f>IFERROR(__xludf.DUMMYFUNCTION("""COMPUTED_VALUE"""),45820.0)</f>
        <v>45820</v>
      </c>
      <c r="D300" s="1">
        <f>IFERROR(__xludf.DUMMYFUNCTION("""COMPUTED_VALUE"""),-8.0)</f>
        <v>-8</v>
      </c>
      <c r="E300" s="1">
        <f>IFERROR(__xludf.DUMMYFUNCTION("""COMPUTED_VALUE"""),297.0)</f>
        <v>297</v>
      </c>
      <c r="F300" s="1">
        <f>IFERROR(__xludf.DUMMYFUNCTION("""COMPUTED_VALUE"""),5.0)</f>
        <v>5</v>
      </c>
      <c r="G300" s="1">
        <f>IFERROR(__xludf.DUMMYFUNCTION("""COMPUTED_VALUE"""),-3.4)</f>
        <v>-3.4</v>
      </c>
      <c r="H300" s="1">
        <f>IFERROR(__xludf.DUMMYFUNCTION("""COMPUTED_VALUE"""),-4.6)</f>
        <v>-4.6</v>
      </c>
      <c r="I300" s="1" t="str">
        <f>IFERROR(__xludf.DUMMYFUNCTION("""COMPUTED_VALUE"""),"13.4-17.6")</f>
        <v>13.4-17.6</v>
      </c>
      <c r="J300" s="1" t="str">
        <f>IFERROR(__xludf.DUMMYFUNCTION("""COMPUTED_VALUE"""),"9.4-6.6")</f>
        <v>9.4-6.6</v>
      </c>
      <c r="K300" s="2">
        <f>IFERROR(__xludf.DUMMYFUNCTION("""COMPUTED_VALUE"""),0.091)</f>
        <v>0.091</v>
      </c>
      <c r="L300" s="1" t="str">
        <f>IFERROR(__xludf.DUMMYFUNCTION("""COMPUTED_VALUE"""),"349th")</f>
        <v>349th</v>
      </c>
    </row>
    <row r="301">
      <c r="A301" s="1" t="str">
        <f>IFERROR(__xludf.DUMMYFUNCTION("""COMPUTED_VALUE"""),"Louisiana Ragin' Cajuns")</f>
        <v>Louisiana Ragin' Cajuns</v>
      </c>
      <c r="B301" s="1" t="str">
        <f>IFERROR(__xludf.DUMMYFUNCTION("""COMPUTED_VALUE"""),"Sun Belt")</f>
        <v>Sun Belt</v>
      </c>
      <c r="C301" s="3">
        <f>IFERROR(__xludf.DUMMYFUNCTION("""COMPUTED_VALUE"""),45790.0)</f>
        <v>45790</v>
      </c>
      <c r="D301" s="1">
        <f>IFERROR(__xludf.DUMMYFUNCTION("""COMPUTED_VALUE"""),-8.0)</f>
        <v>-8</v>
      </c>
      <c r="E301" s="1">
        <f>IFERROR(__xludf.DUMMYFUNCTION("""COMPUTED_VALUE"""),298.0)</f>
        <v>298</v>
      </c>
      <c r="F301" s="1">
        <f>IFERROR(__xludf.DUMMYFUNCTION("""COMPUTED_VALUE"""),2.0)</f>
        <v>2</v>
      </c>
      <c r="G301" s="1">
        <f>IFERROR(__xludf.DUMMYFUNCTION("""COMPUTED_VALUE"""),-4.7)</f>
        <v>-4.7</v>
      </c>
      <c r="H301" s="1">
        <f>IFERROR(__xludf.DUMMYFUNCTION("""COMPUTED_VALUE"""),-3.3)</f>
        <v>-3.3</v>
      </c>
      <c r="I301" s="1" t="str">
        <f>IFERROR(__xludf.DUMMYFUNCTION("""COMPUTED_VALUE"""),"9.1-21.9")</f>
        <v>9.1-21.9</v>
      </c>
      <c r="J301" s="1" t="str">
        <f>IFERROR(__xludf.DUMMYFUNCTION("""COMPUTED_VALUE"""),"6.5-11.5")</f>
        <v>6.5-11.5</v>
      </c>
      <c r="K301" s="1" t="str">
        <f>IFERROR(__xludf.DUMMYFUNCTION("""COMPUTED_VALUE"""),"&lt;0.1%")</f>
        <v>&lt;0.1%</v>
      </c>
      <c r="L301" s="1" t="str">
        <f>IFERROR(__xludf.DUMMYFUNCTION("""COMPUTED_VALUE"""),"186th")</f>
        <v>186th</v>
      </c>
    </row>
    <row r="302">
      <c r="A302" s="1" t="str">
        <f>IFERROR(__xludf.DUMMYFUNCTION("""COMPUTED_VALUE"""),"Delaware State Hornets")</f>
        <v>Delaware State Hornets</v>
      </c>
      <c r="B302" s="1" t="str">
        <f>IFERROR(__xludf.DUMMYFUNCTION("""COMPUTED_VALUE"""),"MEAC")</f>
        <v>MEAC</v>
      </c>
      <c r="C302" s="3">
        <f>IFERROR(__xludf.DUMMYFUNCTION("""COMPUTED_VALUE"""),45879.0)</f>
        <v>45879</v>
      </c>
      <c r="D302" s="1">
        <f>IFERROR(__xludf.DUMMYFUNCTION("""COMPUTED_VALUE"""),-8.2)</f>
        <v>-8.2</v>
      </c>
      <c r="E302" s="1">
        <f>IFERROR(__xludf.DUMMYFUNCTION("""COMPUTED_VALUE"""),299.0)</f>
        <v>299</v>
      </c>
      <c r="F302" s="1">
        <f>IFERROR(__xludf.DUMMYFUNCTION("""COMPUTED_VALUE"""),4.0)</f>
        <v>4</v>
      </c>
      <c r="G302" s="1">
        <f>IFERROR(__xludf.DUMMYFUNCTION("""COMPUTED_VALUE"""),-6.3)</f>
        <v>-6.3</v>
      </c>
      <c r="H302" s="1">
        <f>IFERROR(__xludf.DUMMYFUNCTION("""COMPUTED_VALUE"""),-1.9)</f>
        <v>-1.9</v>
      </c>
      <c r="I302" s="1" t="str">
        <f>IFERROR(__xludf.DUMMYFUNCTION("""COMPUTED_VALUE"""),"15.1-13.9")</f>
        <v>15.1-13.9</v>
      </c>
      <c r="J302" s="1" t="str">
        <f>IFERROR(__xludf.DUMMYFUNCTION("""COMPUTED_VALUE"""),"7.1-6.9")</f>
        <v>7.1-6.9</v>
      </c>
      <c r="K302" s="2">
        <f>IFERROR(__xludf.DUMMYFUNCTION("""COMPUTED_VALUE"""),0.027)</f>
        <v>0.027</v>
      </c>
      <c r="L302" s="1" t="str">
        <f>IFERROR(__xludf.DUMMYFUNCTION("""COMPUTED_VALUE"""),"361st")</f>
        <v>361st</v>
      </c>
    </row>
    <row r="303">
      <c r="A303" s="1" t="str">
        <f>IFERROR(__xludf.DUMMYFUNCTION("""COMPUTED_VALUE"""),"Old Dominion Monarchs")</f>
        <v>Old Dominion Monarchs</v>
      </c>
      <c r="B303" s="1" t="str">
        <f>IFERROR(__xludf.DUMMYFUNCTION("""COMPUTED_VALUE"""),"Sun Belt")</f>
        <v>Sun Belt</v>
      </c>
      <c r="C303" s="3">
        <f>IFERROR(__xludf.DUMMYFUNCTION("""COMPUTED_VALUE"""),45879.0)</f>
        <v>45879</v>
      </c>
      <c r="D303" s="1">
        <f>IFERROR(__xludf.DUMMYFUNCTION("""COMPUTED_VALUE"""),-8.3)</f>
        <v>-8.3</v>
      </c>
      <c r="E303" s="1">
        <f>IFERROR(__xludf.DUMMYFUNCTION("""COMPUTED_VALUE"""),300.0)</f>
        <v>300</v>
      </c>
      <c r="F303" s="1">
        <f>IFERROR(__xludf.DUMMYFUNCTION("""COMPUTED_VALUE"""),2.0)</f>
        <v>2</v>
      </c>
      <c r="G303" s="1">
        <f>IFERROR(__xludf.DUMMYFUNCTION("""COMPUTED_VALUE"""),-6.8)</f>
        <v>-6.8</v>
      </c>
      <c r="H303" s="1">
        <f>IFERROR(__xludf.DUMMYFUNCTION("""COMPUTED_VALUE"""),-1.4)</f>
        <v>-1.4</v>
      </c>
      <c r="I303" s="1" t="str">
        <f>IFERROR(__xludf.DUMMYFUNCTION("""COMPUTED_VALUE"""),"12.6-18.4")</f>
        <v>12.6-18.4</v>
      </c>
      <c r="J303" s="1" t="str">
        <f>IFERROR(__xludf.DUMMYFUNCTION("""COMPUTED_VALUE"""),"8.2-9.8")</f>
        <v>8.2-9.8</v>
      </c>
      <c r="K303" s="1" t="str">
        <f>IFERROR(__xludf.DUMMYFUNCTION("""COMPUTED_VALUE"""),"&lt;0.1%")</f>
        <v>&lt;0.1%</v>
      </c>
      <c r="L303" s="1" t="str">
        <f>IFERROR(__xludf.DUMMYFUNCTION("""COMPUTED_VALUE"""),"236th")</f>
        <v>236th</v>
      </c>
    </row>
    <row r="304">
      <c r="A304" s="1" t="str">
        <f>IFERROR(__xludf.DUMMYFUNCTION("""COMPUTED_VALUE"""),"Western Michigan Broncos")</f>
        <v>Western Michigan Broncos</v>
      </c>
      <c r="B304" s="1" t="str">
        <f>IFERROR(__xludf.DUMMYFUNCTION("""COMPUTED_VALUE"""),"MAC")</f>
        <v>MAC</v>
      </c>
      <c r="C304" s="3">
        <f>IFERROR(__xludf.DUMMYFUNCTION("""COMPUTED_VALUE"""),45759.0)</f>
        <v>45759</v>
      </c>
      <c r="D304" s="1">
        <f>IFERROR(__xludf.DUMMYFUNCTION("""COMPUTED_VALUE"""),-8.3)</f>
        <v>-8.3</v>
      </c>
      <c r="E304" s="1">
        <f>IFERROR(__xludf.DUMMYFUNCTION("""COMPUTED_VALUE"""),301.0)</f>
        <v>301</v>
      </c>
      <c r="F304" s="1">
        <f>IFERROR(__xludf.DUMMYFUNCTION("""COMPUTED_VALUE"""),6.0)</f>
        <v>6</v>
      </c>
      <c r="G304" s="1">
        <f>IFERROR(__xludf.DUMMYFUNCTION("""COMPUTED_VALUE"""),-4.0)</f>
        <v>-4</v>
      </c>
      <c r="H304" s="1">
        <f>IFERROR(__xludf.DUMMYFUNCTION("""COMPUTED_VALUE"""),-4.2)</f>
        <v>-4.2</v>
      </c>
      <c r="I304" s="1" t="str">
        <f>IFERROR(__xludf.DUMMYFUNCTION("""COMPUTED_VALUE"""),"10.2-20.8")</f>
        <v>10.2-20.8</v>
      </c>
      <c r="J304" s="1" t="str">
        <f>IFERROR(__xludf.DUMMYFUNCTION("""COMPUTED_VALUE"""),"6.6-11.4")</f>
        <v>6.6-11.4</v>
      </c>
      <c r="K304" s="1" t="str">
        <f>IFERROR(__xludf.DUMMYFUNCTION("""COMPUTED_VALUE"""),"&lt;0.1%")</f>
        <v>&lt;0.1%</v>
      </c>
      <c r="L304" s="1" t="str">
        <f>IFERROR(__xludf.DUMMYFUNCTION("""COMPUTED_VALUE"""),"271st")</f>
        <v>271st</v>
      </c>
    </row>
    <row r="305">
      <c r="A305" s="1" t="str">
        <f>IFERROR(__xludf.DUMMYFUNCTION("""COMPUTED_VALUE"""),"Long Island University Sharks")</f>
        <v>Long Island University Sharks</v>
      </c>
      <c r="B305" s="1" t="str">
        <f>IFERROR(__xludf.DUMMYFUNCTION("""COMPUTED_VALUE"""),"NEC")</f>
        <v>NEC</v>
      </c>
      <c r="C305" s="3">
        <f>IFERROR(__xludf.DUMMYFUNCTION("""COMPUTED_VALUE"""),45880.0)</f>
        <v>45880</v>
      </c>
      <c r="D305" s="1">
        <f>IFERROR(__xludf.DUMMYFUNCTION("""COMPUTED_VALUE"""),-8.3)</f>
        <v>-8.3</v>
      </c>
      <c r="E305" s="1">
        <f>IFERROR(__xludf.DUMMYFUNCTION("""COMPUTED_VALUE"""),302.0)</f>
        <v>302</v>
      </c>
      <c r="F305" s="1">
        <f>IFERROR(__xludf.DUMMYFUNCTION("""COMPUTED_VALUE"""),4.0)</f>
        <v>4</v>
      </c>
      <c r="G305" s="1">
        <f>IFERROR(__xludf.DUMMYFUNCTION("""COMPUTED_VALUE"""),-7.6)</f>
        <v>-7.6</v>
      </c>
      <c r="H305" s="1">
        <f>IFERROR(__xludf.DUMMYFUNCTION("""COMPUTED_VALUE"""),-0.7)</f>
        <v>-0.7</v>
      </c>
      <c r="I305" s="1" t="str">
        <f>IFERROR(__xludf.DUMMYFUNCTION("""COMPUTED_VALUE"""),"14.6-16.4")</f>
        <v>14.6-16.4</v>
      </c>
      <c r="J305" s="1" t="str">
        <f>IFERROR(__xludf.DUMMYFUNCTION("""COMPUTED_VALUE"""),"10.6-5.4")</f>
        <v>10.6-5.4</v>
      </c>
      <c r="K305" s="2">
        <f>IFERROR(__xludf.DUMMYFUNCTION("""COMPUTED_VALUE"""),0.068)</f>
        <v>0.068</v>
      </c>
      <c r="L305" s="1" t="str">
        <f>IFERROR(__xludf.DUMMYFUNCTION("""COMPUTED_VALUE"""),"350th")</f>
        <v>350th</v>
      </c>
    </row>
    <row r="306">
      <c r="A306" s="1" t="str">
        <f>IFERROR(__xludf.DUMMYFUNCTION("""COMPUTED_VALUE"""),"Texas Southern Tigers")</f>
        <v>Texas Southern Tigers</v>
      </c>
      <c r="B306" s="1" t="str">
        <f>IFERROR(__xludf.DUMMYFUNCTION("""COMPUTED_VALUE"""),"SWAC")</f>
        <v>SWAC</v>
      </c>
      <c r="C306" s="3">
        <f>IFERROR(__xludf.DUMMYFUNCTION("""COMPUTED_VALUE"""),45788.0)</f>
        <v>45788</v>
      </c>
      <c r="D306" s="1">
        <f>IFERROR(__xludf.DUMMYFUNCTION("""COMPUTED_VALUE"""),-8.3)</f>
        <v>-8.3</v>
      </c>
      <c r="E306" s="1">
        <f>IFERROR(__xludf.DUMMYFUNCTION("""COMPUTED_VALUE"""),303.0)</f>
        <v>303</v>
      </c>
      <c r="F306" s="1">
        <f>IFERROR(__xludf.DUMMYFUNCTION("""COMPUTED_VALUE"""),5.0)</f>
        <v>5</v>
      </c>
      <c r="G306" s="1">
        <f>IFERROR(__xludf.DUMMYFUNCTION("""COMPUTED_VALUE"""),-6.6)</f>
        <v>-6.6</v>
      </c>
      <c r="H306" s="1">
        <f>IFERROR(__xludf.DUMMYFUNCTION("""COMPUTED_VALUE"""),-1.7)</f>
        <v>-1.7</v>
      </c>
      <c r="I306" s="1" t="str">
        <f>IFERROR(__xludf.DUMMYFUNCTION("""COMPUTED_VALUE"""),"14.2-16.8")</f>
        <v>14.2-16.8</v>
      </c>
      <c r="J306" s="1" t="str">
        <f>IFERROR(__xludf.DUMMYFUNCTION("""COMPUTED_VALUE"""),"11.2-6.8")</f>
        <v>11.2-6.8</v>
      </c>
      <c r="K306" s="2">
        <f>IFERROR(__xludf.DUMMYFUNCTION("""COMPUTED_VALUE"""),0.106)</f>
        <v>0.106</v>
      </c>
      <c r="L306" s="1" t="str">
        <f>IFERROR(__xludf.DUMMYFUNCTION("""COMPUTED_VALUE"""),"360th")</f>
        <v>360th</v>
      </c>
    </row>
    <row r="307">
      <c r="A307" s="1" t="str">
        <f>IFERROR(__xludf.DUMMYFUNCTION("""COMPUTED_VALUE"""),"Tennessee State Tigers")</f>
        <v>Tennessee State Tigers</v>
      </c>
      <c r="B307" s="1" t="str">
        <f>IFERROR(__xludf.DUMMYFUNCTION("""COMPUTED_VALUE"""),"OVC")</f>
        <v>OVC</v>
      </c>
      <c r="C307" s="3">
        <f>IFERROR(__xludf.DUMMYFUNCTION("""COMPUTED_VALUE"""),45820.0)</f>
        <v>45820</v>
      </c>
      <c r="D307" s="1">
        <f>IFERROR(__xludf.DUMMYFUNCTION("""COMPUTED_VALUE"""),-8.4)</f>
        <v>-8.4</v>
      </c>
      <c r="E307" s="1">
        <f>IFERROR(__xludf.DUMMYFUNCTION("""COMPUTED_VALUE"""),304.0)</f>
        <v>304</v>
      </c>
      <c r="F307" s="1">
        <f>IFERROR(__xludf.DUMMYFUNCTION("""COMPUTED_VALUE"""),9.0)</f>
        <v>9</v>
      </c>
      <c r="G307" s="1">
        <f>IFERROR(__xludf.DUMMYFUNCTION("""COMPUTED_VALUE"""),-6.4)</f>
        <v>-6.4</v>
      </c>
      <c r="H307" s="1">
        <f>IFERROR(__xludf.DUMMYFUNCTION("""COMPUTED_VALUE"""),-2.0)</f>
        <v>-2</v>
      </c>
      <c r="I307" s="1" t="str">
        <f>IFERROR(__xludf.DUMMYFUNCTION("""COMPUTED_VALUE"""),"12.6-18.4")</f>
        <v>12.6-18.4</v>
      </c>
      <c r="J307" s="1" t="str">
        <f>IFERROR(__xludf.DUMMYFUNCTION("""COMPUTED_VALUE"""),"8.6-11.4")</f>
        <v>8.6-11.4</v>
      </c>
      <c r="K307" s="2">
        <f>IFERROR(__xludf.DUMMYFUNCTION("""COMPUTED_VALUE"""),0.056)</f>
        <v>0.056</v>
      </c>
      <c r="L307" s="1" t="str">
        <f>IFERROR(__xludf.DUMMYFUNCTION("""COMPUTED_VALUE"""),"338th")</f>
        <v>338th</v>
      </c>
    </row>
    <row r="308">
      <c r="A308" s="1" t="str">
        <f>IFERROR(__xludf.DUMMYFUNCTION("""COMPUTED_VALUE"""),"Manhattan Jaspers")</f>
        <v>Manhattan Jaspers</v>
      </c>
      <c r="B308" s="1" t="str">
        <f>IFERROR(__xludf.DUMMYFUNCTION("""COMPUTED_VALUE"""),"MAAC")</f>
        <v>MAAC</v>
      </c>
      <c r="C308" s="3">
        <f>IFERROR(__xludf.DUMMYFUNCTION("""COMPUTED_VALUE"""),45846.0)</f>
        <v>45846</v>
      </c>
      <c r="D308" s="1">
        <f>IFERROR(__xludf.DUMMYFUNCTION("""COMPUTED_VALUE"""),-8.6)</f>
        <v>-8.6</v>
      </c>
      <c r="E308" s="1">
        <f>IFERROR(__xludf.DUMMYFUNCTION("""COMPUTED_VALUE"""),305.0)</f>
        <v>305</v>
      </c>
      <c r="F308" s="1" t="str">
        <f>IFERROR(__xludf.DUMMYFUNCTION("""COMPUTED_VALUE"""),"--")</f>
        <v>--</v>
      </c>
      <c r="G308" s="1">
        <f>IFERROR(__xludf.DUMMYFUNCTION("""COMPUTED_VALUE"""),-3.3)</f>
        <v>-3.3</v>
      </c>
      <c r="H308" s="1">
        <f>IFERROR(__xludf.DUMMYFUNCTION("""COMPUTED_VALUE"""),-5.4)</f>
        <v>-5.4</v>
      </c>
      <c r="I308" s="1" t="str">
        <f>IFERROR(__xludf.DUMMYFUNCTION("""COMPUTED_VALUE"""),"13.1-15.9")</f>
        <v>13.1-15.9</v>
      </c>
      <c r="J308" s="1" t="str">
        <f>IFERROR(__xludf.DUMMYFUNCTION("""COMPUTED_VALUE"""),"8.1-11.9")</f>
        <v>8.1-11.9</v>
      </c>
      <c r="K308" s="2">
        <f>IFERROR(__xludf.DUMMYFUNCTION("""COMPUTED_VALUE"""),0.006)</f>
        <v>0.006</v>
      </c>
      <c r="L308" s="1" t="str">
        <f>IFERROR(__xludf.DUMMYFUNCTION("""COMPUTED_VALUE"""),"325th")</f>
        <v>325th</v>
      </c>
    </row>
    <row r="309">
      <c r="A309" s="1" t="str">
        <f>IFERROR(__xludf.DUMMYFUNCTION("""COMPUTED_VALUE"""),"Loyola Maryland Greyhounds")</f>
        <v>Loyola Maryland Greyhounds</v>
      </c>
      <c r="B309" s="1" t="str">
        <f>IFERROR(__xludf.DUMMYFUNCTION("""COMPUTED_VALUE"""),"Patriot")</f>
        <v>Patriot</v>
      </c>
      <c r="C309" s="3">
        <f>IFERROR(__xludf.DUMMYFUNCTION("""COMPUTED_VALUE"""),45847.0)</f>
        <v>45847</v>
      </c>
      <c r="D309" s="1">
        <f>IFERROR(__xludf.DUMMYFUNCTION("""COMPUTED_VALUE"""),-8.6)</f>
        <v>-8.6</v>
      </c>
      <c r="E309" s="1">
        <f>IFERROR(__xludf.DUMMYFUNCTION("""COMPUTED_VALUE"""),306.0)</f>
        <v>306</v>
      </c>
      <c r="F309" s="1">
        <f>IFERROR(__xludf.DUMMYFUNCTION("""COMPUTED_VALUE"""),13.0)</f>
        <v>13</v>
      </c>
      <c r="G309" s="1">
        <f>IFERROR(__xludf.DUMMYFUNCTION("""COMPUTED_VALUE"""),-5.6)</f>
        <v>-5.6</v>
      </c>
      <c r="H309" s="1">
        <f>IFERROR(__xludf.DUMMYFUNCTION("""COMPUTED_VALUE"""),-3.0)</f>
        <v>-3</v>
      </c>
      <c r="I309" s="1" t="str">
        <f>IFERROR(__xludf.DUMMYFUNCTION("""COMPUTED_VALUE"""),"11.9-17.1")</f>
        <v>11.9-17.1</v>
      </c>
      <c r="J309" s="1" t="str">
        <f>IFERROR(__xludf.DUMMYFUNCTION("""COMPUTED_VALUE"""),"6.9-11.1")</f>
        <v>6.9-11.1</v>
      </c>
      <c r="K309" s="2">
        <f>IFERROR(__xludf.DUMMYFUNCTION("""COMPUTED_VALUE"""),0.026)</f>
        <v>0.026</v>
      </c>
      <c r="L309" s="1" t="str">
        <f>IFERROR(__xludf.DUMMYFUNCTION("""COMPUTED_VALUE"""),"288th")</f>
        <v>288th</v>
      </c>
    </row>
    <row r="310">
      <c r="A310" s="1" t="str">
        <f>IFERROR(__xludf.DUMMYFUNCTION("""COMPUTED_VALUE"""),"Holy Cross Crusaders")</f>
        <v>Holy Cross Crusaders</v>
      </c>
      <c r="B310" s="1" t="str">
        <f>IFERROR(__xludf.DUMMYFUNCTION("""COMPUTED_VALUE"""),"Patriot")</f>
        <v>Patriot</v>
      </c>
      <c r="C310" s="3">
        <f>IFERROR(__xludf.DUMMYFUNCTION("""COMPUTED_VALUE"""),45938.0)</f>
        <v>45938</v>
      </c>
      <c r="D310" s="1">
        <f>IFERROR(__xludf.DUMMYFUNCTION("""COMPUTED_VALUE"""),-8.7)</f>
        <v>-8.7</v>
      </c>
      <c r="E310" s="1">
        <f>IFERROR(__xludf.DUMMYFUNCTION("""COMPUTED_VALUE"""),307.0)</f>
        <v>307</v>
      </c>
      <c r="F310" s="1">
        <f>IFERROR(__xludf.DUMMYFUNCTION("""COMPUTED_VALUE"""),6.0)</f>
        <v>6</v>
      </c>
      <c r="G310" s="1">
        <f>IFERROR(__xludf.DUMMYFUNCTION("""COMPUTED_VALUE"""),-3.0)</f>
        <v>-3</v>
      </c>
      <c r="H310" s="1">
        <f>IFERROR(__xludf.DUMMYFUNCTION("""COMPUTED_VALUE"""),-5.7)</f>
        <v>-5.7</v>
      </c>
      <c r="I310" s="1" t="str">
        <f>IFERROR(__xludf.DUMMYFUNCTION("""COMPUTED_VALUE"""),"15.2-15.8")</f>
        <v>15.2-15.8</v>
      </c>
      <c r="J310" s="1" t="str">
        <f>IFERROR(__xludf.DUMMYFUNCTION("""COMPUTED_VALUE"""),"7.2-10.8")</f>
        <v>7.2-10.8</v>
      </c>
      <c r="K310" s="2">
        <f>IFERROR(__xludf.DUMMYFUNCTION("""COMPUTED_VALUE"""),0.019)</f>
        <v>0.019</v>
      </c>
      <c r="L310" s="1" t="str">
        <f>IFERROR(__xludf.DUMMYFUNCTION("""COMPUTED_VALUE"""),"306th")</f>
        <v>306th</v>
      </c>
    </row>
    <row r="311">
      <c r="A311" s="1" t="str">
        <f>IFERROR(__xludf.DUMMYFUNCTION("""COMPUTED_VALUE"""),"Oral Roberts Golden Eagles")</f>
        <v>Oral Roberts Golden Eagles</v>
      </c>
      <c r="B311" s="1" t="str">
        <f>IFERROR(__xludf.DUMMYFUNCTION("""COMPUTED_VALUE"""),"Summit")</f>
        <v>Summit</v>
      </c>
      <c r="C311" s="3">
        <f>IFERROR(__xludf.DUMMYFUNCTION("""COMPUTED_VALUE"""),45789.0)</f>
        <v>45789</v>
      </c>
      <c r="D311" s="1">
        <f>IFERROR(__xludf.DUMMYFUNCTION("""COMPUTED_VALUE"""),-8.9)</f>
        <v>-8.9</v>
      </c>
      <c r="E311" s="1">
        <f>IFERROR(__xludf.DUMMYFUNCTION("""COMPUTED_VALUE"""),308.0)</f>
        <v>308</v>
      </c>
      <c r="F311" s="1">
        <f>IFERROR(__xludf.DUMMYFUNCTION("""COMPUTED_VALUE"""),3.0)</f>
        <v>3</v>
      </c>
      <c r="G311" s="1">
        <f>IFERROR(__xludf.DUMMYFUNCTION("""COMPUTED_VALUE"""),-2.7)</f>
        <v>-2.7</v>
      </c>
      <c r="H311" s="1">
        <f>IFERROR(__xludf.DUMMYFUNCTION("""COMPUTED_VALUE"""),-6.2)</f>
        <v>-6.2</v>
      </c>
      <c r="I311" s="1" t="str">
        <f>IFERROR(__xludf.DUMMYFUNCTION("""COMPUTED_VALUE"""),"9.0-20.0")</f>
        <v>9.0-20.0</v>
      </c>
      <c r="J311" s="1" t="str">
        <f>IFERROR(__xludf.DUMMYFUNCTION("""COMPUTED_VALUE"""),"5.0-11.0")</f>
        <v>5.0-11.0</v>
      </c>
      <c r="K311" s="1" t="str">
        <f>IFERROR(__xludf.DUMMYFUNCTION("""COMPUTED_VALUE"""),"&lt;0.1%")</f>
        <v>&lt;0.1%</v>
      </c>
      <c r="L311" s="1" t="str">
        <f>IFERROR(__xludf.DUMMYFUNCTION("""COMPUTED_VALUE"""),"229th")</f>
        <v>229th</v>
      </c>
    </row>
    <row r="312">
      <c r="A312" s="1" t="str">
        <f>IFERROR(__xludf.DUMMYFUNCTION("""COMPUTED_VALUE"""),"Siena Saints")</f>
        <v>Siena Saints</v>
      </c>
      <c r="B312" s="1" t="str">
        <f>IFERROR(__xludf.DUMMYFUNCTION("""COMPUTED_VALUE"""),"MAAC")</f>
        <v>MAAC</v>
      </c>
      <c r="C312" s="3">
        <f>IFERROR(__xludf.DUMMYFUNCTION("""COMPUTED_VALUE"""),45878.0)</f>
        <v>45878</v>
      </c>
      <c r="D312" s="1">
        <f>IFERROR(__xludf.DUMMYFUNCTION("""COMPUTED_VALUE"""),-8.9)</f>
        <v>-8.9</v>
      </c>
      <c r="E312" s="1">
        <f>IFERROR(__xludf.DUMMYFUNCTION("""COMPUTED_VALUE"""),309.0)</f>
        <v>309</v>
      </c>
      <c r="F312" s="1">
        <f>IFERROR(__xludf.DUMMYFUNCTION("""COMPUTED_VALUE"""),13.0)</f>
        <v>13</v>
      </c>
      <c r="G312" s="1">
        <f>IFERROR(__xludf.DUMMYFUNCTION("""COMPUTED_VALUE"""),-6.5)</f>
        <v>-6.5</v>
      </c>
      <c r="H312" s="1">
        <f>IFERROR(__xludf.DUMMYFUNCTION("""COMPUTED_VALUE"""),-2.4)</f>
        <v>-2.4</v>
      </c>
      <c r="I312" s="1" t="str">
        <f>IFERROR(__xludf.DUMMYFUNCTION("""COMPUTED_VALUE"""),"13.4-17.6")</f>
        <v>13.4-17.6</v>
      </c>
      <c r="J312" s="1" t="str">
        <f>IFERROR(__xludf.DUMMYFUNCTION("""COMPUTED_VALUE"""),"8.4-11.6")</f>
        <v>8.4-11.6</v>
      </c>
      <c r="K312" s="2">
        <f>IFERROR(__xludf.DUMMYFUNCTION("""COMPUTED_VALUE"""),0.005)</f>
        <v>0.005</v>
      </c>
      <c r="L312" s="1" t="str">
        <f>IFERROR(__xludf.DUMMYFUNCTION("""COMPUTED_VALUE"""),"297th")</f>
        <v>297th</v>
      </c>
    </row>
    <row r="313">
      <c r="A313" s="1" t="str">
        <f>IFERROR(__xludf.DUMMYFUNCTION("""COMPUTED_VALUE"""),"Coastal Carolina Chanticleers")</f>
        <v>Coastal Carolina Chanticleers</v>
      </c>
      <c r="B313" s="1" t="str">
        <f>IFERROR(__xludf.DUMMYFUNCTION("""COMPUTED_VALUE"""),"Sun Belt")</f>
        <v>Sun Belt</v>
      </c>
      <c r="C313" s="3">
        <f>IFERROR(__xludf.DUMMYFUNCTION("""COMPUTED_VALUE"""),45879.0)</f>
        <v>45879</v>
      </c>
      <c r="D313" s="1">
        <f>IFERROR(__xludf.DUMMYFUNCTION("""COMPUTED_VALUE"""),-8.9)</f>
        <v>-8.9</v>
      </c>
      <c r="E313" s="1">
        <f>IFERROR(__xludf.DUMMYFUNCTION("""COMPUTED_VALUE"""),310.0)</f>
        <v>310</v>
      </c>
      <c r="F313" s="1">
        <f>IFERROR(__xludf.DUMMYFUNCTION("""COMPUTED_VALUE"""),1.0)</f>
        <v>1</v>
      </c>
      <c r="G313" s="1">
        <f>IFERROR(__xludf.DUMMYFUNCTION("""COMPUTED_VALUE"""),-5.0)</f>
        <v>-5</v>
      </c>
      <c r="H313" s="1">
        <f>IFERROR(__xludf.DUMMYFUNCTION("""COMPUTED_VALUE"""),-4.0)</f>
        <v>-4</v>
      </c>
      <c r="I313" s="1" t="str">
        <f>IFERROR(__xludf.DUMMYFUNCTION("""COMPUTED_VALUE"""),"11.8-19.2")</f>
        <v>11.8-19.2</v>
      </c>
      <c r="J313" s="1" t="str">
        <f>IFERROR(__xludf.DUMMYFUNCTION("""COMPUTED_VALUE"""),"4.5-13.5")</f>
        <v>4.5-13.5</v>
      </c>
      <c r="K313" s="1" t="str">
        <f>IFERROR(__xludf.DUMMYFUNCTION("""COMPUTED_VALUE"""),"&lt;0.1%")</f>
        <v>&lt;0.1%</v>
      </c>
      <c r="L313" s="1" t="str">
        <f>IFERROR(__xludf.DUMMYFUNCTION("""COMPUTED_VALUE"""),"194th")</f>
        <v>194th</v>
      </c>
    </row>
    <row r="314">
      <c r="A314" s="1" t="str">
        <f>IFERROR(__xludf.DUMMYFUNCTION("""COMPUTED_VALUE"""),"North Carolina A&amp;T Aggies")</f>
        <v>North Carolina A&amp;T Aggies</v>
      </c>
      <c r="B314" s="1" t="str">
        <f>IFERROR(__xludf.DUMMYFUNCTION("""COMPUTED_VALUE"""),"CAA")</f>
        <v>CAA</v>
      </c>
      <c r="C314" s="3">
        <f>IFERROR(__xludf.DUMMYFUNCTION("""COMPUTED_VALUE"""),45762.0)</f>
        <v>45762</v>
      </c>
      <c r="D314" s="1">
        <f>IFERROR(__xludf.DUMMYFUNCTION("""COMPUTED_VALUE"""),-9.0)</f>
        <v>-9</v>
      </c>
      <c r="E314" s="1">
        <f>IFERROR(__xludf.DUMMYFUNCTION("""COMPUTED_VALUE"""),311.0)</f>
        <v>311</v>
      </c>
      <c r="F314" s="1">
        <f>IFERROR(__xludf.DUMMYFUNCTION("""COMPUTED_VALUE"""),1.0)</f>
        <v>1</v>
      </c>
      <c r="G314" s="1">
        <f>IFERROR(__xludf.DUMMYFUNCTION("""COMPUTED_VALUE"""),-4.9)</f>
        <v>-4.9</v>
      </c>
      <c r="H314" s="1">
        <f>IFERROR(__xludf.DUMMYFUNCTION("""COMPUTED_VALUE"""),-4.1)</f>
        <v>-4.1</v>
      </c>
      <c r="I314" s="1" t="str">
        <f>IFERROR(__xludf.DUMMYFUNCTION("""COMPUTED_VALUE"""),"7.2-23.8")</f>
        <v>7.2-23.8</v>
      </c>
      <c r="J314" s="1" t="str">
        <f>IFERROR(__xludf.DUMMYFUNCTION("""COMPUTED_VALUE"""),"3.2-14.8")</f>
        <v>3.2-14.8</v>
      </c>
      <c r="K314" s="1" t="str">
        <f>IFERROR(__xludf.DUMMYFUNCTION("""COMPUTED_VALUE"""),"&lt;0.1%")</f>
        <v>&lt;0.1%</v>
      </c>
      <c r="L314" s="1" t="str">
        <f>IFERROR(__xludf.DUMMYFUNCTION("""COMPUTED_VALUE"""),"168th")</f>
        <v>168th</v>
      </c>
    </row>
    <row r="315">
      <c r="A315" s="1" t="str">
        <f>IFERROR(__xludf.DUMMYFUNCTION("""COMPUTED_VALUE"""),"Grambling Tigers")</f>
        <v>Grambling Tigers</v>
      </c>
      <c r="B315" s="1" t="str">
        <f>IFERROR(__xludf.DUMMYFUNCTION("""COMPUTED_VALUE"""),"SWAC")</f>
        <v>SWAC</v>
      </c>
      <c r="C315" s="3">
        <f>IFERROR(__xludf.DUMMYFUNCTION("""COMPUTED_VALUE"""),45760.0)</f>
        <v>45760</v>
      </c>
      <c r="D315" s="1">
        <f>IFERROR(__xludf.DUMMYFUNCTION("""COMPUTED_VALUE"""),-9.1)</f>
        <v>-9.1</v>
      </c>
      <c r="E315" s="1">
        <f>IFERROR(__xludf.DUMMYFUNCTION("""COMPUTED_VALUE"""),312.0)</f>
        <v>312</v>
      </c>
      <c r="F315" s="1">
        <f>IFERROR(__xludf.DUMMYFUNCTION("""COMPUTED_VALUE"""),2.0)</f>
        <v>2</v>
      </c>
      <c r="G315" s="1">
        <f>IFERROR(__xludf.DUMMYFUNCTION("""COMPUTED_VALUE"""),-7.5)</f>
        <v>-7.5</v>
      </c>
      <c r="H315" s="1">
        <f>IFERROR(__xludf.DUMMYFUNCTION("""COMPUTED_VALUE"""),-1.6)</f>
        <v>-1.6</v>
      </c>
      <c r="I315" s="1" t="str">
        <f>IFERROR(__xludf.DUMMYFUNCTION("""COMPUTED_VALUE"""),"12.0-19.0")</f>
        <v>12.0-19.0</v>
      </c>
      <c r="J315" s="1" t="str">
        <f>IFERROR(__xludf.DUMMYFUNCTION("""COMPUTED_VALUE"""),"9.0-9.0")</f>
        <v>9.0-9.0</v>
      </c>
      <c r="K315" s="2">
        <f>IFERROR(__xludf.DUMMYFUNCTION("""COMPUTED_VALUE"""),0.047)</f>
        <v>0.047</v>
      </c>
      <c r="L315" s="1" t="str">
        <f>IFERROR(__xludf.DUMMYFUNCTION("""COMPUTED_VALUE"""),"356th")</f>
        <v>356th</v>
      </c>
    </row>
    <row r="316">
      <c r="A316" s="1" t="str">
        <f>IFERROR(__xludf.DUMMYFUNCTION("""COMPUTED_VALUE"""),"Rider Broncs")</f>
        <v>Rider Broncs</v>
      </c>
      <c r="B316" s="1" t="str">
        <f>IFERROR(__xludf.DUMMYFUNCTION("""COMPUTED_VALUE"""),"MAAC")</f>
        <v>MAAC</v>
      </c>
      <c r="C316" s="3">
        <f>IFERROR(__xludf.DUMMYFUNCTION("""COMPUTED_VALUE"""),45819.0)</f>
        <v>45819</v>
      </c>
      <c r="D316" s="1">
        <f>IFERROR(__xludf.DUMMYFUNCTION("""COMPUTED_VALUE"""),-9.1)</f>
        <v>-9.1</v>
      </c>
      <c r="E316" s="1">
        <f>IFERROR(__xludf.DUMMYFUNCTION("""COMPUTED_VALUE"""),313.0)</f>
        <v>313</v>
      </c>
      <c r="F316" s="1">
        <f>IFERROR(__xludf.DUMMYFUNCTION("""COMPUTED_VALUE"""),10.0)</f>
        <v>10</v>
      </c>
      <c r="G316" s="1">
        <f>IFERROR(__xludf.DUMMYFUNCTION("""COMPUTED_VALUE"""),-4.9)</f>
        <v>-4.9</v>
      </c>
      <c r="H316" s="1">
        <f>IFERROR(__xludf.DUMMYFUNCTION("""COMPUTED_VALUE"""),-4.2)</f>
        <v>-4.2</v>
      </c>
      <c r="I316" s="1" t="str">
        <f>IFERROR(__xludf.DUMMYFUNCTION("""COMPUTED_VALUE"""),"11.3-19.7")</f>
        <v>11.3-19.7</v>
      </c>
      <c r="J316" s="1" t="str">
        <f>IFERROR(__xludf.DUMMYFUNCTION("""COMPUTED_VALUE"""),"7.3-12.7")</f>
        <v>7.3-12.7</v>
      </c>
      <c r="K316" s="2">
        <f>IFERROR(__xludf.DUMMYFUNCTION("""COMPUTED_VALUE"""),0.005)</f>
        <v>0.005</v>
      </c>
      <c r="L316" s="1" t="str">
        <f>IFERROR(__xludf.DUMMYFUNCTION("""COMPUTED_VALUE"""),"279th")</f>
        <v>279th</v>
      </c>
    </row>
    <row r="317">
      <c r="A317" s="1" t="str">
        <f>IFERROR(__xludf.DUMMYFUNCTION("""COMPUTED_VALUE"""),"Stony Brook Seawolves")</f>
        <v>Stony Brook Seawolves</v>
      </c>
      <c r="B317" s="1" t="str">
        <f>IFERROR(__xludf.DUMMYFUNCTION("""COMPUTED_VALUE"""),"CAA")</f>
        <v>CAA</v>
      </c>
      <c r="C317" s="3">
        <f>IFERROR(__xludf.DUMMYFUNCTION("""COMPUTED_VALUE"""),45761.0)</f>
        <v>45761</v>
      </c>
      <c r="D317" s="1">
        <f>IFERROR(__xludf.DUMMYFUNCTION("""COMPUTED_VALUE"""),-9.1)</f>
        <v>-9.1</v>
      </c>
      <c r="E317" s="1">
        <f>IFERROR(__xludf.DUMMYFUNCTION("""COMPUTED_VALUE"""),314.0)</f>
        <v>314</v>
      </c>
      <c r="F317" s="1" t="str">
        <f>IFERROR(__xludf.DUMMYFUNCTION("""COMPUTED_VALUE"""),"--")</f>
        <v>--</v>
      </c>
      <c r="G317" s="1">
        <f>IFERROR(__xludf.DUMMYFUNCTION("""COMPUTED_VALUE"""),-3.8)</f>
        <v>-3.8</v>
      </c>
      <c r="H317" s="1">
        <f>IFERROR(__xludf.DUMMYFUNCTION("""COMPUTED_VALUE"""),-5.4)</f>
        <v>-5.4</v>
      </c>
      <c r="I317" s="1" t="str">
        <f>IFERROR(__xludf.DUMMYFUNCTION("""COMPUTED_VALUE"""),"7.6-23.4")</f>
        <v>7.6-23.4</v>
      </c>
      <c r="J317" s="1" t="str">
        <f>IFERROR(__xludf.DUMMYFUNCTION("""COMPUTED_VALUE"""),"3.6-14.4")</f>
        <v>3.6-14.4</v>
      </c>
      <c r="K317" s="1" t="str">
        <f>IFERROR(__xludf.DUMMYFUNCTION("""COMPUTED_VALUE"""),"&lt;0.1%")</f>
        <v>&lt;0.1%</v>
      </c>
      <c r="L317" s="1" t="str">
        <f>IFERROR(__xludf.DUMMYFUNCTION("""COMPUTED_VALUE"""),"179th")</f>
        <v>179th</v>
      </c>
    </row>
    <row r="318">
      <c r="A318" s="1" t="str">
        <f>IFERROR(__xludf.DUMMYFUNCTION("""COMPUTED_VALUE"""),"Eastern Michigan Eagles")</f>
        <v>Eastern Michigan Eagles</v>
      </c>
      <c r="B318" s="1" t="str">
        <f>IFERROR(__xludf.DUMMYFUNCTION("""COMPUTED_VALUE"""),"MAC")</f>
        <v>MAC</v>
      </c>
      <c r="C318" s="3">
        <f>IFERROR(__xludf.DUMMYFUNCTION("""COMPUTED_VALUE"""),45847.0)</f>
        <v>45847</v>
      </c>
      <c r="D318" s="1">
        <f>IFERROR(__xludf.DUMMYFUNCTION("""COMPUTED_VALUE"""),-9.2)</f>
        <v>-9.2</v>
      </c>
      <c r="E318" s="1">
        <f>IFERROR(__xludf.DUMMYFUNCTION("""COMPUTED_VALUE"""),315.0)</f>
        <v>315</v>
      </c>
      <c r="F318" s="1">
        <f>IFERROR(__xludf.DUMMYFUNCTION("""COMPUTED_VALUE"""),15.0)</f>
        <v>15</v>
      </c>
      <c r="G318" s="1">
        <f>IFERROR(__xludf.DUMMYFUNCTION("""COMPUTED_VALUE"""),-4.6)</f>
        <v>-4.6</v>
      </c>
      <c r="H318" s="1">
        <f>IFERROR(__xludf.DUMMYFUNCTION("""COMPUTED_VALUE"""),-4.6)</f>
        <v>-4.6</v>
      </c>
      <c r="I318" s="1" t="str">
        <f>IFERROR(__xludf.DUMMYFUNCTION("""COMPUTED_VALUE"""),"11.9-19.1")</f>
        <v>11.9-19.1</v>
      </c>
      <c r="J318" s="1" t="str">
        <f>IFERROR(__xludf.DUMMYFUNCTION("""COMPUTED_VALUE"""),"5.3-12.7")</f>
        <v>5.3-12.7</v>
      </c>
      <c r="K318" s="1" t="str">
        <f>IFERROR(__xludf.DUMMYFUNCTION("""COMPUTED_VALUE"""),"&lt;0.1%")</f>
        <v>&lt;0.1%</v>
      </c>
      <c r="L318" s="1" t="str">
        <f>IFERROR(__xludf.DUMMYFUNCTION("""COMPUTED_VALUE"""),"233rd")</f>
        <v>233rd</v>
      </c>
    </row>
    <row r="319">
      <c r="A319" s="1" t="str">
        <f>IFERROR(__xludf.DUMMYFUNCTION("""COMPUTED_VALUE"""),"Long Beach State Beach")</f>
        <v>Long Beach State Beach</v>
      </c>
      <c r="B319" s="1" t="str">
        <f>IFERROR(__xludf.DUMMYFUNCTION("""COMPUTED_VALUE"""),"Big West")</f>
        <v>Big West</v>
      </c>
      <c r="C319" s="3">
        <f>IFERROR(__xludf.DUMMYFUNCTION("""COMPUTED_VALUE"""),45849.0)</f>
        <v>45849</v>
      </c>
      <c r="D319" s="1">
        <f>IFERROR(__xludf.DUMMYFUNCTION("""COMPUTED_VALUE"""),-9.2)</f>
        <v>-9.2</v>
      </c>
      <c r="E319" s="1">
        <f>IFERROR(__xludf.DUMMYFUNCTION("""COMPUTED_VALUE"""),316.0)</f>
        <v>316</v>
      </c>
      <c r="F319" s="1">
        <f>IFERROR(__xludf.DUMMYFUNCTION("""COMPUTED_VALUE"""),1.0)</f>
        <v>1</v>
      </c>
      <c r="G319" s="1">
        <f>IFERROR(__xludf.DUMMYFUNCTION("""COMPUTED_VALUE"""),-5.3)</f>
        <v>-5.3</v>
      </c>
      <c r="H319" s="1">
        <f>IFERROR(__xludf.DUMMYFUNCTION("""COMPUTED_VALUE"""),-3.9)</f>
        <v>-3.9</v>
      </c>
      <c r="I319" s="1" t="str">
        <f>IFERROR(__xludf.DUMMYFUNCTION("""COMPUTED_VALUE"""),"10.8-21.2")</f>
        <v>10.8-21.2</v>
      </c>
      <c r="J319" s="1" t="str">
        <f>IFERROR(__xludf.DUMMYFUNCTION("""COMPUTED_VALUE"""),"6.8-13.2")</f>
        <v>6.8-13.2</v>
      </c>
      <c r="K319" s="1" t="str">
        <f>IFERROR(__xludf.DUMMYFUNCTION("""COMPUTED_VALUE"""),"&lt;0.1%")</f>
        <v>&lt;0.1%</v>
      </c>
      <c r="L319" s="1" t="str">
        <f>IFERROR(__xludf.DUMMYFUNCTION("""COMPUTED_VALUE"""),"155th")</f>
        <v>155th</v>
      </c>
    </row>
    <row r="320">
      <c r="A320" s="1" t="str">
        <f>IFERROR(__xludf.DUMMYFUNCTION("""COMPUTED_VALUE"""),"Utah Tech Trailblazers")</f>
        <v>Utah Tech Trailblazers</v>
      </c>
      <c r="B320" s="1" t="str">
        <f>IFERROR(__xludf.DUMMYFUNCTION("""COMPUTED_VALUE"""),"WAC")</f>
        <v>WAC</v>
      </c>
      <c r="C320" s="3">
        <f>IFERROR(__xludf.DUMMYFUNCTION("""COMPUTED_VALUE"""),45820.0)</f>
        <v>45820</v>
      </c>
      <c r="D320" s="1">
        <f>IFERROR(__xludf.DUMMYFUNCTION("""COMPUTED_VALUE"""),-9.4)</f>
        <v>-9.4</v>
      </c>
      <c r="E320" s="1">
        <f>IFERROR(__xludf.DUMMYFUNCTION("""COMPUTED_VALUE"""),317.0)</f>
        <v>317</v>
      </c>
      <c r="F320" s="1">
        <f>IFERROR(__xludf.DUMMYFUNCTION("""COMPUTED_VALUE"""),2.0)</f>
        <v>2</v>
      </c>
      <c r="G320" s="1">
        <f>IFERROR(__xludf.DUMMYFUNCTION("""COMPUTED_VALUE"""),-6.6)</f>
        <v>-6.6</v>
      </c>
      <c r="H320" s="1">
        <f>IFERROR(__xludf.DUMMYFUNCTION("""COMPUTED_VALUE"""),-2.8)</f>
        <v>-2.8</v>
      </c>
      <c r="I320" s="1" t="str">
        <f>IFERROR(__xludf.DUMMYFUNCTION("""COMPUTED_VALUE"""),"9.1-21.9")</f>
        <v>9.1-21.9</v>
      </c>
      <c r="J320" s="1" t="str">
        <f>IFERROR(__xludf.DUMMYFUNCTION("""COMPUTED_VALUE"""),"5.1-10.9")</f>
        <v>5.1-10.9</v>
      </c>
      <c r="K320" s="1" t="str">
        <f>IFERROR(__xludf.DUMMYFUNCTION("""COMPUTED_VALUE"""),"&lt;0.1%")</f>
        <v>&lt;0.1%</v>
      </c>
      <c r="L320" s="1" t="str">
        <f>IFERROR(__xludf.DUMMYFUNCTION("""COMPUTED_VALUE"""),"164th")</f>
        <v>164th</v>
      </c>
    </row>
    <row r="321">
      <c r="A321" s="1" t="str">
        <f>IFERROR(__xludf.DUMMYFUNCTION("""COMPUTED_VALUE"""),"St. Francis (PA) Red Flash")</f>
        <v>St. Francis (PA) Red Flash</v>
      </c>
      <c r="B321" s="1" t="str">
        <f>IFERROR(__xludf.DUMMYFUNCTION("""COMPUTED_VALUE"""),"NEC")</f>
        <v>NEC</v>
      </c>
      <c r="C321" s="3">
        <f>IFERROR(__xludf.DUMMYFUNCTION("""COMPUTED_VALUE"""),45849.0)</f>
        <v>45849</v>
      </c>
      <c r="D321" s="1">
        <f>IFERROR(__xludf.DUMMYFUNCTION("""COMPUTED_VALUE"""),-9.4)</f>
        <v>-9.4</v>
      </c>
      <c r="E321" s="1">
        <f>IFERROR(__xludf.DUMMYFUNCTION("""COMPUTED_VALUE"""),318.0)</f>
        <v>318</v>
      </c>
      <c r="F321" s="1">
        <f>IFERROR(__xludf.DUMMYFUNCTION("""COMPUTED_VALUE"""),7.0)</f>
        <v>7</v>
      </c>
      <c r="G321" s="1">
        <f>IFERROR(__xludf.DUMMYFUNCTION("""COMPUTED_VALUE"""),-5.4)</f>
        <v>-5.4</v>
      </c>
      <c r="H321" s="1">
        <f>IFERROR(__xludf.DUMMYFUNCTION("""COMPUTED_VALUE"""),-4.0)</f>
        <v>-4</v>
      </c>
      <c r="I321" s="1" t="str">
        <f>IFERROR(__xludf.DUMMYFUNCTION("""COMPUTED_VALUE"""),"12.9-17.1")</f>
        <v>12.9-17.1</v>
      </c>
      <c r="J321" s="1" t="str">
        <f>IFERROR(__xludf.DUMMYFUNCTION("""COMPUTED_VALUE"""),"7.9-8.1")</f>
        <v>7.9-8.1</v>
      </c>
      <c r="K321" s="2">
        <f>IFERROR(__xludf.DUMMYFUNCTION("""COMPUTED_VALUE"""),0.037)</f>
        <v>0.037</v>
      </c>
      <c r="L321" s="1" t="str">
        <f>IFERROR(__xludf.DUMMYFUNCTION("""COMPUTED_VALUE"""),"341st")</f>
        <v>341st</v>
      </c>
    </row>
    <row r="322">
      <c r="A322" s="1" t="str">
        <f>IFERROR(__xludf.DUMMYFUNCTION("""COMPUTED_VALUE"""),"Stonehill Skyhawks")</f>
        <v>Stonehill Skyhawks</v>
      </c>
      <c r="B322" s="1" t="str">
        <f>IFERROR(__xludf.DUMMYFUNCTION("""COMPUTED_VALUE"""),"NEC")</f>
        <v>NEC</v>
      </c>
      <c r="C322" s="3">
        <f>IFERROR(__xludf.DUMMYFUNCTION("""COMPUTED_VALUE"""),45939.0)</f>
        <v>45939</v>
      </c>
      <c r="D322" s="1">
        <f>IFERROR(__xludf.DUMMYFUNCTION("""COMPUTED_VALUE"""),-9.5)</f>
        <v>-9.5</v>
      </c>
      <c r="E322" s="1">
        <f>IFERROR(__xludf.DUMMYFUNCTION("""COMPUTED_VALUE"""),319.0)</f>
        <v>319</v>
      </c>
      <c r="F322" s="1">
        <f>IFERROR(__xludf.DUMMYFUNCTION("""COMPUTED_VALUE"""),11.0)</f>
        <v>11</v>
      </c>
      <c r="G322" s="1">
        <f>IFERROR(__xludf.DUMMYFUNCTION("""COMPUTED_VALUE"""),-6.2)</f>
        <v>-6.2</v>
      </c>
      <c r="H322" s="1">
        <f>IFERROR(__xludf.DUMMYFUNCTION("""COMPUTED_VALUE"""),-3.3)</f>
        <v>-3.3</v>
      </c>
      <c r="I322" s="1" t="str">
        <f>IFERROR(__xludf.DUMMYFUNCTION("""COMPUTED_VALUE"""),"15.8-15.2")</f>
        <v>15.8-15.2</v>
      </c>
      <c r="J322" s="1" t="str">
        <f>IFERROR(__xludf.DUMMYFUNCTION("""COMPUTED_VALUE"""),"7.8-8.2")</f>
        <v>7.8-8.2</v>
      </c>
      <c r="K322" s="2">
        <f>IFERROR(__xludf.DUMMYFUNCTION("""COMPUTED_VALUE"""),0.037)</f>
        <v>0.037</v>
      </c>
      <c r="L322" s="1" t="str">
        <f>IFERROR(__xludf.DUMMYFUNCTION("""COMPUTED_VALUE"""),"337th")</f>
        <v>337th</v>
      </c>
    </row>
    <row r="323">
      <c r="A323" s="1" t="str">
        <f>IFERROR(__xludf.DUMMYFUNCTION("""COMPUTED_VALUE"""),"Binghamton Bearcats")</f>
        <v>Binghamton Bearcats</v>
      </c>
      <c r="B323" s="1" t="str">
        <f>IFERROR(__xludf.DUMMYFUNCTION("""COMPUTED_VALUE"""),"Am. East")</f>
        <v>Am. East</v>
      </c>
      <c r="C323" s="3">
        <f>IFERROR(__xludf.DUMMYFUNCTION("""COMPUTED_VALUE"""),45910.0)</f>
        <v>45910</v>
      </c>
      <c r="D323" s="1">
        <f>IFERROR(__xludf.DUMMYFUNCTION("""COMPUTED_VALUE"""),-9.5)</f>
        <v>-9.5</v>
      </c>
      <c r="E323" s="1">
        <f>IFERROR(__xludf.DUMMYFUNCTION("""COMPUTED_VALUE"""),320.0)</f>
        <v>320</v>
      </c>
      <c r="F323" s="1">
        <f>IFERROR(__xludf.DUMMYFUNCTION("""COMPUTED_VALUE"""),2.0)</f>
        <v>2</v>
      </c>
      <c r="G323" s="1">
        <f>IFERROR(__xludf.DUMMYFUNCTION("""COMPUTED_VALUE"""),-5.0)</f>
        <v>-5</v>
      </c>
      <c r="H323" s="1">
        <f>IFERROR(__xludf.DUMMYFUNCTION("""COMPUTED_VALUE"""),-4.5)</f>
        <v>-4.5</v>
      </c>
      <c r="I323" s="1" t="str">
        <f>IFERROR(__xludf.DUMMYFUNCTION("""COMPUTED_VALUE"""),"13.3-17.7")</f>
        <v>13.3-17.7</v>
      </c>
      <c r="J323" s="1" t="str">
        <f>IFERROR(__xludf.DUMMYFUNCTION("""COMPUTED_VALUE"""),"5.3-10.7")</f>
        <v>5.3-10.7</v>
      </c>
      <c r="K323" s="2">
        <f>IFERROR(__xludf.DUMMYFUNCTION("""COMPUTED_VALUE"""),0.001)</f>
        <v>0.001</v>
      </c>
      <c r="L323" s="1" t="str">
        <f>IFERROR(__xludf.DUMMYFUNCTION("""COMPUTED_VALUE"""),"266th")</f>
        <v>266th</v>
      </c>
    </row>
    <row r="324">
      <c r="A324" s="1" t="str">
        <f>IFERROR(__xludf.DUMMYFUNCTION("""COMPUTED_VALUE"""),"Pacific Tigers")</f>
        <v>Pacific Tigers</v>
      </c>
      <c r="B324" s="1" t="str">
        <f>IFERROR(__xludf.DUMMYFUNCTION("""COMPUTED_VALUE"""),"WCC")</f>
        <v>WCC</v>
      </c>
      <c r="C324" s="3">
        <f>IFERROR(__xludf.DUMMYFUNCTION("""COMPUTED_VALUE"""),45823.0)</f>
        <v>45823</v>
      </c>
      <c r="D324" s="1">
        <f>IFERROR(__xludf.DUMMYFUNCTION("""COMPUTED_VALUE"""),-9.6)</f>
        <v>-9.6</v>
      </c>
      <c r="E324" s="1">
        <f>IFERROR(__xludf.DUMMYFUNCTION("""COMPUTED_VALUE"""),321.0)</f>
        <v>321</v>
      </c>
      <c r="F324" s="1">
        <f>IFERROR(__xludf.DUMMYFUNCTION("""COMPUTED_VALUE"""),17.0)</f>
        <v>17</v>
      </c>
      <c r="G324" s="1">
        <f>IFERROR(__xludf.DUMMYFUNCTION("""COMPUTED_VALUE"""),-5.2)</f>
        <v>-5.2</v>
      </c>
      <c r="H324" s="1">
        <f>IFERROR(__xludf.DUMMYFUNCTION("""COMPUTED_VALUE"""),-4.3)</f>
        <v>-4.3</v>
      </c>
      <c r="I324" s="1" t="str">
        <f>IFERROR(__xludf.DUMMYFUNCTION("""COMPUTED_VALUE"""),"8.2-23.8")</f>
        <v>8.2-23.8</v>
      </c>
      <c r="J324" s="1" t="str">
        <f>IFERROR(__xludf.DUMMYFUNCTION("""COMPUTED_VALUE"""),"3.2-14.8")</f>
        <v>3.2-14.8</v>
      </c>
      <c r="K324" s="1" t="str">
        <f>IFERROR(__xludf.DUMMYFUNCTION("""COMPUTED_VALUE"""),"&lt;0.1%")</f>
        <v>&lt;0.1%</v>
      </c>
      <c r="L324" s="1" t="str">
        <f>IFERROR(__xludf.DUMMYFUNCTION("""COMPUTED_VALUE"""),"116th")</f>
        <v>116th</v>
      </c>
    </row>
    <row r="325">
      <c r="A325" s="1" t="str">
        <f>IFERROR(__xludf.DUMMYFUNCTION("""COMPUTED_VALUE"""),"Portland Pilots")</f>
        <v>Portland Pilots</v>
      </c>
      <c r="B325" s="1" t="str">
        <f>IFERROR(__xludf.DUMMYFUNCTION("""COMPUTED_VALUE"""),"WCC")</f>
        <v>WCC</v>
      </c>
      <c r="C325" s="3">
        <f>IFERROR(__xludf.DUMMYFUNCTION("""COMPUTED_VALUE"""),45821.0)</f>
        <v>45821</v>
      </c>
      <c r="D325" s="1">
        <f>IFERROR(__xludf.DUMMYFUNCTION("""COMPUTED_VALUE"""),-9.7)</f>
        <v>-9.7</v>
      </c>
      <c r="E325" s="1">
        <f>IFERROR(__xludf.DUMMYFUNCTION("""COMPUTED_VALUE"""),322.0)</f>
        <v>322</v>
      </c>
      <c r="F325" s="1">
        <f>IFERROR(__xludf.DUMMYFUNCTION("""COMPUTED_VALUE"""),2.0)</f>
        <v>2</v>
      </c>
      <c r="G325" s="1">
        <f>IFERROR(__xludf.DUMMYFUNCTION("""COMPUTED_VALUE"""),-5.2)</f>
        <v>-5.2</v>
      </c>
      <c r="H325" s="1">
        <f>IFERROR(__xludf.DUMMYFUNCTION("""COMPUTED_VALUE"""),-4.5)</f>
        <v>-4.5</v>
      </c>
      <c r="I325" s="1" t="str">
        <f>IFERROR(__xludf.DUMMYFUNCTION("""COMPUTED_VALUE"""),"8.5-22.5")</f>
        <v>8.5-22.5</v>
      </c>
      <c r="J325" s="1" t="str">
        <f>IFERROR(__xludf.DUMMYFUNCTION("""COMPUTED_VALUE"""),"3.5-14.5")</f>
        <v>3.5-14.5</v>
      </c>
      <c r="K325" s="1" t="str">
        <f>IFERROR(__xludf.DUMMYFUNCTION("""COMPUTED_VALUE"""),"&lt;0.1%")</f>
        <v>&lt;0.1%</v>
      </c>
      <c r="L325" s="1" t="str">
        <f>IFERROR(__xludf.DUMMYFUNCTION("""COMPUTED_VALUE"""),"129th")</f>
        <v>129th</v>
      </c>
    </row>
    <row r="326">
      <c r="A326" s="1" t="str">
        <f>IFERROR(__xludf.DUMMYFUNCTION("""COMPUTED_VALUE"""),"San Diego Toreros")</f>
        <v>San Diego Toreros</v>
      </c>
      <c r="B326" s="1" t="str">
        <f>IFERROR(__xludf.DUMMYFUNCTION("""COMPUTED_VALUE"""),"WCC")</f>
        <v>WCC</v>
      </c>
      <c r="C326" s="3">
        <f>IFERROR(__xludf.DUMMYFUNCTION("""COMPUTED_VALUE"""),45762.0)</f>
        <v>45762</v>
      </c>
      <c r="D326" s="1">
        <f>IFERROR(__xludf.DUMMYFUNCTION("""COMPUTED_VALUE"""),-9.7)</f>
        <v>-9.7</v>
      </c>
      <c r="E326" s="1">
        <f>IFERROR(__xludf.DUMMYFUNCTION("""COMPUTED_VALUE"""),323.0)</f>
        <v>323</v>
      </c>
      <c r="F326" s="1">
        <f>IFERROR(__xludf.DUMMYFUNCTION("""COMPUTED_VALUE"""),7.0)</f>
        <v>7</v>
      </c>
      <c r="G326" s="1">
        <f>IFERROR(__xludf.DUMMYFUNCTION("""COMPUTED_VALUE"""),-8.1)</f>
        <v>-8.1</v>
      </c>
      <c r="H326" s="1">
        <f>IFERROR(__xludf.DUMMYFUNCTION("""COMPUTED_VALUE"""),-1.6)</f>
        <v>-1.6</v>
      </c>
      <c r="I326" s="1" t="str">
        <f>IFERROR(__xludf.DUMMYFUNCTION("""COMPUTED_VALUE"""),"6.5-24.5")</f>
        <v>6.5-24.5</v>
      </c>
      <c r="J326" s="1" t="str">
        <f>IFERROR(__xludf.DUMMYFUNCTION("""COMPUTED_VALUE"""),"3.5-14.5")</f>
        <v>3.5-14.5</v>
      </c>
      <c r="K326" s="1" t="str">
        <f>IFERROR(__xludf.DUMMYFUNCTION("""COMPUTED_VALUE"""),"&lt;0.1%")</f>
        <v>&lt;0.1%</v>
      </c>
      <c r="L326" s="1" t="str">
        <f>IFERROR(__xludf.DUMMYFUNCTION("""COMPUTED_VALUE"""),"133rd")</f>
        <v>133rd</v>
      </c>
    </row>
    <row r="327">
      <c r="A327" s="1" t="str">
        <f>IFERROR(__xludf.DUMMYFUNCTION("""COMPUTED_VALUE"""),"Southern Indiana Screaming Eagles")</f>
        <v>Southern Indiana Screaming Eagles</v>
      </c>
      <c r="B327" s="1" t="str">
        <f>IFERROR(__xludf.DUMMYFUNCTION("""COMPUTED_VALUE"""),"OVC")</f>
        <v>OVC</v>
      </c>
      <c r="C327" s="3">
        <f>IFERROR(__xludf.DUMMYFUNCTION("""COMPUTED_VALUE"""),45848.0)</f>
        <v>45848</v>
      </c>
      <c r="D327" s="1">
        <f>IFERROR(__xludf.DUMMYFUNCTION("""COMPUTED_VALUE"""),-9.7)</f>
        <v>-9.7</v>
      </c>
      <c r="E327" s="1">
        <f>IFERROR(__xludf.DUMMYFUNCTION("""COMPUTED_VALUE"""),324.0)</f>
        <v>324</v>
      </c>
      <c r="F327" s="1">
        <f>IFERROR(__xludf.DUMMYFUNCTION("""COMPUTED_VALUE"""),7.0)</f>
        <v>7</v>
      </c>
      <c r="G327" s="1">
        <f>IFERROR(__xludf.DUMMYFUNCTION("""COMPUTED_VALUE"""),-6.5)</f>
        <v>-6.5</v>
      </c>
      <c r="H327" s="1">
        <f>IFERROR(__xludf.DUMMYFUNCTION("""COMPUTED_VALUE"""),-3.2)</f>
        <v>-3.2</v>
      </c>
      <c r="I327" s="1" t="str">
        <f>IFERROR(__xludf.DUMMYFUNCTION("""COMPUTED_VALUE"""),"12.7-17.3")</f>
        <v>12.7-17.3</v>
      </c>
      <c r="J327" s="1" t="str">
        <f>IFERROR(__xludf.DUMMYFUNCTION("""COMPUTED_VALUE"""),"7.7-12.3")</f>
        <v>7.7-12.3</v>
      </c>
      <c r="K327" s="2">
        <f>IFERROR(__xludf.DUMMYFUNCTION("""COMPUTED_VALUE"""),0.044)</f>
        <v>0.044</v>
      </c>
      <c r="L327" s="1" t="str">
        <f>IFERROR(__xludf.DUMMYFUNCTION("""COMPUTED_VALUE"""),"333rd")</f>
        <v>333rd</v>
      </c>
    </row>
    <row r="328">
      <c r="A328" s="1" t="str">
        <f>IFERROR(__xludf.DUMMYFUNCTION("""COMPUTED_VALUE"""),"Tennessee Tech Golden Eagles")</f>
        <v>Tennessee Tech Golden Eagles</v>
      </c>
      <c r="B328" s="1" t="str">
        <f>IFERROR(__xludf.DUMMYFUNCTION("""COMPUTED_VALUE"""),"OVC")</f>
        <v>OVC</v>
      </c>
      <c r="C328" s="3">
        <f>IFERROR(__xludf.DUMMYFUNCTION("""COMPUTED_VALUE"""),45909.0)</f>
        <v>45909</v>
      </c>
      <c r="D328" s="1">
        <f>IFERROR(__xludf.DUMMYFUNCTION("""COMPUTED_VALUE"""),-9.9)</f>
        <v>-9.9</v>
      </c>
      <c r="E328" s="1">
        <f>IFERROR(__xludf.DUMMYFUNCTION("""COMPUTED_VALUE"""),325.0)</f>
        <v>325</v>
      </c>
      <c r="F328" s="1">
        <f>IFERROR(__xludf.DUMMYFUNCTION("""COMPUTED_VALUE"""),5.0)</f>
        <v>5</v>
      </c>
      <c r="G328" s="1">
        <f>IFERROR(__xludf.DUMMYFUNCTION("""COMPUTED_VALUE"""),-5.5)</f>
        <v>-5.5</v>
      </c>
      <c r="H328" s="1">
        <f>IFERROR(__xludf.DUMMYFUNCTION("""COMPUTED_VALUE"""),-4.4)</f>
        <v>-4.4</v>
      </c>
      <c r="I328" s="1" t="str">
        <f>IFERROR(__xludf.DUMMYFUNCTION("""COMPUTED_VALUE"""),"14.6-16.4")</f>
        <v>14.6-16.4</v>
      </c>
      <c r="J328" s="1" t="str">
        <f>IFERROR(__xludf.DUMMYFUNCTION("""COMPUTED_VALUE"""),"9.6-10.4")</f>
        <v>9.6-10.4</v>
      </c>
      <c r="K328" s="2">
        <f>IFERROR(__xludf.DUMMYFUNCTION("""COMPUTED_VALUE"""),0.022)</f>
        <v>0.022</v>
      </c>
      <c r="L328" s="1" t="str">
        <f>IFERROR(__xludf.DUMMYFUNCTION("""COMPUTED_VALUE"""),"332nd")</f>
        <v>332nd</v>
      </c>
    </row>
    <row r="329">
      <c r="A329" s="1" t="str">
        <f>IFERROR(__xludf.DUMMYFUNCTION("""COMPUTED_VALUE"""),"Jackson State Tigers")</f>
        <v>Jackson State Tigers</v>
      </c>
      <c r="B329" s="1" t="str">
        <f>IFERROR(__xludf.DUMMYFUNCTION("""COMPUTED_VALUE"""),"SWAC")</f>
        <v>SWAC</v>
      </c>
      <c r="C329" s="3">
        <f>IFERROR(__xludf.DUMMYFUNCTION("""COMPUTED_VALUE"""),45729.0)</f>
        <v>45729</v>
      </c>
      <c r="D329" s="1">
        <f>IFERROR(__xludf.DUMMYFUNCTION("""COMPUTED_VALUE"""),-10.0)</f>
        <v>-10</v>
      </c>
      <c r="E329" s="1">
        <f>IFERROR(__xludf.DUMMYFUNCTION("""COMPUTED_VALUE"""),326.0)</f>
        <v>326</v>
      </c>
      <c r="F329" s="1">
        <f>IFERROR(__xludf.DUMMYFUNCTION("""COMPUTED_VALUE"""),6.0)</f>
        <v>6</v>
      </c>
      <c r="G329" s="1">
        <f>IFERROR(__xludf.DUMMYFUNCTION("""COMPUTED_VALUE"""),-8.2)</f>
        <v>-8.2</v>
      </c>
      <c r="H329" s="1">
        <f>IFERROR(__xludf.DUMMYFUNCTION("""COMPUTED_VALUE"""),-1.9)</f>
        <v>-1.9</v>
      </c>
      <c r="I329" s="1" t="str">
        <f>IFERROR(__xludf.DUMMYFUNCTION("""COMPUTED_VALUE"""),"11.5-19.5")</f>
        <v>11.5-19.5</v>
      </c>
      <c r="J329" s="1" t="str">
        <f>IFERROR(__xludf.DUMMYFUNCTION("""COMPUTED_VALUE"""),"11.5-6.5")</f>
        <v>11.5-6.5</v>
      </c>
      <c r="K329" s="2">
        <f>IFERROR(__xludf.DUMMYFUNCTION("""COMPUTED_VALUE"""),0.041)</f>
        <v>0.041</v>
      </c>
      <c r="L329" s="1" t="str">
        <f>IFERROR(__xludf.DUMMYFUNCTION("""COMPUTED_VALUE"""),"358th")</f>
        <v>358th</v>
      </c>
    </row>
    <row r="330">
      <c r="A330" s="1" t="str">
        <f>IFERROR(__xludf.DUMMYFUNCTION("""COMPUTED_VALUE"""),"Eastern Illinois Panthers")</f>
        <v>Eastern Illinois Panthers</v>
      </c>
      <c r="B330" s="1" t="str">
        <f>IFERROR(__xludf.DUMMYFUNCTION("""COMPUTED_VALUE"""),"OVC")</f>
        <v>OVC</v>
      </c>
      <c r="C330" s="3">
        <f>IFERROR(__xludf.DUMMYFUNCTION("""COMPUTED_VALUE"""),45789.0)</f>
        <v>45789</v>
      </c>
      <c r="D330" s="1">
        <f>IFERROR(__xludf.DUMMYFUNCTION("""COMPUTED_VALUE"""),-10.2)</f>
        <v>-10.2</v>
      </c>
      <c r="E330" s="1">
        <f>IFERROR(__xludf.DUMMYFUNCTION("""COMPUTED_VALUE"""),327.0)</f>
        <v>327</v>
      </c>
      <c r="F330" s="1">
        <f>IFERROR(__xludf.DUMMYFUNCTION("""COMPUTED_VALUE"""),1.0)</f>
        <v>1</v>
      </c>
      <c r="G330" s="1">
        <f>IFERROR(__xludf.DUMMYFUNCTION("""COMPUTED_VALUE"""),-8.5)</f>
        <v>-8.5</v>
      </c>
      <c r="H330" s="1">
        <f>IFERROR(__xludf.DUMMYFUNCTION("""COMPUTED_VALUE"""),-1.7)</f>
        <v>-1.7</v>
      </c>
      <c r="I330" s="1" t="str">
        <f>IFERROR(__xludf.DUMMYFUNCTION("""COMPUTED_VALUE"""),"10.6-20.4")</f>
        <v>10.6-20.4</v>
      </c>
      <c r="J330" s="1" t="str">
        <f>IFERROR(__xludf.DUMMYFUNCTION("""COMPUTED_VALUE"""),"6.3-12.7")</f>
        <v>6.3-12.7</v>
      </c>
      <c r="K330" s="2">
        <f>IFERROR(__xludf.DUMMYFUNCTION("""COMPUTED_VALUE"""),0.026)</f>
        <v>0.026</v>
      </c>
      <c r="L330" s="1" t="str">
        <f>IFERROR(__xludf.DUMMYFUNCTION("""COMPUTED_VALUE"""),"331st")</f>
        <v>331st</v>
      </c>
    </row>
    <row r="331">
      <c r="A331" s="1" t="str">
        <f>IFERROR(__xludf.DUMMYFUNCTION("""COMPUTED_VALUE"""),"Lindenwood Lions")</f>
        <v>Lindenwood Lions</v>
      </c>
      <c r="B331" s="1" t="str">
        <f>IFERROR(__xludf.DUMMYFUNCTION("""COMPUTED_VALUE"""),"OVC")</f>
        <v>OVC</v>
      </c>
      <c r="C331" s="3">
        <f>IFERROR(__xludf.DUMMYFUNCTION("""COMPUTED_VALUE"""),45879.0)</f>
        <v>45879</v>
      </c>
      <c r="D331" s="1">
        <f>IFERROR(__xludf.DUMMYFUNCTION("""COMPUTED_VALUE"""),-10.2)</f>
        <v>-10.2</v>
      </c>
      <c r="E331" s="1">
        <f>IFERROR(__xludf.DUMMYFUNCTION("""COMPUTED_VALUE"""),328.0)</f>
        <v>328</v>
      </c>
      <c r="F331" s="1">
        <f>IFERROR(__xludf.DUMMYFUNCTION("""COMPUTED_VALUE"""),1.0)</f>
        <v>1</v>
      </c>
      <c r="G331" s="1">
        <f>IFERROR(__xludf.DUMMYFUNCTION("""COMPUTED_VALUE"""),-8.8)</f>
        <v>-8.8</v>
      </c>
      <c r="H331" s="1">
        <f>IFERROR(__xludf.DUMMYFUNCTION("""COMPUTED_VALUE"""),-1.4)</f>
        <v>-1.4</v>
      </c>
      <c r="I331" s="1" t="str">
        <f>IFERROR(__xludf.DUMMYFUNCTION("""COMPUTED_VALUE"""),"13.1-17.9")</f>
        <v>13.1-17.9</v>
      </c>
      <c r="J331" s="1" t="str">
        <f>IFERROR(__xludf.DUMMYFUNCTION("""COMPUTED_VALUE"""),"8.1-11.9")</f>
        <v>8.1-11.9</v>
      </c>
      <c r="K331" s="2">
        <f>IFERROR(__xludf.DUMMYFUNCTION("""COMPUTED_VALUE"""),0.018)</f>
        <v>0.018</v>
      </c>
      <c r="L331" s="1" t="str">
        <f>IFERROR(__xludf.DUMMYFUNCTION("""COMPUTED_VALUE"""),"327th")</f>
        <v>327th</v>
      </c>
    </row>
    <row r="332">
      <c r="A332" s="1" t="str">
        <f>IFERROR(__xludf.DUMMYFUNCTION("""COMPUTED_VALUE"""),"South Carolina Upstate Spartans")</f>
        <v>South Carolina Upstate Spartans</v>
      </c>
      <c r="B332" s="1" t="str">
        <f>IFERROR(__xludf.DUMMYFUNCTION("""COMPUTED_VALUE"""),"Big South")</f>
        <v>Big South</v>
      </c>
      <c r="C332" s="3">
        <f>IFERROR(__xludf.DUMMYFUNCTION("""COMPUTED_VALUE"""),45791.0)</f>
        <v>45791</v>
      </c>
      <c r="D332" s="1">
        <f>IFERROR(__xludf.DUMMYFUNCTION("""COMPUTED_VALUE"""),-10.4)</f>
        <v>-10.4</v>
      </c>
      <c r="E332" s="1">
        <f>IFERROR(__xludf.DUMMYFUNCTION("""COMPUTED_VALUE"""),329.0)</f>
        <v>329</v>
      </c>
      <c r="F332" s="1">
        <f>IFERROR(__xludf.DUMMYFUNCTION("""COMPUTED_VALUE"""),5.0)</f>
        <v>5</v>
      </c>
      <c r="G332" s="1">
        <f>IFERROR(__xludf.DUMMYFUNCTION("""COMPUTED_VALUE"""),-7.0)</f>
        <v>-7</v>
      </c>
      <c r="H332" s="1">
        <f>IFERROR(__xludf.DUMMYFUNCTION("""COMPUTED_VALUE"""),-3.4)</f>
        <v>-3.4</v>
      </c>
      <c r="I332" s="1" t="str">
        <f>IFERROR(__xludf.DUMMYFUNCTION("""COMPUTED_VALUE"""),"7.7-23.3")</f>
        <v>7.7-23.3</v>
      </c>
      <c r="J332" s="1" t="str">
        <f>IFERROR(__xludf.DUMMYFUNCTION("""COMPUTED_VALUE"""),"3.7-12.3")</f>
        <v>3.7-12.3</v>
      </c>
      <c r="K332" s="1" t="str">
        <f>IFERROR(__xludf.DUMMYFUNCTION("""COMPUTED_VALUE"""),"&lt;0.1%")</f>
        <v>&lt;0.1%</v>
      </c>
      <c r="L332" s="1" t="str">
        <f>IFERROR(__xludf.DUMMYFUNCTION("""COMPUTED_VALUE"""),"175th")</f>
        <v>175th</v>
      </c>
    </row>
    <row r="333">
      <c r="A333" s="1" t="str">
        <f>IFERROR(__xludf.DUMMYFUNCTION("""COMPUTED_VALUE"""),"West Georgia Wolves")</f>
        <v>West Georgia Wolves</v>
      </c>
      <c r="B333" s="1" t="str">
        <f>IFERROR(__xludf.DUMMYFUNCTION("""COMPUTED_VALUE"""),"ASUN")</f>
        <v>ASUN</v>
      </c>
      <c r="C333" s="3">
        <f>IFERROR(__xludf.DUMMYFUNCTION("""COMPUTED_VALUE"""),45731.0)</f>
        <v>45731</v>
      </c>
      <c r="D333" s="1">
        <f>IFERROR(__xludf.DUMMYFUNCTION("""COMPUTED_VALUE"""),-10.5)</f>
        <v>-10.5</v>
      </c>
      <c r="E333" s="1">
        <f>IFERROR(__xludf.DUMMYFUNCTION("""COMPUTED_VALUE"""),330.0)</f>
        <v>330</v>
      </c>
      <c r="F333" s="1">
        <f>IFERROR(__xludf.DUMMYFUNCTION("""COMPUTED_VALUE"""),3.0)</f>
        <v>3</v>
      </c>
      <c r="G333" s="1">
        <f>IFERROR(__xludf.DUMMYFUNCTION("""COMPUTED_VALUE"""),-7.4)</f>
        <v>-7.4</v>
      </c>
      <c r="H333" s="1">
        <f>IFERROR(__xludf.DUMMYFUNCTION("""COMPUTED_VALUE"""),-3.1)</f>
        <v>-3.1</v>
      </c>
      <c r="I333" s="1" t="str">
        <f>IFERROR(__xludf.DUMMYFUNCTION("""COMPUTED_VALUE"""),"7.7-23.3")</f>
        <v>7.7-23.3</v>
      </c>
      <c r="J333" s="1" t="str">
        <f>IFERROR(__xludf.DUMMYFUNCTION("""COMPUTED_VALUE"""),"5.7-12.3")</f>
        <v>5.7-12.3</v>
      </c>
      <c r="K333" s="1" t="str">
        <f>IFERROR(__xludf.DUMMYFUNCTION("""COMPUTED_VALUE"""),"&lt;0.1%")</f>
        <v>&lt;0.1%</v>
      </c>
      <c r="L333" s="1" t="str">
        <f>IFERROR(__xludf.DUMMYFUNCTION("""COMPUTED_VALUE"""),"309th")</f>
        <v>309th</v>
      </c>
    </row>
    <row r="334">
      <c r="A334" s="1" t="str">
        <f>IFERROR(__xludf.DUMMYFUNCTION("""COMPUTED_VALUE"""),"Le Moyne Dolphins")</f>
        <v>Le Moyne Dolphins</v>
      </c>
      <c r="B334" s="1" t="str">
        <f>IFERROR(__xludf.DUMMYFUNCTION("""COMPUTED_VALUE"""),"NEC")</f>
        <v>NEC</v>
      </c>
      <c r="C334" s="3">
        <f>IFERROR(__xludf.DUMMYFUNCTION("""COMPUTED_VALUE"""),45820.0)</f>
        <v>45820</v>
      </c>
      <c r="D334" s="1">
        <f>IFERROR(__xludf.DUMMYFUNCTION("""COMPUTED_VALUE"""),-10.5)</f>
        <v>-10.5</v>
      </c>
      <c r="E334" s="1">
        <f>IFERROR(__xludf.DUMMYFUNCTION("""COMPUTED_VALUE"""),331.0)</f>
        <v>331</v>
      </c>
      <c r="F334" s="1">
        <f>IFERROR(__xludf.DUMMYFUNCTION("""COMPUTED_VALUE"""),5.0)</f>
        <v>5</v>
      </c>
      <c r="G334" s="1">
        <f>IFERROR(__xludf.DUMMYFUNCTION("""COMPUTED_VALUE"""),-5.9)</f>
        <v>-5.9</v>
      </c>
      <c r="H334" s="1">
        <f>IFERROR(__xludf.DUMMYFUNCTION("""COMPUTED_VALUE"""),-4.6)</f>
        <v>-4.6</v>
      </c>
      <c r="I334" s="1" t="str">
        <f>IFERROR(__xludf.DUMMYFUNCTION("""COMPUTED_VALUE"""),"11.6-19.4")</f>
        <v>11.6-19.4</v>
      </c>
      <c r="J334" s="1" t="str">
        <f>IFERROR(__xludf.DUMMYFUNCTION("""COMPUTED_VALUE"""),"6.6-9.4")</f>
        <v>6.6-9.4</v>
      </c>
      <c r="K334" s="2">
        <f>IFERROR(__xludf.DUMMYFUNCTION("""COMPUTED_VALUE"""),0.017)</f>
        <v>0.017</v>
      </c>
      <c r="L334" s="1" t="str">
        <f>IFERROR(__xludf.DUMMYFUNCTION("""COMPUTED_VALUE"""),"336th")</f>
        <v>336th</v>
      </c>
    </row>
    <row r="335">
      <c r="A335" s="1" t="str">
        <f>IFERROR(__xludf.DUMMYFUNCTION("""COMPUTED_VALUE"""),"Sacramento State Hornets")</f>
        <v>Sacramento State Hornets</v>
      </c>
      <c r="B335" s="1" t="str">
        <f>IFERROR(__xludf.DUMMYFUNCTION("""COMPUTED_VALUE"""),"Big Sky")</f>
        <v>Big Sky</v>
      </c>
      <c r="C335" s="3">
        <f>IFERROR(__xludf.DUMMYFUNCTION("""COMPUTED_VALUE"""),45789.0)</f>
        <v>45789</v>
      </c>
      <c r="D335" s="1">
        <f>IFERROR(__xludf.DUMMYFUNCTION("""COMPUTED_VALUE"""),-10.6)</f>
        <v>-10.6</v>
      </c>
      <c r="E335" s="1">
        <f>IFERROR(__xludf.DUMMYFUNCTION("""COMPUTED_VALUE"""),332.0)</f>
        <v>332</v>
      </c>
      <c r="F335" s="1">
        <f>IFERROR(__xludf.DUMMYFUNCTION("""COMPUTED_VALUE"""),11.0)</f>
        <v>11</v>
      </c>
      <c r="G335" s="1">
        <f>IFERROR(__xludf.DUMMYFUNCTION("""COMPUTED_VALUE"""),-9.2)</f>
        <v>-9.2</v>
      </c>
      <c r="H335" s="1">
        <f>IFERROR(__xludf.DUMMYFUNCTION("""COMPUTED_VALUE"""),-1.4)</f>
        <v>-1.4</v>
      </c>
      <c r="I335" s="1" t="str">
        <f>IFERROR(__xludf.DUMMYFUNCTION("""COMPUTED_VALUE"""),"8.2-22.8")</f>
        <v>8.2-22.8</v>
      </c>
      <c r="J335" s="1" t="str">
        <f>IFERROR(__xludf.DUMMYFUNCTION("""COMPUTED_VALUE"""),"4.2-13.8")</f>
        <v>4.2-13.8</v>
      </c>
      <c r="K335" s="1" t="str">
        <f>IFERROR(__xludf.DUMMYFUNCTION("""COMPUTED_VALUE"""),"&lt;0.1%")</f>
        <v>&lt;0.1%</v>
      </c>
      <c r="L335" s="1" t="str">
        <f>IFERROR(__xludf.DUMMYFUNCTION("""COMPUTED_VALUE"""),"201st")</f>
        <v>201st</v>
      </c>
    </row>
    <row r="336">
      <c r="A336" s="1" t="str">
        <f>IFERROR(__xludf.DUMMYFUNCTION("""COMPUTED_VALUE"""),"Western Illinois Leathernecks")</f>
        <v>Western Illinois Leathernecks</v>
      </c>
      <c r="B336" s="1" t="str">
        <f>IFERROR(__xludf.DUMMYFUNCTION("""COMPUTED_VALUE"""),"OVC")</f>
        <v>OVC</v>
      </c>
      <c r="C336" s="3">
        <f>IFERROR(__xludf.DUMMYFUNCTION("""COMPUTED_VALUE"""),45879.0)</f>
        <v>45879</v>
      </c>
      <c r="D336" s="1">
        <f>IFERROR(__xludf.DUMMYFUNCTION("""COMPUTED_VALUE"""),-10.7)</f>
        <v>-10.7</v>
      </c>
      <c r="E336" s="1">
        <f>IFERROR(__xludf.DUMMYFUNCTION("""COMPUTED_VALUE"""),333.0)</f>
        <v>333</v>
      </c>
      <c r="F336" s="1">
        <f>IFERROR(__xludf.DUMMYFUNCTION("""COMPUTED_VALUE"""),7.0)</f>
        <v>7</v>
      </c>
      <c r="G336" s="1">
        <f>IFERROR(__xludf.DUMMYFUNCTION("""COMPUTED_VALUE"""),-6.4)</f>
        <v>-6.4</v>
      </c>
      <c r="H336" s="1">
        <f>IFERROR(__xludf.DUMMYFUNCTION("""COMPUTED_VALUE"""),-4.3)</f>
        <v>-4.3</v>
      </c>
      <c r="I336" s="1" t="str">
        <f>IFERROR(__xludf.DUMMYFUNCTION("""COMPUTED_VALUE"""),"13.3-17.7")</f>
        <v>13.3-17.7</v>
      </c>
      <c r="J336" s="1" t="str">
        <f>IFERROR(__xludf.DUMMYFUNCTION("""COMPUTED_VALUE"""),"7.3-12.7")</f>
        <v>7.3-12.7</v>
      </c>
      <c r="K336" s="4">
        <f>IFERROR(__xludf.DUMMYFUNCTION("""COMPUTED_VALUE"""),0.02)</f>
        <v>0.02</v>
      </c>
      <c r="L336" s="1" t="str">
        <f>IFERROR(__xludf.DUMMYFUNCTION("""COMPUTED_VALUE"""),"335th")</f>
        <v>335th</v>
      </c>
    </row>
    <row r="337">
      <c r="A337" s="1" t="str">
        <f>IFERROR(__xludf.DUMMYFUNCTION("""COMPUTED_VALUE"""),"UL Monroe Warhawks")</f>
        <v>UL Monroe Warhawks</v>
      </c>
      <c r="B337" s="1" t="str">
        <f>IFERROR(__xludf.DUMMYFUNCTION("""COMPUTED_VALUE"""),"Sun Belt")</f>
        <v>Sun Belt</v>
      </c>
      <c r="C337" s="3">
        <f>IFERROR(__xludf.DUMMYFUNCTION("""COMPUTED_VALUE"""),45762.0)</f>
        <v>45762</v>
      </c>
      <c r="D337" s="1">
        <f>IFERROR(__xludf.DUMMYFUNCTION("""COMPUTED_VALUE"""),-10.7)</f>
        <v>-10.7</v>
      </c>
      <c r="E337" s="1">
        <f>IFERROR(__xludf.DUMMYFUNCTION("""COMPUTED_VALUE"""),334.0)</f>
        <v>334</v>
      </c>
      <c r="F337" s="1">
        <f>IFERROR(__xludf.DUMMYFUNCTION("""COMPUTED_VALUE"""),1.0)</f>
        <v>1</v>
      </c>
      <c r="G337" s="1">
        <f>IFERROR(__xludf.DUMMYFUNCTION("""COMPUTED_VALUE"""),-6.9)</f>
        <v>-6.9</v>
      </c>
      <c r="H337" s="1">
        <f>IFERROR(__xludf.DUMMYFUNCTION("""COMPUTED_VALUE"""),-3.8)</f>
        <v>-3.8</v>
      </c>
      <c r="I337" s="1" t="str">
        <f>IFERROR(__xludf.DUMMYFUNCTION("""COMPUTED_VALUE"""),"6.4-24.6")</f>
        <v>6.4-24.6</v>
      </c>
      <c r="J337" s="1" t="str">
        <f>IFERROR(__xludf.DUMMYFUNCTION("""COMPUTED_VALUE"""),"2.4-15.6")</f>
        <v>2.4-15.6</v>
      </c>
      <c r="K337" s="1" t="str">
        <f>IFERROR(__xludf.DUMMYFUNCTION("""COMPUTED_VALUE"""),"&lt;0.1%")</f>
        <v>&lt;0.1%</v>
      </c>
      <c r="L337" s="1" t="str">
        <f>IFERROR(__xludf.DUMMYFUNCTION("""COMPUTED_VALUE"""),"146th")</f>
        <v>146th</v>
      </c>
    </row>
    <row r="338">
      <c r="A338" s="1" t="str">
        <f>IFERROR(__xludf.DUMMYFUNCTION("""COMPUTED_VALUE"""),"IU Indianapolis Jaguars")</f>
        <v>IU Indianapolis Jaguars</v>
      </c>
      <c r="B338" s="1" t="str">
        <f>IFERROR(__xludf.DUMMYFUNCTION("""COMPUTED_VALUE"""),"Horizon")</f>
        <v>Horizon</v>
      </c>
      <c r="C338" s="3">
        <f>IFERROR(__xludf.DUMMYFUNCTION("""COMPUTED_VALUE"""),45821.0)</f>
        <v>45821</v>
      </c>
      <c r="D338" s="1">
        <f>IFERROR(__xludf.DUMMYFUNCTION("""COMPUTED_VALUE"""),-10.8)</f>
        <v>-10.8</v>
      </c>
      <c r="E338" s="1">
        <f>IFERROR(__xludf.DUMMYFUNCTION("""COMPUTED_VALUE"""),335.0)</f>
        <v>335</v>
      </c>
      <c r="F338" s="1" t="str">
        <f>IFERROR(__xludf.DUMMYFUNCTION("""COMPUTED_VALUE"""),"--")</f>
        <v>--</v>
      </c>
      <c r="G338" s="1">
        <f>IFERROR(__xludf.DUMMYFUNCTION("""COMPUTED_VALUE"""),-4.3)</f>
        <v>-4.3</v>
      </c>
      <c r="H338" s="1">
        <f>IFERROR(__xludf.DUMMYFUNCTION("""COMPUTED_VALUE"""),-6.5)</f>
        <v>-6.5</v>
      </c>
      <c r="I338" s="1" t="str">
        <f>IFERROR(__xludf.DUMMYFUNCTION("""COMPUTED_VALUE"""),"8.9-22.1")</f>
        <v>8.9-22.1</v>
      </c>
      <c r="J338" s="1" t="str">
        <f>IFERROR(__xludf.DUMMYFUNCTION("""COMPUTED_VALUE"""),"4.9-15.1")</f>
        <v>4.9-15.1</v>
      </c>
      <c r="K338" s="1" t="str">
        <f>IFERROR(__xludf.DUMMYFUNCTION("""COMPUTED_VALUE"""),"&lt;0.1%")</f>
        <v>&lt;0.1%</v>
      </c>
      <c r="L338" s="1" t="str">
        <f>IFERROR(__xludf.DUMMYFUNCTION("""COMPUTED_VALUE"""),"222nd")</f>
        <v>222nd</v>
      </c>
    </row>
    <row r="339">
      <c r="A339" s="1" t="str">
        <f>IFERROR(__xludf.DUMMYFUNCTION("""COMPUTED_VALUE"""),"Green Bay Phoenix")</f>
        <v>Green Bay Phoenix</v>
      </c>
      <c r="B339" s="1" t="str">
        <f>IFERROR(__xludf.DUMMYFUNCTION("""COMPUTED_VALUE"""),"Horizon")</f>
        <v>Horizon</v>
      </c>
      <c r="C339" s="3">
        <f>IFERROR(__xludf.DUMMYFUNCTION("""COMPUTED_VALUE"""),45705.0)</f>
        <v>45705</v>
      </c>
      <c r="D339" s="1">
        <f>IFERROR(__xludf.DUMMYFUNCTION("""COMPUTED_VALUE"""),-10.9)</f>
        <v>-10.9</v>
      </c>
      <c r="E339" s="1">
        <f>IFERROR(__xludf.DUMMYFUNCTION("""COMPUTED_VALUE"""),336.0)</f>
        <v>336</v>
      </c>
      <c r="F339" s="1">
        <f>IFERROR(__xludf.DUMMYFUNCTION("""COMPUTED_VALUE"""),5.0)</f>
        <v>5</v>
      </c>
      <c r="G339" s="1">
        <f>IFERROR(__xludf.DUMMYFUNCTION("""COMPUTED_VALUE"""),-4.7)</f>
        <v>-4.7</v>
      </c>
      <c r="H339" s="1">
        <f>IFERROR(__xludf.DUMMYFUNCTION("""COMPUTED_VALUE"""),-6.2)</f>
        <v>-6.2</v>
      </c>
      <c r="I339" s="1" t="str">
        <f>IFERROR(__xludf.DUMMYFUNCTION("""COMPUTED_VALUE"""),"5.4-25.6")</f>
        <v>5.4-25.6</v>
      </c>
      <c r="J339" s="1" t="str">
        <f>IFERROR(__xludf.DUMMYFUNCTION("""COMPUTED_VALUE"""),"3.4-16.6")</f>
        <v>3.4-16.6</v>
      </c>
      <c r="K339" s="1" t="str">
        <f>IFERROR(__xludf.DUMMYFUNCTION("""COMPUTED_VALUE"""),"&lt;0.1%")</f>
        <v>&lt;0.1%</v>
      </c>
      <c r="L339" s="1" t="str">
        <f>IFERROR(__xludf.DUMMYFUNCTION("""COMPUTED_VALUE"""),"242nd")</f>
        <v>242nd</v>
      </c>
    </row>
    <row r="340">
      <c r="A340" s="1" t="str">
        <f>IFERROR(__xludf.DUMMYFUNCTION("""COMPUTED_VALUE"""),"Houston Christian Huskies")</f>
        <v>Houston Christian Huskies</v>
      </c>
      <c r="B340" s="1" t="str">
        <f>IFERROR(__xludf.DUMMYFUNCTION("""COMPUTED_VALUE"""),"Southland")</f>
        <v>Southland</v>
      </c>
      <c r="C340" s="3">
        <f>IFERROR(__xludf.DUMMYFUNCTION("""COMPUTED_VALUE"""),45819.0)</f>
        <v>45819</v>
      </c>
      <c r="D340" s="1">
        <f>IFERROR(__xludf.DUMMYFUNCTION("""COMPUTED_VALUE"""),-11.1)</f>
        <v>-11.1</v>
      </c>
      <c r="E340" s="1">
        <f>IFERROR(__xludf.DUMMYFUNCTION("""COMPUTED_VALUE"""),337.0)</f>
        <v>337</v>
      </c>
      <c r="F340" s="1">
        <f>IFERROR(__xludf.DUMMYFUNCTION("""COMPUTED_VALUE"""),1.0)</f>
        <v>1</v>
      </c>
      <c r="G340" s="1">
        <f>IFERROR(__xludf.DUMMYFUNCTION("""COMPUTED_VALUE"""),-7.0)</f>
        <v>-7</v>
      </c>
      <c r="H340" s="1">
        <f>IFERROR(__xludf.DUMMYFUNCTION("""COMPUTED_VALUE"""),-4.1)</f>
        <v>-4.1</v>
      </c>
      <c r="I340" s="1" t="str">
        <f>IFERROR(__xludf.DUMMYFUNCTION("""COMPUTED_VALUE"""),"10.1-20.9")</f>
        <v>10.1-20.9</v>
      </c>
      <c r="J340" s="1" t="str">
        <f>IFERROR(__xludf.DUMMYFUNCTION("""COMPUTED_VALUE"""),"7.1-12.9")</f>
        <v>7.1-12.9</v>
      </c>
      <c r="K340" s="1" t="str">
        <f>IFERROR(__xludf.DUMMYFUNCTION("""COMPUTED_VALUE"""),"&lt;0.1%")</f>
        <v>&lt;0.1%</v>
      </c>
      <c r="L340" s="1" t="str">
        <f>IFERROR(__xludf.DUMMYFUNCTION("""COMPUTED_VALUE"""),"267th")</f>
        <v>267th</v>
      </c>
    </row>
    <row r="341">
      <c r="A341" s="1" t="str">
        <f>IFERROR(__xludf.DUMMYFUNCTION("""COMPUTED_VALUE"""),"Morgan State Bears")</f>
        <v>Morgan State Bears</v>
      </c>
      <c r="B341" s="1" t="str">
        <f>IFERROR(__xludf.DUMMYFUNCTION("""COMPUTED_VALUE"""),"MEAC")</f>
        <v>MEAC</v>
      </c>
      <c r="C341" s="3">
        <f>IFERROR(__xludf.DUMMYFUNCTION("""COMPUTED_VALUE"""),45881.0)</f>
        <v>45881</v>
      </c>
      <c r="D341" s="1">
        <f>IFERROR(__xludf.DUMMYFUNCTION("""COMPUTED_VALUE"""),-11.3)</f>
        <v>-11.3</v>
      </c>
      <c r="E341" s="1">
        <f>IFERROR(__xludf.DUMMYFUNCTION("""COMPUTED_VALUE"""),338.0)</f>
        <v>338</v>
      </c>
      <c r="F341" s="1">
        <f>IFERROR(__xludf.DUMMYFUNCTION("""COMPUTED_VALUE"""),4.0)</f>
        <v>4</v>
      </c>
      <c r="G341" s="1">
        <f>IFERROR(__xludf.DUMMYFUNCTION("""COMPUTED_VALUE"""),-4.6)</f>
        <v>-4.6</v>
      </c>
      <c r="H341" s="1">
        <f>IFERROR(__xludf.DUMMYFUNCTION("""COMPUTED_VALUE"""),-6.6)</f>
        <v>-6.6</v>
      </c>
      <c r="I341" s="1" t="str">
        <f>IFERROR(__xludf.DUMMYFUNCTION("""COMPUTED_VALUE"""),"12.4-17.6")</f>
        <v>12.4-17.6</v>
      </c>
      <c r="J341" s="1" t="str">
        <f>IFERROR(__xludf.DUMMYFUNCTION("""COMPUTED_VALUE"""),"6.4-7.6")</f>
        <v>6.4-7.6</v>
      </c>
      <c r="K341" s="2">
        <f>IFERROR(__xludf.DUMMYFUNCTION("""COMPUTED_VALUE"""),0.003)</f>
        <v>0.003</v>
      </c>
      <c r="L341" s="1" t="str">
        <f>IFERROR(__xludf.DUMMYFUNCTION("""COMPUTED_VALUE"""),"329th")</f>
        <v>329th</v>
      </c>
    </row>
    <row r="342">
      <c r="A342" s="1" t="str">
        <f>IFERROR(__xludf.DUMMYFUNCTION("""COMPUTED_VALUE"""),"Western Carolina Catamounts")</f>
        <v>Western Carolina Catamounts</v>
      </c>
      <c r="B342" s="1" t="str">
        <f>IFERROR(__xludf.DUMMYFUNCTION("""COMPUTED_VALUE"""),"SoCon")</f>
        <v>SoCon</v>
      </c>
      <c r="C342" s="3">
        <f>IFERROR(__xludf.DUMMYFUNCTION("""COMPUTED_VALUE"""),45788.0)</f>
        <v>45788</v>
      </c>
      <c r="D342" s="1">
        <f>IFERROR(__xludf.DUMMYFUNCTION("""COMPUTED_VALUE"""),-11.5)</f>
        <v>-11.5</v>
      </c>
      <c r="E342" s="1">
        <f>IFERROR(__xludf.DUMMYFUNCTION("""COMPUTED_VALUE"""),339.0)</f>
        <v>339</v>
      </c>
      <c r="F342" s="1">
        <f>IFERROR(__xludf.DUMMYFUNCTION("""COMPUTED_VALUE"""),2.0)</f>
        <v>2</v>
      </c>
      <c r="G342" s="1">
        <f>IFERROR(__xludf.DUMMYFUNCTION("""COMPUTED_VALUE"""),-9.5)</f>
        <v>-9.5</v>
      </c>
      <c r="H342" s="1">
        <f>IFERROR(__xludf.DUMMYFUNCTION("""COMPUTED_VALUE"""),-2.0)</f>
        <v>-2</v>
      </c>
      <c r="I342" s="1" t="str">
        <f>IFERROR(__xludf.DUMMYFUNCTION("""COMPUTED_VALUE"""),"8.1-20.9")</f>
        <v>8.1-20.9</v>
      </c>
      <c r="J342" s="1" t="str">
        <f>IFERROR(__xludf.DUMMYFUNCTION("""COMPUTED_VALUE"""),"4.1-13.9")</f>
        <v>4.1-13.9</v>
      </c>
      <c r="K342" s="1" t="str">
        <f>IFERROR(__xludf.DUMMYFUNCTION("""COMPUTED_VALUE"""),"&lt;0.1%")</f>
        <v>&lt;0.1%</v>
      </c>
      <c r="L342" s="1" t="str">
        <f>IFERROR(__xludf.DUMMYFUNCTION("""COMPUTED_VALUE"""),"170th")</f>
        <v>170th</v>
      </c>
    </row>
    <row r="343">
      <c r="A343" s="1" t="str">
        <f>IFERROR(__xludf.DUMMYFUNCTION("""COMPUTED_VALUE"""),"Prairie View A&amp;M Panthers")</f>
        <v>Prairie View A&amp;M Panthers</v>
      </c>
      <c r="B343" s="1" t="str">
        <f>IFERROR(__xludf.DUMMYFUNCTION("""COMPUTED_VALUE"""),"SWAC")</f>
        <v>SWAC</v>
      </c>
      <c r="C343" s="3">
        <f>IFERROR(__xludf.DUMMYFUNCTION("""COMPUTED_VALUE"""),45760.0)</f>
        <v>45760</v>
      </c>
      <c r="D343" s="1">
        <f>IFERROR(__xludf.DUMMYFUNCTION("""COMPUTED_VALUE"""),-11.6)</f>
        <v>-11.6</v>
      </c>
      <c r="E343" s="1">
        <f>IFERROR(__xludf.DUMMYFUNCTION("""COMPUTED_VALUE"""),340.0)</f>
        <v>340</v>
      </c>
      <c r="F343" s="1">
        <f>IFERROR(__xludf.DUMMYFUNCTION("""COMPUTED_VALUE"""),4.0)</f>
        <v>4</v>
      </c>
      <c r="G343" s="1">
        <f>IFERROR(__xludf.DUMMYFUNCTION("""COMPUTED_VALUE"""),-5.0)</f>
        <v>-5</v>
      </c>
      <c r="H343" s="1">
        <f>IFERROR(__xludf.DUMMYFUNCTION("""COMPUTED_VALUE"""),-6.7)</f>
        <v>-6.7</v>
      </c>
      <c r="I343" s="1" t="str">
        <f>IFERROR(__xludf.DUMMYFUNCTION("""COMPUTED_VALUE"""),"10.6-20.4")</f>
        <v>10.6-20.4</v>
      </c>
      <c r="J343" s="1" t="str">
        <f>IFERROR(__xludf.DUMMYFUNCTION("""COMPUTED_VALUE"""),"9.6-8.4")</f>
        <v>9.6-8.4</v>
      </c>
      <c r="K343" s="2">
        <f>IFERROR(__xludf.DUMMYFUNCTION("""COMPUTED_VALUE"""),0.011)</f>
        <v>0.011</v>
      </c>
      <c r="L343" s="1" t="str">
        <f>IFERROR(__xludf.DUMMYFUNCTION("""COMPUTED_VALUE"""),"352nd")</f>
        <v>352nd</v>
      </c>
    </row>
    <row r="344">
      <c r="A344" s="1" t="str">
        <f>IFERROR(__xludf.DUMMYFUNCTION("""COMPUTED_VALUE"""),"Cal State Fullerton Titans")</f>
        <v>Cal State Fullerton Titans</v>
      </c>
      <c r="B344" s="1" t="str">
        <f>IFERROR(__xludf.DUMMYFUNCTION("""COMPUTED_VALUE"""),"Big West")</f>
        <v>Big West</v>
      </c>
      <c r="C344" s="3">
        <f>IFERROR(__xludf.DUMMYFUNCTION("""COMPUTED_VALUE"""),45791.0)</f>
        <v>45791</v>
      </c>
      <c r="D344" s="1">
        <f>IFERROR(__xludf.DUMMYFUNCTION("""COMPUTED_VALUE"""),-11.9)</f>
        <v>-11.9</v>
      </c>
      <c r="E344" s="1">
        <f>IFERROR(__xludf.DUMMYFUNCTION("""COMPUTED_VALUE"""),341.0)</f>
        <v>341</v>
      </c>
      <c r="F344" s="1">
        <f>IFERROR(__xludf.DUMMYFUNCTION("""COMPUTED_VALUE"""),1.0)</f>
        <v>1</v>
      </c>
      <c r="G344" s="1">
        <f>IFERROR(__xludf.DUMMYFUNCTION("""COMPUTED_VALUE"""),-8.0)</f>
        <v>-8</v>
      </c>
      <c r="H344" s="1">
        <f>IFERROR(__xludf.DUMMYFUNCTION("""COMPUTED_VALUE"""),-3.8)</f>
        <v>-3.8</v>
      </c>
      <c r="I344" s="1" t="str">
        <f>IFERROR(__xludf.DUMMYFUNCTION("""COMPUTED_VALUE"""),"7.6-24.4")</f>
        <v>7.6-24.4</v>
      </c>
      <c r="J344" s="1" t="str">
        <f>IFERROR(__xludf.DUMMYFUNCTION("""COMPUTED_VALUE"""),"2.6-17.4")</f>
        <v>2.6-17.4</v>
      </c>
      <c r="K344" s="1" t="str">
        <f>IFERROR(__xludf.DUMMYFUNCTION("""COMPUTED_VALUE"""),"&lt;0.1%")</f>
        <v>&lt;0.1%</v>
      </c>
      <c r="L344" s="1" t="str">
        <f>IFERROR(__xludf.DUMMYFUNCTION("""COMPUTED_VALUE"""),"172nd")</f>
        <v>172nd</v>
      </c>
    </row>
    <row r="345">
      <c r="A345" s="1" t="str">
        <f>IFERROR(__xludf.DUMMYFUNCTION("""COMPUTED_VALUE"""),"VMI Keydets")</f>
        <v>VMI Keydets</v>
      </c>
      <c r="B345" s="1" t="str">
        <f>IFERROR(__xludf.DUMMYFUNCTION("""COMPUTED_VALUE"""),"SoCon")</f>
        <v>SoCon</v>
      </c>
      <c r="C345" s="3">
        <f>IFERROR(__xludf.DUMMYFUNCTION("""COMPUTED_VALUE"""),45849.0)</f>
        <v>45849</v>
      </c>
      <c r="D345" s="1">
        <f>IFERROR(__xludf.DUMMYFUNCTION("""COMPUTED_VALUE"""),-11.9)</f>
        <v>-11.9</v>
      </c>
      <c r="E345" s="1">
        <f>IFERROR(__xludf.DUMMYFUNCTION("""COMPUTED_VALUE"""),342.0)</f>
        <v>342</v>
      </c>
      <c r="F345" s="1">
        <f>IFERROR(__xludf.DUMMYFUNCTION("""COMPUTED_VALUE"""),1.0)</f>
        <v>1</v>
      </c>
      <c r="G345" s="1">
        <f>IFERROR(__xludf.DUMMYFUNCTION("""COMPUTED_VALUE"""),-7.3)</f>
        <v>-7.3</v>
      </c>
      <c r="H345" s="1">
        <f>IFERROR(__xludf.DUMMYFUNCTION("""COMPUTED_VALUE"""),-4.6)</f>
        <v>-4.6</v>
      </c>
      <c r="I345" s="1" t="str">
        <f>IFERROR(__xludf.DUMMYFUNCTION("""COMPUTED_VALUE"""),"9.9-21.1")</f>
        <v>9.9-21.1</v>
      </c>
      <c r="J345" s="1" t="str">
        <f>IFERROR(__xludf.DUMMYFUNCTION("""COMPUTED_VALUE"""),"3.9-14.1")</f>
        <v>3.9-14.1</v>
      </c>
      <c r="K345" s="1" t="str">
        <f>IFERROR(__xludf.DUMMYFUNCTION("""COMPUTED_VALUE"""),"&lt;0.1%")</f>
        <v>&lt;0.1%</v>
      </c>
      <c r="L345" s="1" t="str">
        <f>IFERROR(__xludf.DUMMYFUNCTION("""COMPUTED_VALUE"""),"180th")</f>
        <v>180th</v>
      </c>
    </row>
    <row r="346">
      <c r="A346" s="1" t="str">
        <f>IFERROR(__xludf.DUMMYFUNCTION("""COMPUTED_VALUE"""),"Detroit Mercy Titans")</f>
        <v>Detroit Mercy Titans</v>
      </c>
      <c r="B346" s="1" t="str">
        <f>IFERROR(__xludf.DUMMYFUNCTION("""COMPUTED_VALUE"""),"Horizon")</f>
        <v>Horizon</v>
      </c>
      <c r="C346" s="3">
        <f>IFERROR(__xludf.DUMMYFUNCTION("""COMPUTED_VALUE"""),45821.0)</f>
        <v>45821</v>
      </c>
      <c r="D346" s="1">
        <f>IFERROR(__xludf.DUMMYFUNCTION("""COMPUTED_VALUE"""),-11.9)</f>
        <v>-11.9</v>
      </c>
      <c r="E346" s="1">
        <f>IFERROR(__xludf.DUMMYFUNCTION("""COMPUTED_VALUE"""),343.0)</f>
        <v>343</v>
      </c>
      <c r="F346" s="1">
        <f>IFERROR(__xludf.DUMMYFUNCTION("""COMPUTED_VALUE"""),4.0)</f>
        <v>4</v>
      </c>
      <c r="G346" s="1">
        <f>IFERROR(__xludf.DUMMYFUNCTION("""COMPUTED_VALUE"""),-8.1)</f>
        <v>-8.1</v>
      </c>
      <c r="H346" s="1">
        <f>IFERROR(__xludf.DUMMYFUNCTION("""COMPUTED_VALUE"""),-3.8)</f>
        <v>-3.8</v>
      </c>
      <c r="I346" s="1" t="str">
        <f>IFERROR(__xludf.DUMMYFUNCTION("""COMPUTED_VALUE"""),"9.1-21.9")</f>
        <v>9.1-21.9</v>
      </c>
      <c r="J346" s="1" t="str">
        <f>IFERROR(__xludf.DUMMYFUNCTION("""COMPUTED_VALUE"""),"5.1-14.9")</f>
        <v>5.1-14.9</v>
      </c>
      <c r="K346" s="1" t="str">
        <f>IFERROR(__xludf.DUMMYFUNCTION("""COMPUTED_VALUE"""),"&lt;0.1%")</f>
        <v>&lt;0.1%</v>
      </c>
      <c r="L346" s="1" t="str">
        <f>IFERROR(__xludf.DUMMYFUNCTION("""COMPUTED_VALUE"""),"241st")</f>
        <v>241st</v>
      </c>
    </row>
    <row r="347">
      <c r="A347" s="1" t="str">
        <f>IFERROR(__xludf.DUMMYFUNCTION("""COMPUTED_VALUE"""),"Central Arkansas Bears")</f>
        <v>Central Arkansas Bears</v>
      </c>
      <c r="B347" s="1" t="str">
        <f>IFERROR(__xludf.DUMMYFUNCTION("""COMPUTED_VALUE"""),"ASUN")</f>
        <v>ASUN</v>
      </c>
      <c r="C347" s="3">
        <f>IFERROR(__xludf.DUMMYFUNCTION("""COMPUTED_VALUE"""),45790.0)</f>
        <v>45790</v>
      </c>
      <c r="D347" s="1">
        <f>IFERROR(__xludf.DUMMYFUNCTION("""COMPUTED_VALUE"""),-12.1)</f>
        <v>-12.1</v>
      </c>
      <c r="E347" s="1">
        <f>IFERROR(__xludf.DUMMYFUNCTION("""COMPUTED_VALUE"""),344.0)</f>
        <v>344</v>
      </c>
      <c r="F347" s="1">
        <f>IFERROR(__xludf.DUMMYFUNCTION("""COMPUTED_VALUE"""),2.0)</f>
        <v>2</v>
      </c>
      <c r="G347" s="1">
        <f>IFERROR(__xludf.DUMMYFUNCTION("""COMPUTED_VALUE"""),-7.7)</f>
        <v>-7.7</v>
      </c>
      <c r="H347" s="1">
        <f>IFERROR(__xludf.DUMMYFUNCTION("""COMPUTED_VALUE"""),-4.5)</f>
        <v>-4.5</v>
      </c>
      <c r="I347" s="1" t="str">
        <f>IFERROR(__xludf.DUMMYFUNCTION("""COMPUTED_VALUE"""),"8.2-22.8")</f>
        <v>8.2-22.8</v>
      </c>
      <c r="J347" s="1" t="str">
        <f>IFERROR(__xludf.DUMMYFUNCTION("""COMPUTED_VALUE"""),"4.2-13.8")</f>
        <v>4.2-13.8</v>
      </c>
      <c r="K347" s="1" t="str">
        <f>IFERROR(__xludf.DUMMYFUNCTION("""COMPUTED_VALUE"""),"&lt;0.1%")</f>
        <v>&lt;0.1%</v>
      </c>
      <c r="L347" s="1" t="str">
        <f>IFERROR(__xludf.DUMMYFUNCTION("""COMPUTED_VALUE"""),"249th")</f>
        <v>249th</v>
      </c>
    </row>
    <row r="348">
      <c r="A348" s="1" t="str">
        <f>IFERROR(__xludf.DUMMYFUNCTION("""COMPUTED_VALUE"""),"Alcorn State Braves")</f>
        <v>Alcorn State Braves</v>
      </c>
      <c r="B348" s="1" t="str">
        <f>IFERROR(__xludf.DUMMYFUNCTION("""COMPUTED_VALUE"""),"SWAC")</f>
        <v>SWAC</v>
      </c>
      <c r="C348" s="3">
        <f>IFERROR(__xludf.DUMMYFUNCTION("""COMPUTED_VALUE"""),45702.0)</f>
        <v>45702</v>
      </c>
      <c r="D348" s="1">
        <f>IFERROR(__xludf.DUMMYFUNCTION("""COMPUTED_VALUE"""),-12.6)</f>
        <v>-12.6</v>
      </c>
      <c r="E348" s="1">
        <f>IFERROR(__xludf.DUMMYFUNCTION("""COMPUTED_VALUE"""),345.0)</f>
        <v>345</v>
      </c>
      <c r="F348" s="1">
        <f>IFERROR(__xludf.DUMMYFUNCTION("""COMPUTED_VALUE"""),4.0)</f>
        <v>4</v>
      </c>
      <c r="G348" s="1">
        <f>IFERROR(__xludf.DUMMYFUNCTION("""COMPUTED_VALUE"""),-6.1)</f>
        <v>-6.1</v>
      </c>
      <c r="H348" s="1">
        <f>IFERROR(__xludf.DUMMYFUNCTION("""COMPUTED_VALUE"""),-6.4)</f>
        <v>-6.4</v>
      </c>
      <c r="I348" s="1" t="str">
        <f>IFERROR(__xludf.DUMMYFUNCTION("""COMPUTED_VALUE"""),"9.0-22.0")</f>
        <v>9.0-22.0</v>
      </c>
      <c r="J348" s="1" t="str">
        <f>IFERROR(__xludf.DUMMYFUNCTION("""COMPUTED_VALUE"""),"9.0-9.0")</f>
        <v>9.0-9.0</v>
      </c>
      <c r="K348" s="2">
        <f>IFERROR(__xludf.DUMMYFUNCTION("""COMPUTED_VALUE"""),0.008)</f>
        <v>0.008</v>
      </c>
      <c r="L348" s="1" t="str">
        <f>IFERROR(__xludf.DUMMYFUNCTION("""COMPUTED_VALUE"""),"353rd")</f>
        <v>353rd</v>
      </c>
    </row>
    <row r="349">
      <c r="A349" s="1" t="str">
        <f>IFERROR(__xludf.DUMMYFUNCTION("""COMPUTED_VALUE"""),"Northern Illinois Huskies")</f>
        <v>Northern Illinois Huskies</v>
      </c>
      <c r="B349" s="1" t="str">
        <f>IFERROR(__xludf.DUMMYFUNCTION("""COMPUTED_VALUE"""),"MAC")</f>
        <v>MAC</v>
      </c>
      <c r="C349" s="3">
        <f>IFERROR(__xludf.DUMMYFUNCTION("""COMPUTED_VALUE"""),45759.0)</f>
        <v>45759</v>
      </c>
      <c r="D349" s="1">
        <f>IFERROR(__xludf.DUMMYFUNCTION("""COMPUTED_VALUE"""),-12.7)</f>
        <v>-12.7</v>
      </c>
      <c r="E349" s="1">
        <f>IFERROR(__xludf.DUMMYFUNCTION("""COMPUTED_VALUE"""),346.0)</f>
        <v>346</v>
      </c>
      <c r="F349" s="1">
        <f>IFERROR(__xludf.DUMMYFUNCTION("""COMPUTED_VALUE"""),3.0)</f>
        <v>3</v>
      </c>
      <c r="G349" s="1">
        <f>IFERROR(__xludf.DUMMYFUNCTION("""COMPUTED_VALUE"""),-9.2)</f>
        <v>-9.2</v>
      </c>
      <c r="H349" s="1">
        <f>IFERROR(__xludf.DUMMYFUNCTION("""COMPUTED_VALUE"""),-3.4)</f>
        <v>-3.4</v>
      </c>
      <c r="I349" s="1" t="str">
        <f>IFERROR(__xludf.DUMMYFUNCTION("""COMPUTED_VALUE"""),"7.9-23.1")</f>
        <v>7.9-23.1</v>
      </c>
      <c r="J349" s="1" t="str">
        <f>IFERROR(__xludf.DUMMYFUNCTION("""COMPUTED_VALUE"""),"3.5-14.5")</f>
        <v>3.5-14.5</v>
      </c>
      <c r="K349" s="1" t="str">
        <f>IFERROR(__xludf.DUMMYFUNCTION("""COMPUTED_VALUE"""),"&lt;0.1%")</f>
        <v>&lt;0.1%</v>
      </c>
      <c r="L349" s="1" t="str">
        <f>IFERROR(__xludf.DUMMYFUNCTION("""COMPUTED_VALUE"""),"258th")</f>
        <v>258th</v>
      </c>
    </row>
    <row r="350">
      <c r="A350" s="1" t="str">
        <f>IFERROR(__xludf.DUMMYFUNCTION("""COMPUTED_VALUE"""),"New Orleans Privateers")</f>
        <v>New Orleans Privateers</v>
      </c>
      <c r="B350" s="1" t="str">
        <f>IFERROR(__xludf.DUMMYFUNCTION("""COMPUTED_VALUE"""),"Southland")</f>
        <v>Southland</v>
      </c>
      <c r="C350" s="3">
        <f>IFERROR(__xludf.DUMMYFUNCTION("""COMPUTED_VALUE"""),45730.0)</f>
        <v>45730</v>
      </c>
      <c r="D350" s="1">
        <f>IFERROR(__xludf.DUMMYFUNCTION("""COMPUTED_VALUE"""),-12.9)</f>
        <v>-12.9</v>
      </c>
      <c r="E350" s="1">
        <f>IFERROR(__xludf.DUMMYFUNCTION("""COMPUTED_VALUE"""),347.0)</f>
        <v>347</v>
      </c>
      <c r="F350" s="1">
        <f>IFERROR(__xludf.DUMMYFUNCTION("""COMPUTED_VALUE"""),4.0)</f>
        <v>4</v>
      </c>
      <c r="G350" s="1">
        <f>IFERROR(__xludf.DUMMYFUNCTION("""COMPUTED_VALUE"""),-6.5)</f>
        <v>-6.5</v>
      </c>
      <c r="H350" s="1">
        <f>IFERROR(__xludf.DUMMYFUNCTION("""COMPUTED_VALUE"""),-6.4)</f>
        <v>-6.4</v>
      </c>
      <c r="I350" s="1" t="str">
        <f>IFERROR(__xludf.DUMMYFUNCTION("""COMPUTED_VALUE"""),"6.8-24.2")</f>
        <v>6.8-24.2</v>
      </c>
      <c r="J350" s="1" t="str">
        <f>IFERROR(__xludf.DUMMYFUNCTION("""COMPUTED_VALUE"""),"4.8-15.2")</f>
        <v>4.8-15.2</v>
      </c>
      <c r="K350" s="1" t="str">
        <f>IFERROR(__xludf.DUMMYFUNCTION("""COMPUTED_VALUE"""),"&lt;0.1%")</f>
        <v>&lt;0.1%</v>
      </c>
      <c r="L350" s="1" t="str">
        <f>IFERROR(__xludf.DUMMYFUNCTION("""COMPUTED_VALUE"""),"280th")</f>
        <v>280th</v>
      </c>
    </row>
    <row r="351">
      <c r="A351" s="1" t="str">
        <f>IFERROR(__xludf.DUMMYFUNCTION("""COMPUTED_VALUE"""),"East Texas A&amp;M Lions")</f>
        <v>East Texas A&amp;M Lions</v>
      </c>
      <c r="B351" s="1" t="str">
        <f>IFERROR(__xludf.DUMMYFUNCTION("""COMPUTED_VALUE"""),"Southland")</f>
        <v>Southland</v>
      </c>
      <c r="C351" s="3">
        <f>IFERROR(__xludf.DUMMYFUNCTION("""COMPUTED_VALUE"""),45703.0)</f>
        <v>45703</v>
      </c>
      <c r="D351" s="1">
        <f>IFERROR(__xludf.DUMMYFUNCTION("""COMPUTED_VALUE"""),-12.9)</f>
        <v>-12.9</v>
      </c>
      <c r="E351" s="1">
        <f>IFERROR(__xludf.DUMMYFUNCTION("""COMPUTED_VALUE"""),348.0)</f>
        <v>348</v>
      </c>
      <c r="F351" s="1">
        <f>IFERROR(__xludf.DUMMYFUNCTION("""COMPUTED_VALUE"""),5.0)</f>
        <v>5</v>
      </c>
      <c r="G351" s="1">
        <f>IFERROR(__xludf.DUMMYFUNCTION("""COMPUTED_VALUE"""),-9.5)</f>
        <v>-9.5</v>
      </c>
      <c r="H351" s="1">
        <f>IFERROR(__xludf.DUMMYFUNCTION("""COMPUTED_VALUE"""),-3.4)</f>
        <v>-3.4</v>
      </c>
      <c r="I351" s="1" t="str">
        <f>IFERROR(__xludf.DUMMYFUNCTION("""COMPUTED_VALUE"""),"5.8-25.2")</f>
        <v>5.8-25.2</v>
      </c>
      <c r="J351" s="1" t="str">
        <f>IFERROR(__xludf.DUMMYFUNCTION("""COMPUTED_VALUE"""),"3.8-16.2")</f>
        <v>3.8-16.2</v>
      </c>
      <c r="K351" s="1" t="str">
        <f>IFERROR(__xludf.DUMMYFUNCTION("""COMPUTED_VALUE"""),"&lt;0.1%")</f>
        <v>&lt;0.1%</v>
      </c>
      <c r="L351" s="1" t="str">
        <f>IFERROR(__xludf.DUMMYFUNCTION("""COMPUTED_VALUE"""),"275th")</f>
        <v>275th</v>
      </c>
    </row>
    <row r="352">
      <c r="A352" s="1" t="str">
        <f>IFERROR(__xludf.DUMMYFUNCTION("""COMPUTED_VALUE"""),"NJIT Highlanders")</f>
        <v>NJIT Highlanders</v>
      </c>
      <c r="B352" s="1" t="str">
        <f>IFERROR(__xludf.DUMMYFUNCTION("""COMPUTED_VALUE"""),"Am. East")</f>
        <v>Am. East</v>
      </c>
      <c r="C352" s="3">
        <f>IFERROR(__xludf.DUMMYFUNCTION("""COMPUTED_VALUE"""),45731.0)</f>
        <v>45731</v>
      </c>
      <c r="D352" s="1">
        <f>IFERROR(__xludf.DUMMYFUNCTION("""COMPUTED_VALUE"""),-13.0)</f>
        <v>-13</v>
      </c>
      <c r="E352" s="1">
        <f>IFERROR(__xludf.DUMMYFUNCTION("""COMPUTED_VALUE"""),349.0)</f>
        <v>349</v>
      </c>
      <c r="F352" s="1">
        <f>IFERROR(__xludf.DUMMYFUNCTION("""COMPUTED_VALUE"""),3.0)</f>
        <v>3</v>
      </c>
      <c r="G352" s="1">
        <f>IFERROR(__xludf.DUMMYFUNCTION("""COMPUTED_VALUE"""),-9.2)</f>
        <v>-9.2</v>
      </c>
      <c r="H352" s="1">
        <f>IFERROR(__xludf.DUMMYFUNCTION("""COMPUTED_VALUE"""),-3.8)</f>
        <v>-3.8</v>
      </c>
      <c r="I352" s="1" t="str">
        <f>IFERROR(__xludf.DUMMYFUNCTION("""COMPUTED_VALUE"""),"6.1-24.9")</f>
        <v>6.1-24.9</v>
      </c>
      <c r="J352" s="1" t="str">
        <f>IFERROR(__xludf.DUMMYFUNCTION("""COMPUTED_VALUE"""),"3.1-12.9")</f>
        <v>3.1-12.9</v>
      </c>
      <c r="K352" s="1" t="str">
        <f>IFERROR(__xludf.DUMMYFUNCTION("""COMPUTED_VALUE"""),"&lt;0.1%")</f>
        <v>&lt;0.1%</v>
      </c>
      <c r="L352" s="1" t="str">
        <f>IFERROR(__xludf.DUMMYFUNCTION("""COMPUTED_VALUE"""),"254th")</f>
        <v>254th</v>
      </c>
    </row>
    <row r="353">
      <c r="A353" s="1" t="str">
        <f>IFERROR(__xludf.DUMMYFUNCTION("""COMPUTED_VALUE"""),"New Hampshire Wildcats")</f>
        <v>New Hampshire Wildcats</v>
      </c>
      <c r="B353" s="1" t="str">
        <f>IFERROR(__xludf.DUMMYFUNCTION("""COMPUTED_VALUE"""),"Am. East")</f>
        <v>Am. East</v>
      </c>
      <c r="C353" s="3">
        <f>IFERROR(__xludf.DUMMYFUNCTION("""COMPUTED_VALUE"""),45762.0)</f>
        <v>45762</v>
      </c>
      <c r="D353" s="1">
        <f>IFERROR(__xludf.DUMMYFUNCTION("""COMPUTED_VALUE"""),-13.2)</f>
        <v>-13.2</v>
      </c>
      <c r="E353" s="1">
        <f>IFERROR(__xludf.DUMMYFUNCTION("""COMPUTED_VALUE"""),350.0)</f>
        <v>350</v>
      </c>
      <c r="F353" s="1">
        <f>IFERROR(__xludf.DUMMYFUNCTION("""COMPUTED_VALUE"""),6.0)</f>
        <v>6</v>
      </c>
      <c r="G353" s="1">
        <f>IFERROR(__xludf.DUMMYFUNCTION("""COMPUTED_VALUE"""),-9.9)</f>
        <v>-9.9</v>
      </c>
      <c r="H353" s="1">
        <f>IFERROR(__xludf.DUMMYFUNCTION("""COMPUTED_VALUE"""),-3.3)</f>
        <v>-3.3</v>
      </c>
      <c r="I353" s="1" t="str">
        <f>IFERROR(__xludf.DUMMYFUNCTION("""COMPUTED_VALUE"""),"6.4-24.6")</f>
        <v>6.4-24.6</v>
      </c>
      <c r="J353" s="1" t="str">
        <f>IFERROR(__xludf.DUMMYFUNCTION("""COMPUTED_VALUE"""),"4.4-11.6")</f>
        <v>4.4-11.6</v>
      </c>
      <c r="K353" s="1" t="str">
        <f>IFERROR(__xludf.DUMMYFUNCTION("""COMPUTED_VALUE"""),"&lt;0.1%")</f>
        <v>&lt;0.1%</v>
      </c>
      <c r="L353" s="1" t="str">
        <f>IFERROR(__xludf.DUMMYFUNCTION("""COMPUTED_VALUE"""),"218th")</f>
        <v>218th</v>
      </c>
    </row>
    <row r="354">
      <c r="A354" s="1" t="str">
        <f>IFERROR(__xludf.DUMMYFUNCTION("""COMPUTED_VALUE"""),"Florida A&amp;M Rattlers")</f>
        <v>Florida A&amp;M Rattlers</v>
      </c>
      <c r="B354" s="1" t="str">
        <f>IFERROR(__xludf.DUMMYFUNCTION("""COMPUTED_VALUE"""),"SWAC")</f>
        <v>SWAC</v>
      </c>
      <c r="C354" s="3">
        <f>IFERROR(__xludf.DUMMYFUNCTION("""COMPUTED_VALUE"""),45727.0)</f>
        <v>45727</v>
      </c>
      <c r="D354" s="1">
        <f>IFERROR(__xludf.DUMMYFUNCTION("""COMPUTED_VALUE"""),-13.2)</f>
        <v>-13.2</v>
      </c>
      <c r="E354" s="1">
        <f>IFERROR(__xludf.DUMMYFUNCTION("""COMPUTED_VALUE"""),351.0)</f>
        <v>351</v>
      </c>
      <c r="F354" s="1">
        <f>IFERROR(__xludf.DUMMYFUNCTION("""COMPUTED_VALUE"""),4.0)</f>
        <v>4</v>
      </c>
      <c r="G354" s="1">
        <f>IFERROR(__xludf.DUMMYFUNCTION("""COMPUTED_VALUE"""),-7.8)</f>
        <v>-7.8</v>
      </c>
      <c r="H354" s="1">
        <f>IFERROR(__xludf.DUMMYFUNCTION("""COMPUTED_VALUE"""),-5.4)</f>
        <v>-5.4</v>
      </c>
      <c r="I354" s="1" t="str">
        <f>IFERROR(__xludf.DUMMYFUNCTION("""COMPUTED_VALUE"""),"9.5-19.5")</f>
        <v>9.5-19.5</v>
      </c>
      <c r="J354" s="1" t="str">
        <f>IFERROR(__xludf.DUMMYFUNCTION("""COMPUTED_VALUE"""),"6.5-11.5")</f>
        <v>6.5-11.5</v>
      </c>
      <c r="K354" s="2">
        <f>IFERROR(__xludf.DUMMYFUNCTION("""COMPUTED_VALUE"""),0.001)</f>
        <v>0.001</v>
      </c>
      <c r="L354" s="1" t="str">
        <f>IFERROR(__xludf.DUMMYFUNCTION("""COMPUTED_VALUE"""),"357th")</f>
        <v>357th</v>
      </c>
    </row>
    <row r="355">
      <c r="A355" s="1" t="str">
        <f>IFERROR(__xludf.DUMMYFUNCTION("""COMPUTED_VALUE"""),"Denver Pioneers")</f>
        <v>Denver Pioneers</v>
      </c>
      <c r="B355" s="1" t="str">
        <f>IFERROR(__xludf.DUMMYFUNCTION("""COMPUTED_VALUE"""),"Summit")</f>
        <v>Summit</v>
      </c>
      <c r="C355" s="3">
        <f>IFERROR(__xludf.DUMMYFUNCTION("""COMPUTED_VALUE"""),45822.0)</f>
        <v>45822</v>
      </c>
      <c r="D355" s="1">
        <f>IFERROR(__xludf.DUMMYFUNCTION("""COMPUTED_VALUE"""),-13.5)</f>
        <v>-13.5</v>
      </c>
      <c r="E355" s="1">
        <f>IFERROR(__xludf.DUMMYFUNCTION("""COMPUTED_VALUE"""),352.0)</f>
        <v>352</v>
      </c>
      <c r="F355" s="1">
        <f>IFERROR(__xludf.DUMMYFUNCTION("""COMPUTED_VALUE"""),4.0)</f>
        <v>4</v>
      </c>
      <c r="G355" s="1">
        <f>IFERROR(__xludf.DUMMYFUNCTION("""COMPUTED_VALUE"""),-5.5)</f>
        <v>-5.5</v>
      </c>
      <c r="H355" s="1">
        <f>IFERROR(__xludf.DUMMYFUNCTION("""COMPUTED_VALUE"""),-8.0)</f>
        <v>-8</v>
      </c>
      <c r="I355" s="1" t="str">
        <f>IFERROR(__xludf.DUMMYFUNCTION("""COMPUTED_VALUE"""),"7.9-23.1")</f>
        <v>7.9-23.1</v>
      </c>
      <c r="J355" s="1" t="str">
        <f>IFERROR(__xludf.DUMMYFUNCTION("""COMPUTED_VALUE"""),"1.9-14.1")</f>
        <v>1.9-14.1</v>
      </c>
      <c r="K355" s="1" t="str">
        <f>IFERROR(__xludf.DUMMYFUNCTION("""COMPUTED_VALUE"""),"&lt;0.1%")</f>
        <v>&lt;0.1%</v>
      </c>
      <c r="L355" s="1" t="str">
        <f>IFERROR(__xludf.DUMMYFUNCTION("""COMPUTED_VALUE"""),"195th")</f>
        <v>195th</v>
      </c>
    </row>
    <row r="356">
      <c r="A356" s="1" t="str">
        <f>IFERROR(__xludf.DUMMYFUNCTION("""COMPUTED_VALUE"""),"Stetson Hatters")</f>
        <v>Stetson Hatters</v>
      </c>
      <c r="B356" s="1" t="str">
        <f>IFERROR(__xludf.DUMMYFUNCTION("""COMPUTED_VALUE"""),"ASUN")</f>
        <v>ASUN</v>
      </c>
      <c r="C356" s="3">
        <f>IFERROR(__xludf.DUMMYFUNCTION("""COMPUTED_VALUE"""),45761.0)</f>
        <v>45761</v>
      </c>
      <c r="D356" s="1">
        <f>IFERROR(__xludf.DUMMYFUNCTION("""COMPUTED_VALUE"""),-13.7)</f>
        <v>-13.7</v>
      </c>
      <c r="E356" s="1">
        <f>IFERROR(__xludf.DUMMYFUNCTION("""COMPUTED_VALUE"""),353.0)</f>
        <v>353</v>
      </c>
      <c r="F356" s="1">
        <f>IFERROR(__xludf.DUMMYFUNCTION("""COMPUTED_VALUE"""),8.0)</f>
        <v>8</v>
      </c>
      <c r="G356" s="1">
        <f>IFERROR(__xludf.DUMMYFUNCTION("""COMPUTED_VALUE"""),-6.0)</f>
        <v>-6</v>
      </c>
      <c r="H356" s="1">
        <f>IFERROR(__xludf.DUMMYFUNCTION("""COMPUTED_VALUE"""),-7.7)</f>
        <v>-7.7</v>
      </c>
      <c r="I356" s="1" t="str">
        <f>IFERROR(__xludf.DUMMYFUNCTION("""COMPUTED_VALUE"""),"7.1-23.9")</f>
        <v>7.1-23.9</v>
      </c>
      <c r="J356" s="1" t="str">
        <f>IFERROR(__xludf.DUMMYFUNCTION("""COMPUTED_VALUE"""),"5.1-12.9")</f>
        <v>5.1-12.9</v>
      </c>
      <c r="K356" s="1" t="str">
        <f>IFERROR(__xludf.DUMMYFUNCTION("""COMPUTED_VALUE"""),"&lt;0.1%")</f>
        <v>&lt;0.1%</v>
      </c>
      <c r="L356" s="1" t="str">
        <f>IFERROR(__xludf.DUMMYFUNCTION("""COMPUTED_VALUE"""),"269th")</f>
        <v>269th</v>
      </c>
    </row>
    <row r="357">
      <c r="A357" s="1" t="str">
        <f>IFERROR(__xludf.DUMMYFUNCTION("""COMPUTED_VALUE"""),"Bellarmine Knights")</f>
        <v>Bellarmine Knights</v>
      </c>
      <c r="B357" s="1" t="str">
        <f>IFERROR(__xludf.DUMMYFUNCTION("""COMPUTED_VALUE"""),"ASUN")</f>
        <v>ASUN</v>
      </c>
      <c r="C357" s="3">
        <f>IFERROR(__xludf.DUMMYFUNCTION("""COMPUTED_VALUE"""),45731.0)</f>
        <v>45731</v>
      </c>
      <c r="D357" s="1">
        <f>IFERROR(__xludf.DUMMYFUNCTION("""COMPUTED_VALUE"""),-14.0)</f>
        <v>-14</v>
      </c>
      <c r="E357" s="1">
        <f>IFERROR(__xludf.DUMMYFUNCTION("""COMPUTED_VALUE"""),354.0)</f>
        <v>354</v>
      </c>
      <c r="F357" s="1">
        <f>IFERROR(__xludf.DUMMYFUNCTION("""COMPUTED_VALUE"""),4.0)</f>
        <v>4</v>
      </c>
      <c r="G357" s="1">
        <f>IFERROR(__xludf.DUMMYFUNCTION("""COMPUTED_VALUE"""),-4.6)</f>
        <v>-4.6</v>
      </c>
      <c r="H357" s="1">
        <f>IFERROR(__xludf.DUMMYFUNCTION("""COMPUTED_VALUE"""),-9.3)</f>
        <v>-9.3</v>
      </c>
      <c r="I357" s="1" t="str">
        <f>IFERROR(__xludf.DUMMYFUNCTION("""COMPUTED_VALUE"""),"6.2-24.9")</f>
        <v>6.2-24.9</v>
      </c>
      <c r="J357" s="1" t="str">
        <f>IFERROR(__xludf.DUMMYFUNCTION("""COMPUTED_VALUE"""),"3.2-14.9")</f>
        <v>3.2-14.9</v>
      </c>
      <c r="K357" s="1" t="str">
        <f>IFERROR(__xludf.DUMMYFUNCTION("""COMPUTED_VALUE"""),"&lt;0.1%")</f>
        <v>&lt;0.1%</v>
      </c>
      <c r="L357" s="1" t="str">
        <f>IFERROR(__xludf.DUMMYFUNCTION("""COMPUTED_VALUE"""),"273rd")</f>
        <v>273rd</v>
      </c>
    </row>
    <row r="358">
      <c r="A358" s="1" t="str">
        <f>IFERROR(__xludf.DUMMYFUNCTION("""COMPUTED_VALUE"""),"Canisius Golden Griffins")</f>
        <v>Canisius Golden Griffins</v>
      </c>
      <c r="B358" s="1" t="str">
        <f>IFERROR(__xludf.DUMMYFUNCTION("""COMPUTED_VALUE"""),"MAAC")</f>
        <v>MAAC</v>
      </c>
      <c r="C358" s="3">
        <f>IFERROR(__xludf.DUMMYFUNCTION("""COMPUTED_VALUE"""),45673.0)</f>
        <v>45673</v>
      </c>
      <c r="D358" s="1">
        <f>IFERROR(__xludf.DUMMYFUNCTION("""COMPUTED_VALUE"""),-14.0)</f>
        <v>-14</v>
      </c>
      <c r="E358" s="1">
        <f>IFERROR(__xludf.DUMMYFUNCTION("""COMPUTED_VALUE"""),355.0)</f>
        <v>355</v>
      </c>
      <c r="F358" s="1">
        <f>IFERROR(__xludf.DUMMYFUNCTION("""COMPUTED_VALUE"""),1.0)</f>
        <v>1</v>
      </c>
      <c r="G358" s="1">
        <f>IFERROR(__xludf.DUMMYFUNCTION("""COMPUTED_VALUE"""),-5.4)</f>
        <v>-5.4</v>
      </c>
      <c r="H358" s="1">
        <f>IFERROR(__xludf.DUMMYFUNCTION("""COMPUTED_VALUE"""),-8.7)</f>
        <v>-8.7</v>
      </c>
      <c r="I358" s="1" t="str">
        <f>IFERROR(__xludf.DUMMYFUNCTION("""COMPUTED_VALUE"""),"4.0-27.0")</f>
        <v>4.0-27.0</v>
      </c>
      <c r="J358" s="1" t="str">
        <f>IFERROR(__xludf.DUMMYFUNCTION("""COMPUTED_VALUE"""),"4.0-16.0")</f>
        <v>4.0-16.0</v>
      </c>
      <c r="K358" s="1" t="str">
        <f>IFERROR(__xludf.DUMMYFUNCTION("""COMPUTED_VALUE"""),"&lt;0.1%")</f>
        <v>&lt;0.1%</v>
      </c>
      <c r="L358" s="1" t="str">
        <f>IFERROR(__xludf.DUMMYFUNCTION("""COMPUTED_VALUE"""),"282nd")</f>
        <v>282nd</v>
      </c>
    </row>
    <row r="359">
      <c r="A359" s="1" t="str">
        <f>IFERROR(__xludf.DUMMYFUNCTION("""COMPUTED_VALUE"""),"Chicago State Cougars")</f>
        <v>Chicago State Cougars</v>
      </c>
      <c r="B359" s="1" t="str">
        <f>IFERROR(__xludf.DUMMYFUNCTION("""COMPUTED_VALUE"""),"NEC")</f>
        <v>NEC</v>
      </c>
      <c r="C359" s="3">
        <f>IFERROR(__xludf.DUMMYFUNCTION("""COMPUTED_VALUE"""),45674.0)</f>
        <v>45674</v>
      </c>
      <c r="D359" s="1">
        <f>IFERROR(__xludf.DUMMYFUNCTION("""COMPUTED_VALUE"""),-14.3)</f>
        <v>-14.3</v>
      </c>
      <c r="E359" s="1">
        <f>IFERROR(__xludf.DUMMYFUNCTION("""COMPUTED_VALUE"""),356.0)</f>
        <v>356</v>
      </c>
      <c r="F359" s="1">
        <f>IFERROR(__xludf.DUMMYFUNCTION("""COMPUTED_VALUE"""),1.0)</f>
        <v>1</v>
      </c>
      <c r="G359" s="1">
        <f>IFERROR(__xludf.DUMMYFUNCTION("""COMPUTED_VALUE"""),-11.3)</f>
        <v>-11.3</v>
      </c>
      <c r="H359" s="1">
        <f>IFERROR(__xludf.DUMMYFUNCTION("""COMPUTED_VALUE"""),-3.0)</f>
        <v>-3</v>
      </c>
      <c r="I359" s="1" t="str">
        <f>IFERROR(__xludf.DUMMYFUNCTION("""COMPUTED_VALUE"""),"5.0-26.0")</f>
        <v>5.0-26.0</v>
      </c>
      <c r="J359" s="1" t="str">
        <f>IFERROR(__xludf.DUMMYFUNCTION("""COMPUTED_VALUE"""),"5.0-11.0")</f>
        <v>5.0-11.0</v>
      </c>
      <c r="K359" s="2">
        <f>IFERROR(__xludf.DUMMYFUNCTION("""COMPUTED_VALUE"""),0.002)</f>
        <v>0.002</v>
      </c>
      <c r="L359" s="1" t="str">
        <f>IFERROR(__xludf.DUMMYFUNCTION("""COMPUTED_VALUE"""),"343rd")</f>
        <v>343rd</v>
      </c>
    </row>
    <row r="360">
      <c r="A360" s="1" t="str">
        <f>IFERROR(__xludf.DUMMYFUNCTION("""COMPUTED_VALUE"""),"Buffalo Bulls")</f>
        <v>Buffalo Bulls</v>
      </c>
      <c r="B360" s="1" t="str">
        <f>IFERROR(__xludf.DUMMYFUNCTION("""COMPUTED_VALUE"""),"MAC")</f>
        <v>MAC</v>
      </c>
      <c r="C360" s="3">
        <f>IFERROR(__xludf.DUMMYFUNCTION("""COMPUTED_VALUE"""),45788.0)</f>
        <v>45788</v>
      </c>
      <c r="D360" s="1">
        <f>IFERROR(__xludf.DUMMYFUNCTION("""COMPUTED_VALUE"""),-14.4)</f>
        <v>-14.4</v>
      </c>
      <c r="E360" s="1">
        <f>IFERROR(__xludf.DUMMYFUNCTION("""COMPUTED_VALUE"""),357.0)</f>
        <v>357</v>
      </c>
      <c r="F360" s="1">
        <f>IFERROR(__xludf.DUMMYFUNCTION("""COMPUTED_VALUE"""),1.0)</f>
        <v>1</v>
      </c>
      <c r="G360" s="1">
        <f>IFERROR(__xludf.DUMMYFUNCTION("""COMPUTED_VALUE"""),-9.1)</f>
        <v>-9.1</v>
      </c>
      <c r="H360" s="1">
        <f>IFERROR(__xludf.DUMMYFUNCTION("""COMPUTED_VALUE"""),-5.3)</f>
        <v>-5.3</v>
      </c>
      <c r="I360" s="1" t="str">
        <f>IFERROR(__xludf.DUMMYFUNCTION("""COMPUTED_VALUE"""),"7.7-23.3")</f>
        <v>7.7-23.3</v>
      </c>
      <c r="J360" s="1" t="str">
        <f>IFERROR(__xludf.DUMMYFUNCTION("""COMPUTED_VALUE"""),"2.4-15.6")</f>
        <v>2.4-15.6</v>
      </c>
      <c r="K360" s="1" t="str">
        <f>IFERROR(__xludf.DUMMYFUNCTION("""COMPUTED_VALUE"""),"&lt;0.1%")</f>
        <v>&lt;0.1%</v>
      </c>
      <c r="L360" s="1" t="str">
        <f>IFERROR(__xludf.DUMMYFUNCTION("""COMPUTED_VALUE"""),"257th")</f>
        <v>257th</v>
      </c>
    </row>
    <row r="361">
      <c r="A361" s="1" t="str">
        <f>IFERROR(__xludf.DUMMYFUNCTION("""COMPUTED_VALUE"""),"The Citadel Bulldogs")</f>
        <v>The Citadel Bulldogs</v>
      </c>
      <c r="B361" s="1" t="str">
        <f>IFERROR(__xludf.DUMMYFUNCTION("""COMPUTED_VALUE"""),"SoCon")</f>
        <v>SoCon</v>
      </c>
      <c r="C361" s="3">
        <f>IFERROR(__xludf.DUMMYFUNCTION("""COMPUTED_VALUE"""),45788.0)</f>
        <v>45788</v>
      </c>
      <c r="D361" s="1">
        <f>IFERROR(__xludf.DUMMYFUNCTION("""COMPUTED_VALUE"""),-14.4)</f>
        <v>-14.4</v>
      </c>
      <c r="E361" s="1">
        <f>IFERROR(__xludf.DUMMYFUNCTION("""COMPUTED_VALUE"""),358.0)</f>
        <v>358</v>
      </c>
      <c r="F361" s="1">
        <f>IFERROR(__xludf.DUMMYFUNCTION("""COMPUTED_VALUE"""),1.0)</f>
        <v>1</v>
      </c>
      <c r="G361" s="1">
        <f>IFERROR(__xludf.DUMMYFUNCTION("""COMPUTED_VALUE"""),-9.0)</f>
        <v>-9</v>
      </c>
      <c r="H361" s="1">
        <f>IFERROR(__xludf.DUMMYFUNCTION("""COMPUTED_VALUE"""),-5.5)</f>
        <v>-5.5</v>
      </c>
      <c r="I361" s="1" t="str">
        <f>IFERROR(__xludf.DUMMYFUNCTION("""COMPUTED_VALUE"""),"7.4-21.6")</f>
        <v>7.4-21.6</v>
      </c>
      <c r="J361" s="1" t="str">
        <f>IFERROR(__xludf.DUMMYFUNCTION("""COMPUTED_VALUE"""),"2.4-15.6")</f>
        <v>2.4-15.6</v>
      </c>
      <c r="K361" s="1" t="str">
        <f>IFERROR(__xludf.DUMMYFUNCTION("""COMPUTED_VALUE"""),"&lt;0.1%")</f>
        <v>&lt;0.1%</v>
      </c>
      <c r="L361" s="1" t="str">
        <f>IFERROR(__xludf.DUMMYFUNCTION("""COMPUTED_VALUE"""),"213th")</f>
        <v>213th</v>
      </c>
    </row>
    <row r="362">
      <c r="A362" s="1" t="str">
        <f>IFERROR(__xludf.DUMMYFUNCTION("""COMPUTED_VALUE"""),"Mercyhurst Lakers")</f>
        <v>Mercyhurst Lakers</v>
      </c>
      <c r="B362" s="1" t="str">
        <f>IFERROR(__xludf.DUMMYFUNCTION("""COMPUTED_VALUE"""),"NEC")</f>
        <v>NEC</v>
      </c>
      <c r="C362" s="3">
        <f>IFERROR(__xludf.DUMMYFUNCTION("""COMPUTED_VALUE"""),45850.0)</f>
        <v>45850</v>
      </c>
      <c r="D362" s="1">
        <f>IFERROR(__xludf.DUMMYFUNCTION("""COMPUTED_VALUE"""),-14.5)</f>
        <v>-14.5</v>
      </c>
      <c r="E362" s="1">
        <f>IFERROR(__xludf.DUMMYFUNCTION("""COMPUTED_VALUE"""),359.0)</f>
        <v>359</v>
      </c>
      <c r="F362" s="1">
        <f>IFERROR(__xludf.DUMMYFUNCTION("""COMPUTED_VALUE"""),2.0)</f>
        <v>2</v>
      </c>
      <c r="G362" s="1">
        <f>IFERROR(__xludf.DUMMYFUNCTION("""COMPUTED_VALUE"""),-9.3)</f>
        <v>-9.3</v>
      </c>
      <c r="H362" s="1">
        <f>IFERROR(__xludf.DUMMYFUNCTION("""COMPUTED_VALUE"""),-5.3)</f>
        <v>-5.3</v>
      </c>
      <c r="I362" s="1" t="str">
        <f>IFERROR(__xludf.DUMMYFUNCTION("""COMPUTED_VALUE"""),"10.7-20.3")</f>
        <v>10.7-20.3</v>
      </c>
      <c r="J362" s="1" t="str">
        <f>IFERROR(__xludf.DUMMYFUNCTION("""COMPUTED_VALUE"""),"4.7-11.3")</f>
        <v>4.7-11.3</v>
      </c>
      <c r="K362" s="1" t="str">
        <f>IFERROR(__xludf.DUMMYFUNCTION("""COMPUTED_VALUE"""),"&lt;0.1%")</f>
        <v>&lt;0.1%</v>
      </c>
      <c r="L362" s="1" t="str">
        <f>IFERROR(__xludf.DUMMYFUNCTION("""COMPUTED_VALUE"""),"340th")</f>
        <v>340th</v>
      </c>
    </row>
    <row r="363">
      <c r="A363" s="1" t="str">
        <f>IFERROR(__xludf.DUMMYFUNCTION("""COMPUTED_VALUE"""),"Alabama A&amp;M Bulldogs")</f>
        <v>Alabama A&amp;M Bulldogs</v>
      </c>
      <c r="B363" s="1" t="str">
        <f>IFERROR(__xludf.DUMMYFUNCTION("""COMPUTED_VALUE"""),"SWAC")</f>
        <v>SWAC</v>
      </c>
      <c r="C363" s="3">
        <f>IFERROR(__xludf.DUMMYFUNCTION("""COMPUTED_VALUE"""),45819.0)</f>
        <v>45819</v>
      </c>
      <c r="D363" s="1">
        <f>IFERROR(__xludf.DUMMYFUNCTION("""COMPUTED_VALUE"""),-14.7)</f>
        <v>-14.7</v>
      </c>
      <c r="E363" s="1">
        <f>IFERROR(__xludf.DUMMYFUNCTION("""COMPUTED_VALUE"""),360.0)</f>
        <v>360</v>
      </c>
      <c r="F363" s="1" t="str">
        <f>IFERROR(__xludf.DUMMYFUNCTION("""COMPUTED_VALUE"""),"--")</f>
        <v>--</v>
      </c>
      <c r="G363" s="1">
        <f>IFERROR(__xludf.DUMMYFUNCTION("""COMPUTED_VALUE"""),-10.2)</f>
        <v>-10.2</v>
      </c>
      <c r="H363" s="1">
        <f>IFERROR(__xludf.DUMMYFUNCTION("""COMPUTED_VALUE"""),-4.5)</f>
        <v>-4.5</v>
      </c>
      <c r="I363" s="1" t="str">
        <f>IFERROR(__xludf.DUMMYFUNCTION("""COMPUTED_VALUE"""),"10.7-20.3")</f>
        <v>10.7-20.3</v>
      </c>
      <c r="J363" s="1" t="str">
        <f>IFERROR(__xludf.DUMMYFUNCTION("""COMPUTED_VALUE"""),"6.7-11.3")</f>
        <v>6.7-11.3</v>
      </c>
      <c r="K363" s="2">
        <f>IFERROR(__xludf.DUMMYFUNCTION("""COMPUTED_VALUE"""),0.001)</f>
        <v>0.001</v>
      </c>
      <c r="L363" s="1" t="str">
        <f>IFERROR(__xludf.DUMMYFUNCTION("""COMPUTED_VALUE"""),"347th")</f>
        <v>347th</v>
      </c>
    </row>
    <row r="364">
      <c r="A364" s="1" t="str">
        <f>IFERROR(__xludf.DUMMYFUNCTION("""COMPUTED_VALUE"""),"Maryland Eastern Shore Hawks")</f>
        <v>Maryland Eastern Shore Hawks</v>
      </c>
      <c r="B364" s="1" t="str">
        <f>IFERROR(__xludf.DUMMYFUNCTION("""COMPUTED_VALUE"""),"MEAC")</f>
        <v>MEAC</v>
      </c>
      <c r="C364" s="3">
        <f>IFERROR(__xludf.DUMMYFUNCTION("""COMPUTED_VALUE"""),45762.0)</f>
        <v>45762</v>
      </c>
      <c r="D364" s="1">
        <f>IFERROR(__xludf.DUMMYFUNCTION("""COMPUTED_VALUE"""),-15.4)</f>
        <v>-15.4</v>
      </c>
      <c r="E364" s="1">
        <f>IFERROR(__xludf.DUMMYFUNCTION("""COMPUTED_VALUE"""),361.0)</f>
        <v>361</v>
      </c>
      <c r="F364" s="1" t="str">
        <f>IFERROR(__xludf.DUMMYFUNCTION("""COMPUTED_VALUE"""),"--")</f>
        <v>--</v>
      </c>
      <c r="G364" s="1">
        <f>IFERROR(__xludf.DUMMYFUNCTION("""COMPUTED_VALUE"""),-8.6)</f>
        <v>-8.6</v>
      </c>
      <c r="H364" s="1">
        <f>IFERROR(__xludf.DUMMYFUNCTION("""COMPUTED_VALUE"""),-6.9)</f>
        <v>-6.9</v>
      </c>
      <c r="I364" s="1" t="str">
        <f>IFERROR(__xludf.DUMMYFUNCTION("""COMPUTED_VALUE"""),"7.3-22.7")</f>
        <v>7.3-22.7</v>
      </c>
      <c r="J364" s="1" t="str">
        <f>IFERROR(__xludf.DUMMYFUNCTION("""COMPUTED_VALUE"""),"3.3-10.7")</f>
        <v>3.3-10.7</v>
      </c>
      <c r="K364" s="1" t="str">
        <f>IFERROR(__xludf.DUMMYFUNCTION("""COMPUTED_VALUE"""),"&lt;0.1%")</f>
        <v>&lt;0.1%</v>
      </c>
      <c r="L364" s="1" t="str">
        <f>IFERROR(__xludf.DUMMYFUNCTION("""COMPUTED_VALUE"""),"348th")</f>
        <v>348th</v>
      </c>
    </row>
    <row r="365">
      <c r="A365" s="1" t="str">
        <f>IFERROR(__xludf.DUMMYFUNCTION("""COMPUTED_VALUE"""),"Coppin State Eagles")</f>
        <v>Coppin State Eagles</v>
      </c>
      <c r="B365" s="1" t="str">
        <f>IFERROR(__xludf.DUMMYFUNCTION("""COMPUTED_VALUE"""),"MEAC")</f>
        <v>MEAC</v>
      </c>
      <c r="C365" s="3">
        <f>IFERROR(__xludf.DUMMYFUNCTION("""COMPUTED_VALUE"""),45732.0)</f>
        <v>45732</v>
      </c>
      <c r="D365" s="1">
        <f>IFERROR(__xludf.DUMMYFUNCTION("""COMPUTED_VALUE"""),-17.2)</f>
        <v>-17.2</v>
      </c>
      <c r="E365" s="1">
        <f>IFERROR(__xludf.DUMMYFUNCTION("""COMPUTED_VALUE"""),362.0)</f>
        <v>362</v>
      </c>
      <c r="F365" s="1" t="str">
        <f>IFERROR(__xludf.DUMMYFUNCTION("""COMPUTED_VALUE"""),"--")</f>
        <v>--</v>
      </c>
      <c r="G365" s="1">
        <f>IFERROR(__xludf.DUMMYFUNCTION("""COMPUTED_VALUE"""),-13.3)</f>
        <v>-13.3</v>
      </c>
      <c r="H365" s="1">
        <f>IFERROR(__xludf.DUMMYFUNCTION("""COMPUTED_VALUE"""),-3.9)</f>
        <v>-3.9</v>
      </c>
      <c r="I365" s="1" t="str">
        <f>IFERROR(__xludf.DUMMYFUNCTION("""COMPUTED_VALUE"""),"5.3-23.7")</f>
        <v>5.3-23.7</v>
      </c>
      <c r="J365" s="1" t="str">
        <f>IFERROR(__xludf.DUMMYFUNCTION("""COMPUTED_VALUE"""),"3.3-10.7")</f>
        <v>3.3-10.7</v>
      </c>
      <c r="K365" s="1" t="str">
        <f>IFERROR(__xludf.DUMMYFUNCTION("""COMPUTED_VALUE"""),"&lt;0.1%")</f>
        <v>&lt;0.1%</v>
      </c>
      <c r="L365" s="1" t="str">
        <f>IFERROR(__xludf.DUMMYFUNCTION("""COMPUTED_VALUE"""),"330th")</f>
        <v>330th</v>
      </c>
    </row>
    <row r="366">
      <c r="A366" s="1" t="str">
        <f>IFERROR(__xludf.DUMMYFUNCTION("""COMPUTED_VALUE"""),"Arkansas-Pine Bluff Golden Lions")</f>
        <v>Arkansas-Pine Bluff Golden Lions</v>
      </c>
      <c r="B366" s="1" t="str">
        <f>IFERROR(__xludf.DUMMYFUNCTION("""COMPUTED_VALUE"""),"SWAC")</f>
        <v>SWAC</v>
      </c>
      <c r="C366" s="3">
        <f>IFERROR(__xludf.DUMMYFUNCTION("""COMPUTED_VALUE"""),45729.0)</f>
        <v>45729</v>
      </c>
      <c r="D366" s="1">
        <f>IFERROR(__xludf.DUMMYFUNCTION("""COMPUTED_VALUE"""),-17.4)</f>
        <v>-17.4</v>
      </c>
      <c r="E366" s="1">
        <f>IFERROR(__xludf.DUMMYFUNCTION("""COMPUTED_VALUE"""),363.0)</f>
        <v>363</v>
      </c>
      <c r="F366" s="1" t="str">
        <f>IFERROR(__xludf.DUMMYFUNCTION("""COMPUTED_VALUE"""),"--")</f>
        <v>--</v>
      </c>
      <c r="G366" s="1">
        <f>IFERROR(__xludf.DUMMYFUNCTION("""COMPUTED_VALUE"""),-7.0)</f>
        <v>-7</v>
      </c>
      <c r="H366" s="1">
        <f>IFERROR(__xludf.DUMMYFUNCTION("""COMPUTED_VALUE"""),-10.4)</f>
        <v>-10.4</v>
      </c>
      <c r="I366" s="1" t="str">
        <f>IFERROR(__xludf.DUMMYFUNCTION("""COMPUTED_VALUE"""),"7.8-23.2")</f>
        <v>7.8-23.2</v>
      </c>
      <c r="J366" s="1" t="str">
        <f>IFERROR(__xludf.DUMMYFUNCTION("""COMPUTED_VALUE"""),"4.8-13.2")</f>
        <v>4.8-13.2</v>
      </c>
      <c r="K366" s="1" t="str">
        <f>IFERROR(__xludf.DUMMYFUNCTION("""COMPUTED_VALUE"""),"&lt;0.1%")</f>
        <v>&lt;0.1%</v>
      </c>
      <c r="L366" s="1" t="str">
        <f>IFERROR(__xludf.DUMMYFUNCTION("""COMPUTED_VALUE"""),"362nd")</f>
        <v>362nd</v>
      </c>
    </row>
    <row r="367">
      <c r="A367" s="1" t="str">
        <f>IFERROR(__xludf.DUMMYFUNCTION("""COMPUTED_VALUE"""),"Mississippi Valley State Delta Devils")</f>
        <v>Mississippi Valley State Delta Devils</v>
      </c>
      <c r="B367" s="1" t="str">
        <f>IFERROR(__xludf.DUMMYFUNCTION("""COMPUTED_VALUE"""),"SWAC")</f>
        <v>SWAC</v>
      </c>
      <c r="C367" s="3">
        <f>IFERROR(__xludf.DUMMYFUNCTION("""COMPUTED_VALUE"""),45703.0)</f>
        <v>45703</v>
      </c>
      <c r="D367" s="1">
        <f>IFERROR(__xludf.DUMMYFUNCTION("""COMPUTED_VALUE"""),-27.6)</f>
        <v>-27.6</v>
      </c>
      <c r="E367" s="1">
        <f>IFERROR(__xludf.DUMMYFUNCTION("""COMPUTED_VALUE"""),364.0)</f>
        <v>364</v>
      </c>
      <c r="F367" s="1" t="str">
        <f>IFERROR(__xludf.DUMMYFUNCTION("""COMPUTED_VALUE"""),"--")</f>
        <v>--</v>
      </c>
      <c r="G367" s="1">
        <f>IFERROR(__xludf.DUMMYFUNCTION("""COMPUTED_VALUE"""),-17.0)</f>
        <v>-17</v>
      </c>
      <c r="H367" s="1">
        <f>IFERROR(__xludf.DUMMYFUNCTION("""COMPUTED_VALUE"""),-10.6)</f>
        <v>-10.6</v>
      </c>
      <c r="I367" s="1" t="str">
        <f>IFERROR(__xludf.DUMMYFUNCTION("""COMPUTED_VALUE"""),"3.1-27.9")</f>
        <v>3.1-27.9</v>
      </c>
      <c r="J367" s="1" t="str">
        <f>IFERROR(__xludf.DUMMYFUNCTION("""COMPUTED_VALUE"""),"1.1-16.9")</f>
        <v>1.1-16.9</v>
      </c>
      <c r="K367" s="1" t="str">
        <f>IFERROR(__xludf.DUMMYFUNCTION("""COMPUTED_VALUE"""),"&lt;0.1%")</f>
        <v>&lt;0.1%</v>
      </c>
      <c r="L367" s="1" t="str">
        <f>IFERROR(__xludf.DUMMYFUNCTION("""COMPUTED_VALUE"""),"359th")</f>
        <v>359th</v>
      </c>
    </row>
  </sheetData>
  <drawing r:id="rId1"/>
</worksheet>
</file>