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<sst xmlns="http://schemas.openxmlformats.org/spreadsheetml/2006/main" count="1159" uniqueCount="937">
  <si>
    <t>Strength of Schedule</t>
  </si>
  <si>
    <t>NCSOS</t>
  </si>
  <si>
    <r>
      <rPr>
        <rFont val="inherit"/>
        <color rgb="FF1155CC"/>
        <sz val="11.0"/>
        <u/>
      </rPr>
      <t>Rk</t>
    </r>
  </si>
  <si>
    <r>
      <rPr>
        <rFont val="inherit"/>
        <color rgb="FF1155CC"/>
        <sz val="11.0"/>
        <u/>
      </rPr>
      <t>Team</t>
    </r>
  </si>
  <si>
    <t>Conf</t>
  </si>
  <si>
    <r>
      <rPr>
        <rFont val="inherit"/>
        <color rgb="FF1155CC"/>
        <sz val="11.0"/>
        <u/>
      </rPr>
      <t>W</t>
    </r>
    <r>
      <rPr>
        <rFont val="inherit"/>
        <sz val="11.0"/>
      </rPr>
      <t>-</t>
    </r>
    <r>
      <rPr>
        <rFont val="inherit"/>
        <color rgb="FF1155CC"/>
        <sz val="11.0"/>
        <u/>
      </rPr>
      <t>L</t>
    </r>
  </si>
  <si>
    <t>AdjEM</t>
  </si>
  <si>
    <t>AdjO</t>
  </si>
  <si>
    <t>AdjD</t>
  </si>
  <si>
    <r>
      <rPr>
        <rFont val="inherit"/>
        <color rgb="FF1155CC"/>
        <sz val="11.0"/>
        <u/>
      </rPr>
      <t>AdjT</t>
    </r>
  </si>
  <si>
    <r>
      <rPr>
        <rFont val="inherit"/>
        <color rgb="FF1155CC"/>
        <sz val="11.0"/>
        <u/>
      </rPr>
      <t>Luck</t>
    </r>
  </si>
  <si>
    <t>AdjEM.1</t>
  </si>
  <si>
    <t>OppO</t>
  </si>
  <si>
    <t>OppD</t>
  </si>
  <si>
    <t>AdjEM.2</t>
  </si>
  <si>
    <r>
      <rPr>
        <rFont val="inherit"/>
        <color rgb="FF1155CC"/>
        <sz val="11.0"/>
        <u/>
      </rPr>
      <t>Connecticut</t>
    </r>
    <r>
      <rPr>
        <rFont val="inherit"/>
        <sz val="11.0"/>
      </rPr>
      <t xml:space="preserve"> 1</t>
    </r>
  </si>
  <si>
    <r>
      <rPr>
        <rFont val="inherit"/>
        <color rgb="FF1155CC"/>
        <sz val="11.0"/>
        <u/>
      </rPr>
      <t>BE</t>
    </r>
  </si>
  <si>
    <t>37-3</t>
  </si>
  <si>
    <r>
      <rPr>
        <rFont val="inherit"/>
        <color rgb="FF1155CC"/>
        <sz val="11.0"/>
        <u/>
      </rPr>
      <t>Houston</t>
    </r>
    <r>
      <rPr>
        <rFont val="inherit"/>
        <sz val="11.0"/>
      </rPr>
      <t xml:space="preserve"> 1</t>
    </r>
  </si>
  <si>
    <r>
      <rPr>
        <rFont val="inherit"/>
        <color rgb="FF1155CC"/>
        <sz val="11.0"/>
        <u/>
      </rPr>
      <t>B12</t>
    </r>
  </si>
  <si>
    <t>32-5</t>
  </si>
  <si>
    <r>
      <rPr>
        <rFont val="inherit"/>
        <color rgb="FF1155CC"/>
        <sz val="11.0"/>
        <u/>
      </rPr>
      <t>Purdue</t>
    </r>
    <r>
      <rPr>
        <rFont val="inherit"/>
        <sz val="11.0"/>
      </rPr>
      <t xml:space="preserve"> 1</t>
    </r>
  </si>
  <si>
    <r>
      <rPr>
        <rFont val="inherit"/>
        <color rgb="FF1155CC"/>
        <sz val="11.0"/>
        <u/>
      </rPr>
      <t>B10</t>
    </r>
  </si>
  <si>
    <t>34-5</t>
  </si>
  <si>
    <r>
      <rPr>
        <rFont val="inherit"/>
        <color rgb="FF1155CC"/>
        <sz val="11.0"/>
        <u/>
      </rPr>
      <t>Auburn</t>
    </r>
    <r>
      <rPr>
        <rFont val="inherit"/>
        <sz val="11.0"/>
      </rPr>
      <t xml:space="preserve"> 4</t>
    </r>
  </si>
  <si>
    <r>
      <rPr>
        <rFont val="inherit"/>
        <color rgb="FF1155CC"/>
        <sz val="11.0"/>
        <u/>
      </rPr>
      <t>SEC</t>
    </r>
  </si>
  <si>
    <t>27-8</t>
  </si>
  <si>
    <r>
      <rPr>
        <rFont val="inherit"/>
        <color rgb="FF1155CC"/>
        <sz val="11.0"/>
        <u/>
      </rPr>
      <t>Tennessee</t>
    </r>
    <r>
      <rPr>
        <rFont val="inherit"/>
        <sz val="11.0"/>
      </rPr>
      <t xml:space="preserve"> 2</t>
    </r>
  </si>
  <si>
    <r>
      <rPr>
        <rFont val="inherit"/>
        <color rgb="FF1155CC"/>
        <sz val="11.0"/>
        <u/>
      </rPr>
      <t>SEC</t>
    </r>
  </si>
  <si>
    <t>27-9</t>
  </si>
  <si>
    <r>
      <rPr>
        <rFont val="inherit"/>
        <color rgb="FF1155CC"/>
        <sz val="11.0"/>
        <u/>
      </rPr>
      <t>Arizona</t>
    </r>
    <r>
      <rPr>
        <rFont val="inherit"/>
        <sz val="11.0"/>
      </rPr>
      <t xml:space="preserve"> 2</t>
    </r>
  </si>
  <si>
    <r>
      <rPr>
        <rFont val="inherit"/>
        <color rgb="FF1155CC"/>
        <sz val="11.0"/>
        <u/>
      </rPr>
      <t>P12</t>
    </r>
  </si>
  <si>
    <r>
      <rPr>
        <rFont val="inherit"/>
        <color rgb="FF1155CC"/>
        <sz val="11.0"/>
        <u/>
      </rPr>
      <t>Duke</t>
    </r>
    <r>
      <rPr>
        <rFont val="inherit"/>
        <sz val="11.0"/>
      </rPr>
      <t xml:space="preserve"> 4</t>
    </r>
  </si>
  <si>
    <r>
      <rPr>
        <rFont val="inherit"/>
        <color rgb="FF1155CC"/>
        <sz val="11.0"/>
        <u/>
      </rPr>
      <t>ACC</t>
    </r>
  </si>
  <si>
    <r>
      <rPr>
        <rFont val="inherit"/>
        <color rgb="FF1155CC"/>
        <sz val="11.0"/>
        <u/>
      </rPr>
      <t>Iowa St.</t>
    </r>
    <r>
      <rPr>
        <rFont val="inherit"/>
        <sz val="11.0"/>
      </rPr>
      <t xml:space="preserve"> 2</t>
    </r>
  </si>
  <si>
    <r>
      <rPr>
        <rFont val="inherit"/>
        <color rgb="FF1155CC"/>
        <sz val="11.0"/>
        <u/>
      </rPr>
      <t>B12</t>
    </r>
  </si>
  <si>
    <t>29-8</t>
  </si>
  <si>
    <r>
      <rPr>
        <rFont val="inherit"/>
        <color rgb="FF1155CC"/>
        <sz val="11.0"/>
        <u/>
      </rPr>
      <t>North Carolina</t>
    </r>
    <r>
      <rPr>
        <rFont val="inherit"/>
        <sz val="11.0"/>
      </rPr>
      <t xml:space="preserve"> 1</t>
    </r>
  </si>
  <si>
    <r>
      <rPr>
        <rFont val="inherit"/>
        <color rgb="FF1155CC"/>
        <sz val="11.0"/>
        <u/>
      </rPr>
      <t>ACC</t>
    </r>
  </si>
  <si>
    <r>
      <rPr>
        <rFont val="inherit"/>
        <color rgb="FF1155CC"/>
        <sz val="11.0"/>
        <u/>
      </rPr>
      <t>Illinois</t>
    </r>
    <r>
      <rPr>
        <rFont val="inherit"/>
        <sz val="11.0"/>
      </rPr>
      <t xml:space="preserve"> 3</t>
    </r>
  </si>
  <si>
    <r>
      <rPr>
        <rFont val="inherit"/>
        <color rgb="FF1155CC"/>
        <sz val="11.0"/>
        <u/>
      </rPr>
      <t>B10</t>
    </r>
  </si>
  <si>
    <t>29-9</t>
  </si>
  <si>
    <r>
      <rPr>
        <rFont val="inherit"/>
        <color rgb="FF1155CC"/>
        <sz val="11.0"/>
        <u/>
      </rPr>
      <t>Creighton</t>
    </r>
    <r>
      <rPr>
        <rFont val="inherit"/>
        <sz val="11.0"/>
      </rPr>
      <t xml:space="preserve"> 3</t>
    </r>
  </si>
  <si>
    <r>
      <rPr>
        <rFont val="inherit"/>
        <color rgb="FF1155CC"/>
        <sz val="11.0"/>
        <u/>
      </rPr>
      <t>BE</t>
    </r>
  </si>
  <si>
    <t>25-10</t>
  </si>
  <si>
    <r>
      <rPr>
        <rFont val="inherit"/>
        <color rgb="FF1155CC"/>
        <sz val="11.0"/>
        <u/>
      </rPr>
      <t>Gonzaga</t>
    </r>
    <r>
      <rPr>
        <rFont val="inherit"/>
        <sz val="11.0"/>
      </rPr>
      <t xml:space="preserve"> 5</t>
    </r>
  </si>
  <si>
    <r>
      <rPr>
        <rFont val="inherit"/>
        <color rgb="FF1155CC"/>
        <sz val="11.0"/>
        <u/>
      </rPr>
      <t>WCC</t>
    </r>
  </si>
  <si>
    <r>
      <rPr>
        <rFont val="inherit"/>
        <color rgb="FF1155CC"/>
        <sz val="11.0"/>
        <u/>
      </rPr>
      <t>Marquette</t>
    </r>
    <r>
      <rPr>
        <rFont val="inherit"/>
        <sz val="11.0"/>
      </rPr>
      <t xml:space="preserve"> 2</t>
    </r>
  </si>
  <si>
    <r>
      <rPr>
        <rFont val="inherit"/>
        <color rgb="FF1155CC"/>
        <sz val="11.0"/>
        <u/>
      </rPr>
      <t>BE</t>
    </r>
  </si>
  <si>
    <t>27-10</t>
  </si>
  <si>
    <r>
      <rPr>
        <rFont val="inherit"/>
        <color rgb="FF1155CC"/>
        <sz val="11.0"/>
        <u/>
      </rPr>
      <t>Alabama</t>
    </r>
    <r>
      <rPr>
        <rFont val="inherit"/>
        <sz val="11.0"/>
      </rPr>
      <t xml:space="preserve"> 4</t>
    </r>
  </si>
  <si>
    <r>
      <rPr>
        <rFont val="inherit"/>
        <color rgb="FF1155CC"/>
        <sz val="11.0"/>
        <u/>
      </rPr>
      <t>SEC</t>
    </r>
  </si>
  <si>
    <t>25-12</t>
  </si>
  <si>
    <r>
      <rPr>
        <rFont val="inherit"/>
        <color rgb="FF1155CC"/>
        <sz val="11.0"/>
        <u/>
      </rPr>
      <t>Baylor</t>
    </r>
    <r>
      <rPr>
        <rFont val="inherit"/>
        <sz val="11.0"/>
      </rPr>
      <t xml:space="preserve"> 3</t>
    </r>
  </si>
  <si>
    <r>
      <rPr>
        <rFont val="inherit"/>
        <color rgb="FF1155CC"/>
        <sz val="11.0"/>
        <u/>
      </rPr>
      <t>B12</t>
    </r>
  </si>
  <si>
    <t>24-11</t>
  </si>
  <si>
    <r>
      <rPr>
        <rFont val="inherit"/>
        <color rgb="FF1155CC"/>
        <sz val="11.0"/>
        <u/>
      </rPr>
      <t>Michigan St.</t>
    </r>
    <r>
      <rPr>
        <rFont val="inherit"/>
        <sz val="11.0"/>
      </rPr>
      <t xml:space="preserve"> 9</t>
    </r>
  </si>
  <si>
    <r>
      <rPr>
        <rFont val="inherit"/>
        <color rgb="FF1155CC"/>
        <sz val="11.0"/>
        <u/>
      </rPr>
      <t>B10</t>
    </r>
  </si>
  <si>
    <t>20-15</t>
  </si>
  <si>
    <r>
      <rPr>
        <rFont val="inherit"/>
        <color rgb="FF1155CC"/>
        <sz val="11.0"/>
        <u/>
      </rPr>
      <t>Wisconsin</t>
    </r>
    <r>
      <rPr>
        <rFont val="inherit"/>
        <sz val="11.0"/>
      </rPr>
      <t xml:space="preserve"> 5</t>
    </r>
  </si>
  <si>
    <r>
      <rPr>
        <rFont val="inherit"/>
        <color rgb="FF1155CC"/>
        <sz val="11.0"/>
        <u/>
      </rPr>
      <t>B10</t>
    </r>
  </si>
  <si>
    <t>22-14</t>
  </si>
  <si>
    <r>
      <rPr>
        <rFont val="inherit"/>
        <color rgb="FF1155CC"/>
        <sz val="11.0"/>
        <u/>
      </rPr>
      <t>BYU</t>
    </r>
    <r>
      <rPr>
        <rFont val="inherit"/>
        <sz val="11.0"/>
      </rPr>
      <t xml:space="preserve"> 6</t>
    </r>
  </si>
  <si>
    <r>
      <rPr>
        <rFont val="inherit"/>
        <color rgb="FF1155CC"/>
        <sz val="11.0"/>
        <u/>
      </rPr>
      <t>B12</t>
    </r>
  </si>
  <si>
    <t>23-11</t>
  </si>
  <si>
    <r>
      <rPr>
        <rFont val="inherit"/>
        <color rgb="FF1155CC"/>
        <sz val="11.0"/>
        <u/>
      </rPr>
      <t>Clemson</t>
    </r>
    <r>
      <rPr>
        <rFont val="inherit"/>
        <sz val="11.0"/>
      </rPr>
      <t xml:space="preserve"> 6</t>
    </r>
  </si>
  <si>
    <r>
      <rPr>
        <rFont val="inherit"/>
        <color rgb="FF1155CC"/>
        <sz val="11.0"/>
        <u/>
      </rPr>
      <t>ACC</t>
    </r>
  </si>
  <si>
    <t>24-12</t>
  </si>
  <si>
    <r>
      <rPr>
        <rFont val="inherit"/>
        <color rgb="FF1155CC"/>
        <sz val="11.0"/>
        <u/>
      </rPr>
      <t>Saint Mary's</t>
    </r>
    <r>
      <rPr>
        <rFont val="inherit"/>
        <sz val="11.0"/>
      </rPr>
      <t xml:space="preserve"> 5</t>
    </r>
  </si>
  <si>
    <r>
      <rPr>
        <rFont val="inherit"/>
        <color rgb="FF1155CC"/>
        <sz val="11.0"/>
        <u/>
      </rPr>
      <t>WCC</t>
    </r>
  </si>
  <si>
    <t>26-8</t>
  </si>
  <si>
    <r>
      <rPr>
        <rFont val="inherit"/>
        <color rgb="FF1155CC"/>
        <sz val="11.0"/>
        <u/>
      </rPr>
      <t>St. John's</t>
    </r>
  </si>
  <si>
    <r>
      <rPr>
        <rFont val="inherit"/>
        <color rgb="FF1155CC"/>
        <sz val="11.0"/>
        <u/>
      </rPr>
      <t>BE</t>
    </r>
  </si>
  <si>
    <t>20-13</t>
  </si>
  <si>
    <r>
      <rPr>
        <rFont val="inherit"/>
        <color rgb="FF1155CC"/>
        <sz val="11.0"/>
        <u/>
      </rPr>
      <t>San Diego St.</t>
    </r>
    <r>
      <rPr>
        <rFont val="inherit"/>
        <sz val="11.0"/>
      </rPr>
      <t xml:space="preserve"> 5</t>
    </r>
  </si>
  <si>
    <r>
      <rPr>
        <rFont val="inherit"/>
        <color rgb="FF1155CC"/>
        <sz val="11.0"/>
        <u/>
      </rPr>
      <t>MWC</t>
    </r>
  </si>
  <si>
    <t>26-11</t>
  </si>
  <si>
    <r>
      <rPr>
        <rFont val="inherit"/>
        <color rgb="FF1155CC"/>
        <sz val="11.0"/>
        <u/>
      </rPr>
      <t>Kentucky</t>
    </r>
    <r>
      <rPr>
        <rFont val="inherit"/>
        <sz val="11.0"/>
      </rPr>
      <t xml:space="preserve"> 3</t>
    </r>
  </si>
  <si>
    <r>
      <rPr>
        <rFont val="inherit"/>
        <color rgb="FF1155CC"/>
        <sz val="11.0"/>
        <u/>
      </rPr>
      <t>SEC</t>
    </r>
  </si>
  <si>
    <t>23-10</t>
  </si>
  <si>
    <r>
      <rPr>
        <rFont val="inherit"/>
        <color rgb="FF1155CC"/>
        <sz val="11.0"/>
        <u/>
      </rPr>
      <t>Colorado</t>
    </r>
    <r>
      <rPr>
        <rFont val="inherit"/>
        <sz val="11.0"/>
      </rPr>
      <t xml:space="preserve"> 10</t>
    </r>
  </si>
  <si>
    <r>
      <rPr>
        <rFont val="inherit"/>
        <color rgb="FF1155CC"/>
        <sz val="11.0"/>
        <u/>
      </rPr>
      <t>P12</t>
    </r>
  </si>
  <si>
    <r>
      <rPr>
        <rFont val="inherit"/>
        <color rgb="FF1155CC"/>
        <sz val="11.0"/>
        <u/>
      </rPr>
      <t>Texas</t>
    </r>
    <r>
      <rPr>
        <rFont val="inherit"/>
        <sz val="11.0"/>
      </rPr>
      <t xml:space="preserve"> 7</t>
    </r>
  </si>
  <si>
    <r>
      <rPr>
        <rFont val="inherit"/>
        <color rgb="FF1155CC"/>
        <sz val="11.0"/>
        <u/>
      </rPr>
      <t>B12</t>
    </r>
  </si>
  <si>
    <t>21-13</t>
  </si>
  <si>
    <r>
      <rPr>
        <rFont val="inherit"/>
        <color rgb="FF1155CC"/>
        <sz val="11.0"/>
        <u/>
      </rPr>
      <t>Florida</t>
    </r>
    <r>
      <rPr>
        <rFont val="inherit"/>
        <sz val="11.0"/>
      </rPr>
      <t xml:space="preserve"> 7</t>
    </r>
  </si>
  <si>
    <r>
      <rPr>
        <rFont val="inherit"/>
        <color rgb="FF1155CC"/>
        <sz val="11.0"/>
        <u/>
      </rPr>
      <t>SEC</t>
    </r>
  </si>
  <si>
    <r>
      <rPr>
        <rFont val="inherit"/>
        <color rgb="FF1155CC"/>
        <sz val="11.0"/>
        <u/>
      </rPr>
      <t>Kansas</t>
    </r>
    <r>
      <rPr>
        <rFont val="inherit"/>
        <sz val="11.0"/>
      </rPr>
      <t xml:space="preserve"> 4</t>
    </r>
  </si>
  <si>
    <r>
      <rPr>
        <rFont val="inherit"/>
        <color rgb="FF1155CC"/>
        <sz val="11.0"/>
        <u/>
      </rPr>
      <t>B12</t>
    </r>
  </si>
  <si>
    <r>
      <rPr>
        <rFont val="inherit"/>
        <color rgb="FF1155CC"/>
        <sz val="11.0"/>
        <u/>
      </rPr>
      <t>Wake Forest</t>
    </r>
  </si>
  <si>
    <r>
      <rPr>
        <rFont val="inherit"/>
        <color rgb="FF1155CC"/>
        <sz val="11.0"/>
        <u/>
      </rPr>
      <t>ACC</t>
    </r>
  </si>
  <si>
    <t>21-14</t>
  </si>
  <si>
    <r>
      <rPr>
        <rFont val="inherit"/>
        <color rgb="FF1155CC"/>
        <sz val="11.0"/>
        <u/>
      </rPr>
      <t>New Mexico</t>
    </r>
    <r>
      <rPr>
        <rFont val="inherit"/>
        <sz val="11.0"/>
      </rPr>
      <t xml:space="preserve"> 11</t>
    </r>
  </si>
  <si>
    <r>
      <rPr>
        <rFont val="inherit"/>
        <color rgb="FF1155CC"/>
        <sz val="11.0"/>
        <u/>
      </rPr>
      <t>MWC</t>
    </r>
  </si>
  <si>
    <t>26-10</t>
  </si>
  <si>
    <r>
      <rPr>
        <rFont val="inherit"/>
        <color rgb="FF1155CC"/>
        <sz val="11.0"/>
        <u/>
      </rPr>
      <t>Nebraska</t>
    </r>
    <r>
      <rPr>
        <rFont val="inherit"/>
        <sz val="11.0"/>
      </rPr>
      <t xml:space="preserve"> 8</t>
    </r>
  </si>
  <si>
    <r>
      <rPr>
        <rFont val="inherit"/>
        <color rgb="FF1155CC"/>
        <sz val="11.0"/>
        <u/>
      </rPr>
      <t>B10</t>
    </r>
  </si>
  <si>
    <r>
      <rPr>
        <rFont val="inherit"/>
        <color rgb="FF1155CC"/>
        <sz val="11.0"/>
        <u/>
      </rPr>
      <t>Texas Tech</t>
    </r>
    <r>
      <rPr>
        <rFont val="inherit"/>
        <sz val="11.0"/>
      </rPr>
      <t xml:space="preserve"> 6</t>
    </r>
  </si>
  <si>
    <r>
      <rPr>
        <rFont val="inherit"/>
        <color rgb="FF1155CC"/>
        <sz val="11.0"/>
        <u/>
      </rPr>
      <t>B12</t>
    </r>
  </si>
  <si>
    <r>
      <rPr>
        <rFont val="inherit"/>
        <color rgb="FF1155CC"/>
        <sz val="11.0"/>
        <u/>
      </rPr>
      <t>Dayton</t>
    </r>
    <r>
      <rPr>
        <rFont val="inherit"/>
        <sz val="11.0"/>
      </rPr>
      <t xml:space="preserve"> 7</t>
    </r>
  </si>
  <si>
    <r>
      <rPr>
        <rFont val="inherit"/>
        <color rgb="FF1155CC"/>
        <sz val="11.0"/>
        <u/>
      </rPr>
      <t>A10</t>
    </r>
  </si>
  <si>
    <t>25-8</t>
  </si>
  <si>
    <r>
      <rPr>
        <rFont val="inherit"/>
        <color rgb="FF1155CC"/>
        <sz val="11.0"/>
        <u/>
      </rPr>
      <t>Pittsburgh</t>
    </r>
  </si>
  <si>
    <r>
      <rPr>
        <rFont val="inherit"/>
        <color rgb="FF1155CC"/>
        <sz val="11.0"/>
        <u/>
      </rPr>
      <t>ACC</t>
    </r>
  </si>
  <si>
    <t>22-11</t>
  </si>
  <si>
    <r>
      <rPr>
        <rFont val="inherit"/>
        <color rgb="FF1155CC"/>
        <sz val="11.0"/>
        <u/>
      </rPr>
      <t>Mississippi St.</t>
    </r>
    <r>
      <rPr>
        <rFont val="inherit"/>
        <sz val="11.0"/>
      </rPr>
      <t xml:space="preserve"> 8</t>
    </r>
  </si>
  <si>
    <r>
      <rPr>
        <rFont val="inherit"/>
        <color rgb="FF1155CC"/>
        <sz val="11.0"/>
        <u/>
      </rPr>
      <t>SEC</t>
    </r>
  </si>
  <si>
    <r>
      <rPr>
        <rFont val="inherit"/>
        <color rgb="FF1155CC"/>
        <sz val="11.0"/>
        <u/>
      </rPr>
      <t>Texas A&amp;M</t>
    </r>
    <r>
      <rPr>
        <rFont val="inherit"/>
        <sz val="11.0"/>
      </rPr>
      <t xml:space="preserve"> 9</t>
    </r>
  </si>
  <si>
    <r>
      <rPr>
        <rFont val="inherit"/>
        <color rgb="FF1155CC"/>
        <sz val="11.0"/>
        <u/>
      </rPr>
      <t>SEC</t>
    </r>
  </si>
  <si>
    <t>21-15</t>
  </si>
  <si>
    <r>
      <rPr>
        <rFont val="inherit"/>
        <color rgb="FF1155CC"/>
        <sz val="11.0"/>
        <u/>
      </rPr>
      <t>Colorado St.</t>
    </r>
    <r>
      <rPr>
        <rFont val="inherit"/>
        <sz val="11.0"/>
      </rPr>
      <t xml:space="preserve"> 10</t>
    </r>
  </si>
  <si>
    <r>
      <rPr>
        <rFont val="inherit"/>
        <color rgb="FF1155CC"/>
        <sz val="11.0"/>
        <u/>
      </rPr>
      <t>MWC</t>
    </r>
  </si>
  <si>
    <t>25-11</t>
  </si>
  <si>
    <r>
      <rPr>
        <rFont val="inherit"/>
        <color rgb="FF1155CC"/>
        <sz val="11.0"/>
        <u/>
      </rPr>
      <t>Villanova</t>
    </r>
  </si>
  <si>
    <r>
      <rPr>
        <rFont val="inherit"/>
        <color rgb="FF1155CC"/>
        <sz val="11.0"/>
        <u/>
      </rPr>
      <t>BE</t>
    </r>
  </si>
  <si>
    <t>18-16</t>
  </si>
  <si>
    <r>
      <rPr>
        <rFont val="inherit"/>
        <color rgb="FF1155CC"/>
        <sz val="11.0"/>
        <u/>
      </rPr>
      <t>Indiana St.</t>
    </r>
  </si>
  <si>
    <r>
      <rPr>
        <rFont val="inherit"/>
        <color rgb="FF1155CC"/>
        <sz val="11.0"/>
        <u/>
      </rPr>
      <t>MVC</t>
    </r>
  </si>
  <si>
    <t>32-7</t>
  </si>
  <si>
    <r>
      <rPr>
        <rFont val="inherit"/>
        <color rgb="FF1155CC"/>
        <sz val="11.0"/>
        <u/>
      </rPr>
      <t>Cincinnati</t>
    </r>
  </si>
  <si>
    <r>
      <rPr>
        <rFont val="inherit"/>
        <color rgb="FF1155CC"/>
        <sz val="11.0"/>
        <u/>
      </rPr>
      <t>B12</t>
    </r>
  </si>
  <si>
    <t>22-15</t>
  </si>
  <si>
    <r>
      <rPr>
        <rFont val="inherit"/>
        <color rgb="FF1155CC"/>
        <sz val="11.0"/>
        <u/>
      </rPr>
      <t>Nevada</t>
    </r>
    <r>
      <rPr>
        <rFont val="inherit"/>
        <sz val="11.0"/>
      </rPr>
      <t xml:space="preserve"> 10</t>
    </r>
  </si>
  <si>
    <r>
      <rPr>
        <rFont val="inherit"/>
        <color rgb="FF1155CC"/>
        <sz val="11.0"/>
        <u/>
      </rPr>
      <t>MWC</t>
    </r>
  </si>
  <si>
    <r>
      <rPr>
        <rFont val="inherit"/>
        <color rgb="FF1155CC"/>
        <sz val="11.0"/>
        <u/>
      </rPr>
      <t>Rk</t>
    </r>
  </si>
  <si>
    <r>
      <rPr>
        <rFont val="inherit"/>
        <color rgb="FF1155CC"/>
        <sz val="11.0"/>
        <u/>
      </rPr>
      <t>Team</t>
    </r>
  </si>
  <si>
    <r>
      <rPr>
        <rFont val="inherit"/>
        <color rgb="FF1155CC"/>
        <sz val="11.0"/>
        <u/>
      </rPr>
      <t>W</t>
    </r>
    <r>
      <rPr>
        <rFont val="inherit"/>
        <sz val="11.0"/>
      </rPr>
      <t>-</t>
    </r>
    <r>
      <rPr>
        <rFont val="inherit"/>
        <color rgb="FF1155CC"/>
        <sz val="11.0"/>
        <u/>
      </rPr>
      <t>L</t>
    </r>
  </si>
  <si>
    <r>
      <rPr>
        <rFont val="inherit"/>
        <color rgb="FF1155CC"/>
        <sz val="11.0"/>
        <u/>
      </rPr>
      <t>NetRtg</t>
    </r>
  </si>
  <si>
    <r>
      <rPr>
        <rFont val="inherit"/>
        <color rgb="FF1155CC"/>
        <sz val="11.0"/>
        <u/>
      </rPr>
      <t>ORtg</t>
    </r>
  </si>
  <si>
    <r>
      <rPr>
        <rFont val="inherit"/>
        <color rgb="FF1155CC"/>
        <sz val="11.0"/>
        <u/>
      </rPr>
      <t>DRtg</t>
    </r>
  </si>
  <si>
    <r>
      <rPr>
        <rFont val="inherit"/>
        <color rgb="FF1155CC"/>
        <sz val="11.0"/>
        <u/>
      </rPr>
      <t>AdjT</t>
    </r>
  </si>
  <si>
    <r>
      <rPr>
        <rFont val="inherit"/>
        <color rgb="FF1155CC"/>
        <sz val="11.0"/>
        <u/>
      </rPr>
      <t>Luck</t>
    </r>
  </si>
  <si>
    <r>
      <rPr>
        <rFont val="inherit"/>
        <color rgb="FF1155CC"/>
        <sz val="11.0"/>
        <u/>
      </rPr>
      <t>NetRtg</t>
    </r>
  </si>
  <si>
    <r>
      <rPr>
        <rFont val="inherit"/>
        <color rgb="FF1155CC"/>
        <sz val="11.0"/>
        <u/>
      </rPr>
      <t>ORtg</t>
    </r>
  </si>
  <si>
    <r>
      <rPr>
        <rFont val="inherit"/>
        <color rgb="FF1155CC"/>
        <sz val="11.0"/>
        <u/>
      </rPr>
      <t>DRtg</t>
    </r>
  </si>
  <si>
    <r>
      <rPr>
        <rFont val="inherit"/>
        <color rgb="FF1155CC"/>
        <sz val="11.0"/>
        <u/>
      </rPr>
      <t>NetRtg</t>
    </r>
  </si>
  <si>
    <r>
      <rPr>
        <rFont val="inherit"/>
        <color rgb="FF1155CC"/>
        <sz val="11.0"/>
        <u/>
      </rPr>
      <t>Northwestern</t>
    </r>
    <r>
      <rPr>
        <rFont val="inherit"/>
        <sz val="11.0"/>
      </rPr>
      <t xml:space="preserve"> 9</t>
    </r>
  </si>
  <si>
    <r>
      <rPr>
        <rFont val="inherit"/>
        <color rgb="FF1155CC"/>
        <sz val="11.0"/>
        <u/>
      </rPr>
      <t>B10</t>
    </r>
  </si>
  <si>
    <t>22-12</t>
  </si>
  <si>
    <r>
      <rPr>
        <rFont val="inherit"/>
        <color rgb="FF1155CC"/>
        <sz val="11.0"/>
        <u/>
      </rPr>
      <t>Washington St.</t>
    </r>
    <r>
      <rPr>
        <rFont val="inherit"/>
        <sz val="11.0"/>
      </rPr>
      <t xml:space="preserve"> 7</t>
    </r>
  </si>
  <si>
    <r>
      <rPr>
        <rFont val="inherit"/>
        <color rgb="FF1155CC"/>
        <sz val="11.0"/>
        <u/>
      </rPr>
      <t>P12</t>
    </r>
  </si>
  <si>
    <r>
      <rPr>
        <rFont val="inherit"/>
        <color rgb="FF1155CC"/>
        <sz val="11.0"/>
        <u/>
      </rPr>
      <t>TCU</t>
    </r>
    <r>
      <rPr>
        <rFont val="inherit"/>
        <sz val="11.0"/>
      </rPr>
      <t xml:space="preserve"> 9</t>
    </r>
  </si>
  <si>
    <r>
      <rPr>
        <rFont val="inherit"/>
        <color rgb="FF1155CC"/>
        <sz val="11.0"/>
        <u/>
      </rPr>
      <t>B12</t>
    </r>
  </si>
  <si>
    <r>
      <rPr>
        <rFont val="inherit"/>
        <color rgb="FF1155CC"/>
        <sz val="11.0"/>
        <u/>
      </rPr>
      <t>Boise St.</t>
    </r>
    <r>
      <rPr>
        <rFont val="inherit"/>
        <sz val="11.0"/>
      </rPr>
      <t xml:space="preserve"> 10</t>
    </r>
  </si>
  <si>
    <r>
      <rPr>
        <rFont val="inherit"/>
        <color rgb="FF1155CC"/>
        <sz val="11.0"/>
        <u/>
      </rPr>
      <t>MWC</t>
    </r>
  </si>
  <si>
    <r>
      <rPr>
        <rFont val="inherit"/>
        <color rgb="FF1155CC"/>
        <sz val="11.0"/>
        <u/>
      </rPr>
      <t>N.C. State</t>
    </r>
    <r>
      <rPr>
        <rFont val="inherit"/>
        <sz val="11.0"/>
      </rPr>
      <t xml:space="preserve"> 11</t>
    </r>
  </si>
  <si>
    <r>
      <rPr>
        <rFont val="inherit"/>
        <color rgb="FF1155CC"/>
        <sz val="11.0"/>
        <u/>
      </rPr>
      <t>ACC</t>
    </r>
  </si>
  <si>
    <t>26-15</t>
  </si>
  <si>
    <r>
      <rPr>
        <rFont val="inherit"/>
        <color rgb="FF1155CC"/>
        <sz val="11.0"/>
        <u/>
      </rPr>
      <t>Oklahoma</t>
    </r>
  </si>
  <si>
    <r>
      <rPr>
        <rFont val="inherit"/>
        <color rgb="FF1155CC"/>
        <sz val="11.0"/>
        <u/>
      </rPr>
      <t>B12</t>
    </r>
  </si>
  <si>
    <t>20-12</t>
  </si>
  <si>
    <r>
      <rPr>
        <rFont val="inherit"/>
        <color rgb="FF1155CC"/>
        <sz val="11.0"/>
        <u/>
      </rPr>
      <t>Florida Atlantic</t>
    </r>
    <r>
      <rPr>
        <rFont val="inherit"/>
        <sz val="11.0"/>
      </rPr>
      <t xml:space="preserve"> 8</t>
    </r>
  </si>
  <si>
    <r>
      <rPr>
        <rFont val="inherit"/>
        <color rgb="FF1155CC"/>
        <sz val="11.0"/>
        <u/>
      </rPr>
      <t>Amer</t>
    </r>
  </si>
  <si>
    <t>25-9</t>
  </si>
  <si>
    <r>
      <rPr>
        <rFont val="inherit"/>
        <color rgb="FF1155CC"/>
        <sz val="11.0"/>
        <u/>
      </rPr>
      <t>Utah</t>
    </r>
  </si>
  <si>
    <r>
      <rPr>
        <rFont val="inherit"/>
        <color rgb="FF1155CC"/>
        <sz val="11.0"/>
        <u/>
      </rPr>
      <t>P12</t>
    </r>
  </si>
  <si>
    <r>
      <rPr>
        <rFont val="inherit"/>
        <color rgb="FF1155CC"/>
        <sz val="11.0"/>
        <u/>
      </rPr>
      <t>Ohio St.</t>
    </r>
  </si>
  <si>
    <r>
      <rPr>
        <rFont val="inherit"/>
        <color rgb="FF1155CC"/>
        <sz val="11.0"/>
        <u/>
      </rPr>
      <t>B10</t>
    </r>
  </si>
  <si>
    <r>
      <rPr>
        <rFont val="inherit"/>
        <color rgb="FF1155CC"/>
        <sz val="11.0"/>
        <u/>
      </rPr>
      <t>Seton Hall</t>
    </r>
  </si>
  <si>
    <r>
      <rPr>
        <rFont val="inherit"/>
        <color rgb="FF1155CC"/>
        <sz val="11.0"/>
        <u/>
      </rPr>
      <t>BE</t>
    </r>
  </si>
  <si>
    <r>
      <rPr>
        <rFont val="inherit"/>
        <color rgb="FF1155CC"/>
        <sz val="11.0"/>
        <u/>
      </rPr>
      <t>Utah St.</t>
    </r>
    <r>
      <rPr>
        <rFont val="inherit"/>
        <sz val="11.0"/>
      </rPr>
      <t xml:space="preserve"> 8</t>
    </r>
  </si>
  <si>
    <r>
      <rPr>
        <rFont val="inherit"/>
        <color rgb="FF1155CC"/>
        <sz val="11.0"/>
        <u/>
      </rPr>
      <t>MWC</t>
    </r>
  </si>
  <si>
    <t>28-7</t>
  </si>
  <si>
    <r>
      <rPr>
        <rFont val="inherit"/>
        <color rgb="FF1155CC"/>
        <sz val="11.0"/>
        <u/>
      </rPr>
      <t>Grand Canyon</t>
    </r>
    <r>
      <rPr>
        <rFont val="inherit"/>
        <sz val="11.0"/>
      </rPr>
      <t xml:space="preserve"> 12</t>
    </r>
  </si>
  <si>
    <r>
      <rPr>
        <rFont val="inherit"/>
        <color rgb="FF1155CC"/>
        <sz val="11.0"/>
        <u/>
      </rPr>
      <t>WAC</t>
    </r>
  </si>
  <si>
    <t>30-5</t>
  </si>
  <si>
    <r>
      <rPr>
        <rFont val="inherit"/>
        <color rgb="FF1155CC"/>
        <sz val="11.0"/>
        <u/>
      </rPr>
      <t>Drake</t>
    </r>
    <r>
      <rPr>
        <rFont val="inherit"/>
        <sz val="11.0"/>
      </rPr>
      <t xml:space="preserve"> 10</t>
    </r>
  </si>
  <si>
    <r>
      <rPr>
        <rFont val="inherit"/>
        <color rgb="FF1155CC"/>
        <sz val="11.0"/>
        <u/>
      </rPr>
      <t>MVC</t>
    </r>
  </si>
  <si>
    <r>
      <rPr>
        <rFont val="inherit"/>
        <color rgb="FF1155CC"/>
        <sz val="11.0"/>
        <u/>
      </rPr>
      <t>South Carolina</t>
    </r>
    <r>
      <rPr>
        <rFont val="inherit"/>
        <sz val="11.0"/>
      </rPr>
      <t xml:space="preserve"> 6</t>
    </r>
  </si>
  <si>
    <r>
      <rPr>
        <rFont val="inherit"/>
        <color rgb="FF1155CC"/>
        <sz val="11.0"/>
        <u/>
      </rPr>
      <t>SEC</t>
    </r>
  </si>
  <si>
    <r>
      <rPr>
        <rFont val="inherit"/>
        <color rgb="FF1155CC"/>
        <sz val="11.0"/>
        <u/>
      </rPr>
      <t>Oregon</t>
    </r>
    <r>
      <rPr>
        <rFont val="inherit"/>
        <sz val="11.0"/>
      </rPr>
      <t xml:space="preserve"> 11</t>
    </r>
  </si>
  <si>
    <r>
      <rPr>
        <rFont val="inherit"/>
        <color rgb="FF1155CC"/>
        <sz val="11.0"/>
        <u/>
      </rPr>
      <t>P12</t>
    </r>
  </si>
  <si>
    <r>
      <rPr>
        <rFont val="inherit"/>
        <color rgb="FF1155CC"/>
        <sz val="11.0"/>
        <u/>
      </rPr>
      <t>Xavier</t>
    </r>
  </si>
  <si>
    <r>
      <rPr>
        <rFont val="inherit"/>
        <color rgb="FF1155CC"/>
        <sz val="11.0"/>
        <u/>
      </rPr>
      <t>BE</t>
    </r>
  </si>
  <si>
    <t>16-18</t>
  </si>
  <si>
    <r>
      <rPr>
        <rFont val="inherit"/>
        <color rgb="FF1155CC"/>
        <sz val="11.0"/>
        <u/>
      </rPr>
      <t>Iowa</t>
    </r>
  </si>
  <si>
    <r>
      <rPr>
        <rFont val="inherit"/>
        <color rgb="FF1155CC"/>
        <sz val="11.0"/>
        <u/>
      </rPr>
      <t>B10</t>
    </r>
  </si>
  <si>
    <t>19-15</t>
  </si>
  <si>
    <r>
      <rPr>
        <rFont val="inherit"/>
        <color rgb="FF1155CC"/>
        <sz val="11.0"/>
        <u/>
      </rPr>
      <t>Virginia Tech</t>
    </r>
  </si>
  <si>
    <r>
      <rPr>
        <rFont val="inherit"/>
        <color rgb="FF1155CC"/>
        <sz val="11.0"/>
        <u/>
      </rPr>
      <t>ACC</t>
    </r>
  </si>
  <si>
    <r>
      <rPr>
        <rFont val="inherit"/>
        <color rgb="FF1155CC"/>
        <sz val="11.0"/>
        <u/>
      </rPr>
      <t>Providence</t>
    </r>
  </si>
  <si>
    <r>
      <rPr>
        <rFont val="inherit"/>
        <color rgb="FF1155CC"/>
        <sz val="11.0"/>
        <u/>
      </rPr>
      <t>BE</t>
    </r>
  </si>
  <si>
    <r>
      <rPr>
        <rFont val="inherit"/>
        <color rgb="FF1155CC"/>
        <sz val="11.0"/>
        <u/>
      </rPr>
      <t>Washington</t>
    </r>
  </si>
  <si>
    <r>
      <rPr>
        <rFont val="inherit"/>
        <color rgb="FF1155CC"/>
        <sz val="11.0"/>
        <u/>
      </rPr>
      <t>P12</t>
    </r>
  </si>
  <si>
    <t>17-15</t>
  </si>
  <si>
    <r>
      <rPr>
        <rFont val="inherit"/>
        <color rgb="FF1155CC"/>
        <sz val="11.0"/>
        <u/>
      </rPr>
      <t>Butler</t>
    </r>
  </si>
  <si>
    <r>
      <rPr>
        <rFont val="inherit"/>
        <color rgb="FF1155CC"/>
        <sz val="11.0"/>
        <u/>
      </rPr>
      <t>BE</t>
    </r>
  </si>
  <si>
    <t>18-15</t>
  </si>
  <si>
    <r>
      <rPr>
        <rFont val="inherit"/>
        <color rgb="FF1155CC"/>
        <sz val="11.0"/>
        <u/>
      </rPr>
      <t>Maryland</t>
    </r>
  </si>
  <si>
    <r>
      <rPr>
        <rFont val="inherit"/>
        <color rgb="FF1155CC"/>
        <sz val="11.0"/>
        <u/>
      </rPr>
      <t>B10</t>
    </r>
  </si>
  <si>
    <t>16-17</t>
  </si>
  <si>
    <r>
      <rPr>
        <rFont val="inherit"/>
        <color rgb="FF1155CC"/>
        <sz val="11.0"/>
        <u/>
      </rPr>
      <t>James Madison</t>
    </r>
    <r>
      <rPr>
        <rFont val="inherit"/>
        <sz val="11.0"/>
      </rPr>
      <t xml:space="preserve"> 12</t>
    </r>
  </si>
  <si>
    <r>
      <rPr>
        <rFont val="inherit"/>
        <color rgb="FF1155CC"/>
        <sz val="11.0"/>
        <u/>
      </rPr>
      <t>SB</t>
    </r>
  </si>
  <si>
    <t>32-4</t>
  </si>
  <si>
    <r>
      <rPr>
        <rFont val="inherit"/>
        <color rgb="FF1155CC"/>
        <sz val="11.0"/>
        <u/>
      </rPr>
      <t>Bradley</t>
    </r>
  </si>
  <si>
    <r>
      <rPr>
        <rFont val="inherit"/>
        <color rgb="FF1155CC"/>
        <sz val="11.0"/>
        <u/>
      </rPr>
      <t>MVC</t>
    </r>
  </si>
  <si>
    <t>23-12</t>
  </si>
  <si>
    <r>
      <rPr>
        <rFont val="inherit"/>
        <color rgb="FF1155CC"/>
        <sz val="11.0"/>
        <u/>
      </rPr>
      <t>San Francisco</t>
    </r>
  </si>
  <si>
    <r>
      <rPr>
        <rFont val="inherit"/>
        <color rgb="FF1155CC"/>
        <sz val="11.0"/>
        <u/>
      </rPr>
      <t>WCC</t>
    </r>
  </si>
  <si>
    <r>
      <rPr>
        <rFont val="inherit"/>
        <color rgb="FF1155CC"/>
        <sz val="11.0"/>
        <u/>
      </rPr>
      <t>UCF</t>
    </r>
  </si>
  <si>
    <r>
      <rPr>
        <rFont val="inherit"/>
        <color rgb="FF1155CC"/>
        <sz val="11.0"/>
        <u/>
      </rPr>
      <t>B12</t>
    </r>
  </si>
  <si>
    <t>17-16</t>
  </si>
  <si>
    <r>
      <rPr>
        <rFont val="inherit"/>
        <color rgb="FF1155CC"/>
        <sz val="11.0"/>
        <u/>
      </rPr>
      <t>McNeese St.</t>
    </r>
    <r>
      <rPr>
        <rFont val="inherit"/>
        <sz val="11.0"/>
      </rPr>
      <t xml:space="preserve"> 12</t>
    </r>
  </si>
  <si>
    <r>
      <rPr>
        <rFont val="inherit"/>
        <color rgb="FF1155CC"/>
        <sz val="11.0"/>
        <u/>
      </rPr>
      <t>Slnd</t>
    </r>
  </si>
  <si>
    <t>30-4</t>
  </si>
  <si>
    <r>
      <rPr>
        <rFont val="inherit"/>
        <color rgb="FF1155CC"/>
        <sz val="11.0"/>
        <u/>
      </rPr>
      <t>Virginia</t>
    </r>
    <r>
      <rPr>
        <rFont val="inherit"/>
        <sz val="11.0"/>
      </rPr>
      <t xml:space="preserve"> 10</t>
    </r>
  </si>
  <si>
    <r>
      <rPr>
        <rFont val="inherit"/>
        <color rgb="FF1155CC"/>
        <sz val="11.0"/>
        <u/>
      </rPr>
      <t>ACC</t>
    </r>
  </si>
  <si>
    <r>
      <rPr>
        <rFont val="inherit"/>
        <color rgb="FF1155CC"/>
        <sz val="11.0"/>
        <u/>
      </rPr>
      <t>Princeton</t>
    </r>
  </si>
  <si>
    <r>
      <rPr>
        <rFont val="inherit"/>
        <color rgb="FF1155CC"/>
        <sz val="11.0"/>
        <u/>
      </rPr>
      <t>Ivy</t>
    </r>
  </si>
  <si>
    <t>24-5</t>
  </si>
  <si>
    <r>
      <rPr>
        <rFont val="inherit"/>
        <color rgb="FF1155CC"/>
        <sz val="11.0"/>
        <u/>
      </rPr>
      <t>Kansas St.</t>
    </r>
  </si>
  <si>
    <r>
      <rPr>
        <rFont val="inherit"/>
        <color rgb="FF1155CC"/>
        <sz val="11.0"/>
        <u/>
      </rPr>
      <t>B12</t>
    </r>
  </si>
  <si>
    <r>
      <rPr>
        <rFont val="inherit"/>
        <color rgb="FF1155CC"/>
        <sz val="11.0"/>
        <u/>
      </rPr>
      <t>Boston College</t>
    </r>
  </si>
  <si>
    <r>
      <rPr>
        <rFont val="inherit"/>
        <color rgb="FF1155CC"/>
        <sz val="11.0"/>
        <u/>
      </rPr>
      <t>ACC</t>
    </r>
  </si>
  <si>
    <t>20-16</t>
  </si>
  <si>
    <r>
      <rPr>
        <rFont val="inherit"/>
        <color rgb="FF1155CC"/>
        <sz val="11.0"/>
        <u/>
      </rPr>
      <t>SMU</t>
    </r>
  </si>
  <si>
    <r>
      <rPr>
        <rFont val="inherit"/>
        <color rgb="FF1155CC"/>
        <sz val="11.0"/>
        <u/>
      </rPr>
      <t>Amer</t>
    </r>
  </si>
  <si>
    <r>
      <rPr>
        <rFont val="inherit"/>
        <color rgb="FF1155CC"/>
        <sz val="11.0"/>
        <u/>
      </rPr>
      <t>UNLV</t>
    </r>
  </si>
  <si>
    <r>
      <rPr>
        <rFont val="inherit"/>
        <color rgb="FF1155CC"/>
        <sz val="11.0"/>
        <u/>
      </rPr>
      <t>MWC</t>
    </r>
  </si>
  <si>
    <r>
      <rPr>
        <rFont val="inherit"/>
        <color rgb="FF1155CC"/>
        <sz val="11.0"/>
        <u/>
      </rPr>
      <t>North Texas</t>
    </r>
  </si>
  <si>
    <r>
      <rPr>
        <rFont val="inherit"/>
        <color rgb="FF1155CC"/>
        <sz val="11.0"/>
        <u/>
      </rPr>
      <t>Amer</t>
    </r>
  </si>
  <si>
    <r>
      <rPr>
        <rFont val="inherit"/>
        <color rgb="FF1155CC"/>
        <sz val="11.0"/>
        <u/>
      </rPr>
      <t>VCU</t>
    </r>
  </si>
  <si>
    <r>
      <rPr>
        <rFont val="inherit"/>
        <color rgb="FF1155CC"/>
        <sz val="11.0"/>
        <u/>
      </rPr>
      <t>A10</t>
    </r>
  </si>
  <si>
    <t>24-14</t>
  </si>
  <si>
    <r>
      <rPr>
        <rFont val="inherit"/>
        <color rgb="FF1155CC"/>
        <sz val="11.0"/>
        <u/>
      </rPr>
      <t>Memphis</t>
    </r>
  </si>
  <si>
    <r>
      <rPr>
        <rFont val="inherit"/>
        <color rgb="FF1155CC"/>
        <sz val="11.0"/>
        <u/>
      </rPr>
      <t>Amer</t>
    </r>
  </si>
  <si>
    <t>22-10</t>
  </si>
  <si>
    <r>
      <rPr>
        <rFont val="inherit"/>
        <color rgb="FF1155CC"/>
        <sz val="11.0"/>
        <u/>
      </rPr>
      <t>Penn St.</t>
    </r>
  </si>
  <si>
    <r>
      <rPr>
        <rFont val="inherit"/>
        <color rgb="FF1155CC"/>
        <sz val="11.0"/>
        <u/>
      </rPr>
      <t>B10</t>
    </r>
  </si>
  <si>
    <r>
      <rPr>
        <rFont val="inherit"/>
        <color rgb="FF1155CC"/>
        <sz val="11.0"/>
        <u/>
      </rPr>
      <t>Minnesota</t>
    </r>
  </si>
  <si>
    <r>
      <rPr>
        <rFont val="inherit"/>
        <color rgb="FF1155CC"/>
        <sz val="11.0"/>
        <u/>
      </rPr>
      <t>B10</t>
    </r>
  </si>
  <si>
    <r>
      <rPr>
        <rFont val="inherit"/>
        <color rgb="FF1155CC"/>
        <sz val="11.0"/>
        <u/>
      </rPr>
      <t>Florida St.</t>
    </r>
  </si>
  <si>
    <r>
      <rPr>
        <rFont val="inherit"/>
        <color rgb="FF1155CC"/>
        <sz val="11.0"/>
        <u/>
      </rPr>
      <t>ACC</t>
    </r>
  </si>
  <si>
    <r>
      <rPr>
        <rFont val="inherit"/>
        <color rgb="FF1155CC"/>
        <sz val="11.0"/>
        <u/>
      </rPr>
      <t>Syracuse</t>
    </r>
  </si>
  <si>
    <r>
      <rPr>
        <rFont val="inherit"/>
        <color rgb="FF1155CC"/>
        <sz val="11.0"/>
        <u/>
      </rPr>
      <t>ACC</t>
    </r>
  </si>
  <si>
    <r>
      <rPr>
        <rFont val="inherit"/>
        <color rgb="FF1155CC"/>
        <sz val="11.0"/>
        <u/>
      </rPr>
      <t>Rk</t>
    </r>
  </si>
  <si>
    <r>
      <rPr>
        <rFont val="inherit"/>
        <color rgb="FF1155CC"/>
        <sz val="11.0"/>
        <u/>
      </rPr>
      <t>Team</t>
    </r>
  </si>
  <si>
    <r>
      <rPr>
        <rFont val="inherit"/>
        <color rgb="FF1155CC"/>
        <sz val="11.0"/>
        <u/>
      </rPr>
      <t>W</t>
    </r>
    <r>
      <rPr>
        <rFont val="inherit"/>
        <sz val="11.0"/>
      </rPr>
      <t>-</t>
    </r>
    <r>
      <rPr>
        <rFont val="inherit"/>
        <color rgb="FF1155CC"/>
        <sz val="11.0"/>
        <u/>
      </rPr>
      <t>L</t>
    </r>
  </si>
  <si>
    <r>
      <rPr>
        <rFont val="inherit"/>
        <color rgb="FF1155CC"/>
        <sz val="11.0"/>
        <u/>
      </rPr>
      <t>NetRtg</t>
    </r>
  </si>
  <si>
    <r>
      <rPr>
        <rFont val="inherit"/>
        <color rgb="FF1155CC"/>
        <sz val="11.0"/>
        <u/>
      </rPr>
      <t>ORtg</t>
    </r>
  </si>
  <si>
    <r>
      <rPr>
        <rFont val="inherit"/>
        <color rgb="FF1155CC"/>
        <sz val="11.0"/>
        <u/>
      </rPr>
      <t>DRtg</t>
    </r>
  </si>
  <si>
    <r>
      <rPr>
        <rFont val="inherit"/>
        <color rgb="FF1155CC"/>
        <sz val="11.0"/>
        <u/>
      </rPr>
      <t>AdjT</t>
    </r>
  </si>
  <si>
    <r>
      <rPr>
        <rFont val="inherit"/>
        <color rgb="FF1155CC"/>
        <sz val="11.0"/>
        <u/>
      </rPr>
      <t>Luck</t>
    </r>
  </si>
  <si>
    <r>
      <rPr>
        <rFont val="inherit"/>
        <color rgb="FF1155CC"/>
        <sz val="11.0"/>
        <u/>
      </rPr>
      <t>NetRtg</t>
    </r>
  </si>
  <si>
    <r>
      <rPr>
        <rFont val="inherit"/>
        <color rgb="FF1155CC"/>
        <sz val="11.0"/>
        <u/>
      </rPr>
      <t>ORtg</t>
    </r>
  </si>
  <si>
    <r>
      <rPr>
        <rFont val="inherit"/>
        <color rgb="FF1155CC"/>
        <sz val="11.0"/>
        <u/>
      </rPr>
      <t>DRtg</t>
    </r>
  </si>
  <si>
    <r>
      <rPr>
        <rFont val="inherit"/>
        <color rgb="FF1155CC"/>
        <sz val="11.0"/>
        <u/>
      </rPr>
      <t>NetRtg</t>
    </r>
  </si>
  <si>
    <r>
      <rPr>
        <rFont val="inherit"/>
        <color rgb="FF1155CC"/>
        <sz val="11.0"/>
        <u/>
      </rPr>
      <t>Samford</t>
    </r>
    <r>
      <rPr>
        <rFont val="inherit"/>
        <sz val="11.0"/>
      </rPr>
      <t xml:space="preserve"> 13</t>
    </r>
  </si>
  <si>
    <r>
      <rPr>
        <rFont val="inherit"/>
        <color rgb="FF1155CC"/>
        <sz val="11.0"/>
        <u/>
      </rPr>
      <t>SC</t>
    </r>
  </si>
  <si>
    <t>29-6</t>
  </si>
  <si>
    <r>
      <rPr>
        <rFont val="inherit"/>
        <color rgb="FF1155CC"/>
        <sz val="11.0"/>
        <u/>
      </rPr>
      <t>UC Irvine</t>
    </r>
  </si>
  <si>
    <r>
      <rPr>
        <rFont val="inherit"/>
        <color rgb="FF1155CC"/>
        <sz val="11.0"/>
        <u/>
      </rPr>
      <t>BW</t>
    </r>
  </si>
  <si>
    <t>24-10</t>
  </si>
  <si>
    <r>
      <rPr>
        <rFont val="inherit"/>
        <color rgb="FF1155CC"/>
        <sz val="11.0"/>
        <u/>
      </rPr>
      <t>Appalachian St.</t>
    </r>
  </si>
  <si>
    <r>
      <rPr>
        <rFont val="inherit"/>
        <color rgb="FF1155CC"/>
        <sz val="11.0"/>
        <u/>
      </rPr>
      <t>SB</t>
    </r>
  </si>
  <si>
    <t>27-7</t>
  </si>
  <si>
    <r>
      <rPr>
        <rFont val="inherit"/>
        <color rgb="FF1155CC"/>
        <sz val="11.0"/>
        <u/>
      </rPr>
      <t>Georgia</t>
    </r>
  </si>
  <si>
    <r>
      <rPr>
        <rFont val="inherit"/>
        <color rgb="FF1155CC"/>
        <sz val="11.0"/>
        <u/>
      </rPr>
      <t>SEC</t>
    </r>
  </si>
  <si>
    <t>20-17</t>
  </si>
  <si>
    <r>
      <rPr>
        <rFont val="inherit"/>
        <color rgb="FF1155CC"/>
        <sz val="11.0"/>
        <u/>
      </rPr>
      <t>USC</t>
    </r>
  </si>
  <si>
    <r>
      <rPr>
        <rFont val="inherit"/>
        <color rgb="FF1155CC"/>
        <sz val="11.0"/>
        <u/>
      </rPr>
      <t>P12</t>
    </r>
  </si>
  <si>
    <t>15-18</t>
  </si>
  <si>
    <r>
      <rPr>
        <rFont val="inherit"/>
        <color rgb="FF1155CC"/>
        <sz val="11.0"/>
        <u/>
      </rPr>
      <t>Mississippi</t>
    </r>
  </si>
  <si>
    <r>
      <rPr>
        <rFont val="inherit"/>
        <color rgb="FF1155CC"/>
        <sz val="11.0"/>
        <u/>
      </rPr>
      <t>SEC</t>
    </r>
  </si>
  <si>
    <r>
      <rPr>
        <rFont val="inherit"/>
        <color rgb="FF1155CC"/>
        <sz val="11.0"/>
        <u/>
      </rPr>
      <t>South Florida</t>
    </r>
  </si>
  <si>
    <r>
      <rPr>
        <rFont val="inherit"/>
        <color rgb="FF1155CC"/>
        <sz val="11.0"/>
        <u/>
      </rPr>
      <t>Amer</t>
    </r>
  </si>
  <si>
    <r>
      <rPr>
        <rFont val="inherit"/>
        <color rgb="FF1155CC"/>
        <sz val="11.0"/>
        <u/>
      </rPr>
      <t>Duquesne</t>
    </r>
    <r>
      <rPr>
        <rFont val="inherit"/>
        <sz val="11.0"/>
      </rPr>
      <t xml:space="preserve"> 11</t>
    </r>
  </si>
  <si>
    <r>
      <rPr>
        <rFont val="inherit"/>
        <color rgb="FF1155CC"/>
        <sz val="11.0"/>
        <u/>
      </rPr>
      <t>A10</t>
    </r>
  </si>
  <si>
    <r>
      <rPr>
        <rFont val="inherit"/>
        <color rgb="FF1155CC"/>
        <sz val="11.0"/>
        <u/>
      </rPr>
      <t>Richmond</t>
    </r>
  </si>
  <si>
    <r>
      <rPr>
        <rFont val="inherit"/>
        <color rgb="FF1155CC"/>
        <sz val="11.0"/>
        <u/>
      </rPr>
      <t>A10</t>
    </r>
  </si>
  <si>
    <r>
      <rPr>
        <rFont val="inherit"/>
        <color rgb="FF1155CC"/>
        <sz val="11.0"/>
        <u/>
      </rPr>
      <t>Yale</t>
    </r>
    <r>
      <rPr>
        <rFont val="inherit"/>
        <sz val="11.0"/>
      </rPr>
      <t xml:space="preserve"> 13</t>
    </r>
  </si>
  <si>
    <r>
      <rPr>
        <rFont val="inherit"/>
        <color rgb="FF1155CC"/>
        <sz val="11.0"/>
        <u/>
      </rPr>
      <t>Ivy</t>
    </r>
  </si>
  <si>
    <r>
      <rPr>
        <rFont val="inherit"/>
        <color rgb="FF1155CC"/>
        <sz val="11.0"/>
        <u/>
      </rPr>
      <t>Indiana</t>
    </r>
  </si>
  <si>
    <r>
      <rPr>
        <rFont val="inherit"/>
        <color rgb="FF1155CC"/>
        <sz val="11.0"/>
        <u/>
      </rPr>
      <t>B10</t>
    </r>
  </si>
  <si>
    <t>19-14</t>
  </si>
  <si>
    <r>
      <rPr>
        <rFont val="inherit"/>
        <color rgb="FF1155CC"/>
        <sz val="11.0"/>
        <u/>
      </rPr>
      <t>Massachusetts</t>
    </r>
  </si>
  <si>
    <r>
      <rPr>
        <rFont val="inherit"/>
        <color rgb="FF1155CC"/>
        <sz val="11.0"/>
        <u/>
      </rPr>
      <t>A10</t>
    </r>
  </si>
  <si>
    <t>20-11</t>
  </si>
  <si>
    <r>
      <rPr>
        <rFont val="inherit"/>
        <color rgb="FF1155CC"/>
        <sz val="11.0"/>
        <u/>
      </rPr>
      <t>Loyola Chicago</t>
    </r>
  </si>
  <si>
    <r>
      <rPr>
        <rFont val="inherit"/>
        <color rgb="FF1155CC"/>
        <sz val="11.0"/>
        <u/>
      </rPr>
      <t>A10</t>
    </r>
  </si>
  <si>
    <r>
      <rPr>
        <rFont val="inherit"/>
        <color rgb="FF1155CC"/>
        <sz val="11.0"/>
        <u/>
      </rPr>
      <t>Louisiana Tech</t>
    </r>
  </si>
  <si>
    <r>
      <rPr>
        <rFont val="inherit"/>
        <color rgb="FF1155CC"/>
        <sz val="11.0"/>
        <u/>
      </rPr>
      <t>CUSA</t>
    </r>
  </si>
  <si>
    <r>
      <rPr>
        <rFont val="inherit"/>
        <color rgb="FF1155CC"/>
        <sz val="11.0"/>
        <u/>
      </rPr>
      <t>LSU</t>
    </r>
  </si>
  <si>
    <r>
      <rPr>
        <rFont val="inherit"/>
        <color rgb="FF1155CC"/>
        <sz val="11.0"/>
        <u/>
      </rPr>
      <t>SEC</t>
    </r>
  </si>
  <si>
    <r>
      <rPr>
        <rFont val="inherit"/>
        <color rgb="FF1155CC"/>
        <sz val="11.0"/>
        <u/>
      </rPr>
      <t>Miami FL</t>
    </r>
  </si>
  <si>
    <r>
      <rPr>
        <rFont val="inherit"/>
        <color rgb="FF1155CC"/>
        <sz val="11.0"/>
        <u/>
      </rPr>
      <t>ACC</t>
    </r>
  </si>
  <si>
    <t>15-17</t>
  </si>
  <si>
    <r>
      <rPr>
        <rFont val="inherit"/>
        <color rgb="FF1155CC"/>
        <sz val="11.0"/>
        <u/>
      </rPr>
      <t>George Mason</t>
    </r>
  </si>
  <si>
    <r>
      <rPr>
        <rFont val="inherit"/>
        <color rgb="FF1155CC"/>
        <sz val="11.0"/>
        <u/>
      </rPr>
      <t>A10</t>
    </r>
  </si>
  <si>
    <r>
      <rPr>
        <rFont val="inherit"/>
        <color rgb="FF1155CC"/>
        <sz val="11.0"/>
        <u/>
      </rPr>
      <t>UCLA</t>
    </r>
  </si>
  <si>
    <r>
      <rPr>
        <rFont val="inherit"/>
        <color rgb="FF1155CC"/>
        <sz val="11.0"/>
        <u/>
      </rPr>
      <t>P12</t>
    </r>
  </si>
  <si>
    <r>
      <rPr>
        <rFont val="inherit"/>
        <color rgb="FF1155CC"/>
        <sz val="11.0"/>
        <u/>
      </rPr>
      <t>Saint Joseph's</t>
    </r>
  </si>
  <si>
    <r>
      <rPr>
        <rFont val="inherit"/>
        <color rgb="FF1155CC"/>
        <sz val="11.0"/>
        <u/>
      </rPr>
      <t>A10</t>
    </r>
  </si>
  <si>
    <r>
      <rPr>
        <rFont val="inherit"/>
        <color rgb="FF1155CC"/>
        <sz val="11.0"/>
        <u/>
      </rPr>
      <t>Rutgers</t>
    </r>
  </si>
  <si>
    <r>
      <rPr>
        <rFont val="inherit"/>
        <color rgb="FF1155CC"/>
        <sz val="11.0"/>
        <u/>
      </rPr>
      <t>B10</t>
    </r>
  </si>
  <si>
    <r>
      <rPr>
        <rFont val="inherit"/>
        <color rgb="FF1155CC"/>
        <sz val="11.0"/>
        <u/>
      </rPr>
      <t>Charleston</t>
    </r>
    <r>
      <rPr>
        <rFont val="inherit"/>
        <sz val="11.0"/>
      </rPr>
      <t xml:space="preserve"> 13</t>
    </r>
  </si>
  <si>
    <r>
      <rPr>
        <rFont val="inherit"/>
        <color rgb="FF1155CC"/>
        <sz val="11.0"/>
        <u/>
      </rPr>
      <t>CAA</t>
    </r>
  </si>
  <si>
    <r>
      <rPr>
        <rFont val="inherit"/>
        <color rgb="FF1155CC"/>
        <sz val="11.0"/>
        <u/>
      </rPr>
      <t>St. Bonaventure</t>
    </r>
  </si>
  <si>
    <r>
      <rPr>
        <rFont val="inherit"/>
        <color rgb="FF1155CC"/>
        <sz val="11.0"/>
        <u/>
      </rPr>
      <t>A10</t>
    </r>
  </si>
  <si>
    <r>
      <rPr>
        <rFont val="inherit"/>
        <color rgb="FF1155CC"/>
        <sz val="11.0"/>
        <u/>
      </rPr>
      <t>Cornell</t>
    </r>
  </si>
  <si>
    <r>
      <rPr>
        <rFont val="inherit"/>
        <color rgb="FF1155CC"/>
        <sz val="11.0"/>
        <u/>
      </rPr>
      <t>Ivy</t>
    </r>
  </si>
  <si>
    <t>22-8</t>
  </si>
  <si>
    <r>
      <rPr>
        <rFont val="inherit"/>
        <color rgb="FF1155CC"/>
        <sz val="11.0"/>
        <u/>
      </rPr>
      <t>Vermont</t>
    </r>
    <r>
      <rPr>
        <rFont val="inherit"/>
        <sz val="11.0"/>
      </rPr>
      <t xml:space="preserve"> 13</t>
    </r>
  </si>
  <si>
    <r>
      <rPr>
        <rFont val="inherit"/>
        <color rgb="FF1155CC"/>
        <sz val="11.0"/>
        <u/>
      </rPr>
      <t>AE</t>
    </r>
  </si>
  <si>
    <r>
      <rPr>
        <rFont val="inherit"/>
        <color rgb="FF1155CC"/>
        <sz val="11.0"/>
        <u/>
      </rPr>
      <t>Stanford</t>
    </r>
  </si>
  <si>
    <r>
      <rPr>
        <rFont val="inherit"/>
        <color rgb="FF1155CC"/>
        <sz val="11.0"/>
        <u/>
      </rPr>
      <t>P12</t>
    </r>
  </si>
  <si>
    <t>14-18</t>
  </si>
  <si>
    <r>
      <rPr>
        <rFont val="inherit"/>
        <color rgb="FF1155CC"/>
        <sz val="11.0"/>
        <u/>
      </rPr>
      <t>UAB</t>
    </r>
    <r>
      <rPr>
        <rFont val="inherit"/>
        <sz val="11.0"/>
      </rPr>
      <t xml:space="preserve"> 12</t>
    </r>
  </si>
  <si>
    <r>
      <rPr>
        <rFont val="inherit"/>
        <color rgb="FF1155CC"/>
        <sz val="11.0"/>
        <u/>
      </rPr>
      <t>Amer</t>
    </r>
  </si>
  <si>
    <r>
      <rPr>
        <rFont val="inherit"/>
        <color rgb="FF1155CC"/>
        <sz val="11.0"/>
        <u/>
      </rPr>
      <t>Seattle</t>
    </r>
  </si>
  <si>
    <r>
      <rPr>
        <rFont val="inherit"/>
        <color rgb="FF1155CC"/>
        <sz val="11.0"/>
        <u/>
      </rPr>
      <t>WAC</t>
    </r>
  </si>
  <si>
    <t>23-14</t>
  </si>
  <si>
    <r>
      <rPr>
        <rFont val="inherit"/>
        <color rgb="FF1155CC"/>
        <sz val="11.0"/>
        <u/>
      </rPr>
      <t>Arkansas</t>
    </r>
  </si>
  <si>
    <r>
      <rPr>
        <rFont val="inherit"/>
        <color rgb="FF1155CC"/>
        <sz val="11.0"/>
        <u/>
      </rPr>
      <t>SEC</t>
    </r>
  </si>
  <si>
    <r>
      <rPr>
        <rFont val="inherit"/>
        <color rgb="FF1155CC"/>
        <sz val="11.0"/>
        <u/>
      </rPr>
      <t>Santa Clara</t>
    </r>
  </si>
  <si>
    <r>
      <rPr>
        <rFont val="inherit"/>
        <color rgb="FF1155CC"/>
        <sz val="11.0"/>
        <u/>
      </rPr>
      <t>WCC</t>
    </r>
  </si>
  <si>
    <r>
      <rPr>
        <rFont val="inherit"/>
        <color rgb="FF1155CC"/>
        <sz val="11.0"/>
        <u/>
      </rPr>
      <t>Western Carolina</t>
    </r>
  </si>
  <si>
    <r>
      <rPr>
        <rFont val="inherit"/>
        <color rgb="FF1155CC"/>
        <sz val="11.0"/>
        <u/>
      </rPr>
      <t>SC</t>
    </r>
  </si>
  <si>
    <r>
      <rPr>
        <rFont val="inherit"/>
        <color rgb="FF1155CC"/>
        <sz val="11.0"/>
        <u/>
      </rPr>
      <t>Northern Iowa</t>
    </r>
  </si>
  <si>
    <r>
      <rPr>
        <rFont val="inherit"/>
        <color rgb="FF1155CC"/>
        <sz val="11.0"/>
        <u/>
      </rPr>
      <t>MVC</t>
    </r>
  </si>
  <si>
    <r>
      <rPr>
        <rFont val="inherit"/>
        <color rgb="FF1155CC"/>
        <sz val="11.0"/>
        <u/>
      </rPr>
      <t>UT Arlington</t>
    </r>
  </si>
  <si>
    <r>
      <rPr>
        <rFont val="inherit"/>
        <color rgb="FF1155CC"/>
        <sz val="11.0"/>
        <u/>
      </rPr>
      <t>WAC</t>
    </r>
  </si>
  <si>
    <t>20-14</t>
  </si>
  <si>
    <r>
      <rPr>
        <rFont val="inherit"/>
        <color rgb="FF1155CC"/>
        <sz val="11.0"/>
        <u/>
      </rPr>
      <t>Hofstra</t>
    </r>
  </si>
  <si>
    <r>
      <rPr>
        <rFont val="inherit"/>
        <color rgb="FF1155CC"/>
        <sz val="11.0"/>
        <u/>
      </rPr>
      <t>CAA</t>
    </r>
  </si>
  <si>
    <r>
      <rPr>
        <rFont val="inherit"/>
        <color rgb="FF1155CC"/>
        <sz val="11.0"/>
        <u/>
      </rPr>
      <t>High Point</t>
    </r>
  </si>
  <si>
    <r>
      <rPr>
        <rFont val="inherit"/>
        <color rgb="FF1155CC"/>
        <sz val="11.0"/>
        <u/>
      </rPr>
      <t>BSth</t>
    </r>
  </si>
  <si>
    <r>
      <rPr>
        <rFont val="inherit"/>
        <color rgb="FF1155CC"/>
        <sz val="11.0"/>
        <u/>
      </rPr>
      <t>Belmont</t>
    </r>
  </si>
  <si>
    <r>
      <rPr>
        <rFont val="inherit"/>
        <color rgb="FF1155CC"/>
        <sz val="11.0"/>
        <u/>
      </rPr>
      <t>MVC</t>
    </r>
  </si>
  <si>
    <r>
      <rPr>
        <rFont val="inherit"/>
        <color rgb="FF1155CC"/>
        <sz val="11.0"/>
        <u/>
      </rPr>
      <t>Morehead St.</t>
    </r>
    <r>
      <rPr>
        <rFont val="inherit"/>
        <sz val="11.0"/>
      </rPr>
      <t xml:space="preserve"> 14</t>
    </r>
  </si>
  <si>
    <r>
      <rPr>
        <rFont val="inherit"/>
        <color rgb="FF1155CC"/>
        <sz val="11.0"/>
        <u/>
      </rPr>
      <t>OVC</t>
    </r>
  </si>
  <si>
    <t>26-9</t>
  </si>
  <si>
    <r>
      <rPr>
        <rFont val="inherit"/>
        <color rgb="FF1155CC"/>
        <sz val="11.0"/>
        <u/>
      </rPr>
      <t>Oklahoma St.</t>
    </r>
  </si>
  <si>
    <r>
      <rPr>
        <rFont val="inherit"/>
        <color rgb="FF1155CC"/>
        <sz val="11.0"/>
        <u/>
      </rPr>
      <t>B12</t>
    </r>
  </si>
  <si>
    <r>
      <rPr>
        <rFont val="inherit"/>
        <color rgb="FF1155CC"/>
        <sz val="11.0"/>
        <u/>
      </rPr>
      <t>Notre Dame</t>
    </r>
  </si>
  <si>
    <r>
      <rPr>
        <rFont val="inherit"/>
        <color rgb="FF1155CC"/>
        <sz val="11.0"/>
        <u/>
      </rPr>
      <t>ACC</t>
    </r>
  </si>
  <si>
    <t>13-20</t>
  </si>
  <si>
    <r>
      <rPr>
        <rFont val="inherit"/>
        <color rgb="FF1155CC"/>
        <sz val="11.0"/>
        <u/>
      </rPr>
      <t>UNC Wilmington</t>
    </r>
  </si>
  <si>
    <r>
      <rPr>
        <rFont val="inherit"/>
        <color rgb="FF1155CC"/>
        <sz val="11.0"/>
        <u/>
      </rPr>
      <t>CAA</t>
    </r>
  </si>
  <si>
    <t>21-10</t>
  </si>
  <si>
    <r>
      <rPr>
        <rFont val="inherit"/>
        <color rgb="FF1155CC"/>
        <sz val="11.0"/>
        <u/>
      </rPr>
      <t>Charlotte</t>
    </r>
  </si>
  <si>
    <r>
      <rPr>
        <rFont val="inherit"/>
        <color rgb="FF1155CC"/>
        <sz val="11.0"/>
        <u/>
      </rPr>
      <t>Amer</t>
    </r>
  </si>
  <si>
    <t>19-12</t>
  </si>
  <si>
    <r>
      <rPr>
        <rFont val="inherit"/>
        <color rgb="FF1155CC"/>
        <sz val="11.0"/>
        <u/>
      </rPr>
      <t>Rk</t>
    </r>
  </si>
  <si>
    <r>
      <rPr>
        <rFont val="inherit"/>
        <color rgb="FF1155CC"/>
        <sz val="11.0"/>
        <u/>
      </rPr>
      <t>Team</t>
    </r>
  </si>
  <si>
    <r>
      <rPr>
        <rFont val="inherit"/>
        <color rgb="FF1155CC"/>
        <sz val="11.0"/>
        <u/>
      </rPr>
      <t>W</t>
    </r>
    <r>
      <rPr>
        <rFont val="inherit"/>
        <sz val="11.0"/>
      </rPr>
      <t>-</t>
    </r>
    <r>
      <rPr>
        <rFont val="inherit"/>
        <color rgb="FF1155CC"/>
        <sz val="11.0"/>
        <u/>
      </rPr>
      <t>L</t>
    </r>
  </si>
  <si>
    <r>
      <rPr>
        <rFont val="inherit"/>
        <color rgb="FF1155CC"/>
        <sz val="11.0"/>
        <u/>
      </rPr>
      <t>NetRtg</t>
    </r>
  </si>
  <si>
    <r>
      <rPr>
        <rFont val="inherit"/>
        <color rgb="FF1155CC"/>
        <sz val="11.0"/>
        <u/>
      </rPr>
      <t>ORtg</t>
    </r>
  </si>
  <si>
    <r>
      <rPr>
        <rFont val="inherit"/>
        <color rgb="FF1155CC"/>
        <sz val="11.0"/>
        <u/>
      </rPr>
      <t>DRtg</t>
    </r>
  </si>
  <si>
    <r>
      <rPr>
        <rFont val="inherit"/>
        <color rgb="FF1155CC"/>
        <sz val="11.0"/>
        <u/>
      </rPr>
      <t>AdjT</t>
    </r>
  </si>
  <si>
    <r>
      <rPr>
        <rFont val="inherit"/>
        <color rgb="FF1155CC"/>
        <sz val="11.0"/>
        <u/>
      </rPr>
      <t>Luck</t>
    </r>
  </si>
  <si>
    <r>
      <rPr>
        <rFont val="inherit"/>
        <color rgb="FF1155CC"/>
        <sz val="11.0"/>
        <u/>
      </rPr>
      <t>NetRtg</t>
    </r>
  </si>
  <si>
    <r>
      <rPr>
        <rFont val="inherit"/>
        <color rgb="FF1155CC"/>
        <sz val="11.0"/>
        <u/>
      </rPr>
      <t>ORtg</t>
    </r>
  </si>
  <si>
    <r>
      <rPr>
        <rFont val="inherit"/>
        <color rgb="FF1155CC"/>
        <sz val="11.0"/>
        <u/>
      </rPr>
      <t>DRtg</t>
    </r>
  </si>
  <si>
    <r>
      <rPr>
        <rFont val="inherit"/>
        <color rgb="FF1155CC"/>
        <sz val="11.0"/>
        <u/>
      </rPr>
      <t>NetRtg</t>
    </r>
  </si>
  <si>
    <r>
      <rPr>
        <rFont val="inherit"/>
        <color rgb="FF1155CC"/>
        <sz val="11.0"/>
        <u/>
      </rPr>
      <t>California</t>
    </r>
  </si>
  <si>
    <r>
      <rPr>
        <rFont val="inherit"/>
        <color rgb="FF1155CC"/>
        <sz val="11.0"/>
        <u/>
      </rPr>
      <t>P12</t>
    </r>
  </si>
  <si>
    <t>13-19</t>
  </si>
  <si>
    <r>
      <rPr>
        <rFont val="inherit"/>
        <color rgb="FF1155CC"/>
        <sz val="11.0"/>
        <u/>
      </rPr>
      <t>Akron</t>
    </r>
    <r>
      <rPr>
        <rFont val="inherit"/>
        <sz val="11.0"/>
      </rPr>
      <t xml:space="preserve"> 14</t>
    </r>
  </si>
  <si>
    <r>
      <rPr>
        <rFont val="inherit"/>
        <color rgb="FF1155CC"/>
        <sz val="11.0"/>
        <u/>
      </rPr>
      <t>MAC</t>
    </r>
  </si>
  <si>
    <r>
      <rPr>
        <rFont val="inherit"/>
        <color rgb="FF1155CC"/>
        <sz val="11.0"/>
        <u/>
      </rPr>
      <t>Georgia Tech</t>
    </r>
  </si>
  <si>
    <r>
      <rPr>
        <rFont val="inherit"/>
        <color rgb="FF1155CC"/>
        <sz val="11.0"/>
        <u/>
      </rPr>
      <t>ACC</t>
    </r>
  </si>
  <si>
    <r>
      <rPr>
        <rFont val="inherit"/>
        <color rgb="FF1155CC"/>
        <sz val="11.0"/>
        <u/>
      </rPr>
      <t>Southern Illinois</t>
    </r>
  </si>
  <si>
    <r>
      <rPr>
        <rFont val="inherit"/>
        <color rgb="FF1155CC"/>
        <sz val="11.0"/>
        <u/>
      </rPr>
      <t>MVC</t>
    </r>
  </si>
  <si>
    <t>19-13</t>
  </si>
  <si>
    <r>
      <rPr>
        <rFont val="inherit"/>
        <color rgb="FF1155CC"/>
        <sz val="11.0"/>
        <u/>
      </rPr>
      <t>Davidson</t>
    </r>
  </si>
  <si>
    <r>
      <rPr>
        <rFont val="inherit"/>
        <color rgb="FF1155CC"/>
        <sz val="11.0"/>
        <u/>
      </rPr>
      <t>A10</t>
    </r>
  </si>
  <si>
    <r>
      <rPr>
        <rFont val="inherit"/>
        <color rgb="FF1155CC"/>
        <sz val="11.0"/>
        <u/>
      </rPr>
      <t>Drexel</t>
    </r>
  </si>
  <si>
    <r>
      <rPr>
        <rFont val="inherit"/>
        <color rgb="FF1155CC"/>
        <sz val="11.0"/>
        <u/>
      </rPr>
      <t>CAA</t>
    </r>
  </si>
  <si>
    <r>
      <rPr>
        <rFont val="inherit"/>
        <color rgb="FF1155CC"/>
        <sz val="11.0"/>
        <u/>
      </rPr>
      <t>Arizona St.</t>
    </r>
  </si>
  <si>
    <r>
      <rPr>
        <rFont val="inherit"/>
        <color rgb="FF1155CC"/>
        <sz val="11.0"/>
        <u/>
      </rPr>
      <t>P12</t>
    </r>
  </si>
  <si>
    <r>
      <rPr>
        <rFont val="inherit"/>
        <color rgb="FF1155CC"/>
        <sz val="11.0"/>
        <u/>
      </rPr>
      <t>Michigan</t>
    </r>
  </si>
  <si>
    <r>
      <rPr>
        <rFont val="inherit"/>
        <color rgb="FF1155CC"/>
        <sz val="11.0"/>
        <u/>
      </rPr>
      <t>B10</t>
    </r>
  </si>
  <si>
    <r>
      <rPr>
        <rFont val="inherit"/>
        <color rgb="FF1155CC"/>
        <sz val="11.0"/>
        <u/>
      </rPr>
      <t>Tarleton St.</t>
    </r>
  </si>
  <si>
    <r>
      <rPr>
        <rFont val="inherit"/>
        <color rgb="FF1155CC"/>
        <sz val="11.0"/>
        <u/>
      </rPr>
      <t>WAC</t>
    </r>
  </si>
  <si>
    <r>
      <rPr>
        <rFont val="inherit"/>
        <color rgb="FF1155CC"/>
        <sz val="11.0"/>
        <u/>
      </rPr>
      <t>UC San Diego</t>
    </r>
  </si>
  <si>
    <r>
      <rPr>
        <rFont val="inherit"/>
        <color rgb="FF1155CC"/>
        <sz val="11.0"/>
        <u/>
      </rPr>
      <t>BW</t>
    </r>
  </si>
  <si>
    <t>21-12</t>
  </si>
  <si>
    <r>
      <rPr>
        <rFont val="inherit"/>
        <color rgb="FF1155CC"/>
        <sz val="11.0"/>
        <u/>
      </rPr>
      <t>Oakland</t>
    </r>
    <r>
      <rPr>
        <rFont val="inherit"/>
        <sz val="11.0"/>
      </rPr>
      <t xml:space="preserve"> 14</t>
    </r>
  </si>
  <si>
    <r>
      <rPr>
        <rFont val="inherit"/>
        <color rgb="FF1155CC"/>
        <sz val="11.0"/>
        <u/>
      </rPr>
      <t>Horz</t>
    </r>
  </si>
  <si>
    <r>
      <rPr>
        <rFont val="inherit"/>
        <color rgb="FF1155CC"/>
        <sz val="11.0"/>
        <u/>
      </rPr>
      <t>Troy</t>
    </r>
  </si>
  <si>
    <r>
      <rPr>
        <rFont val="inherit"/>
        <color rgb="FF1155CC"/>
        <sz val="11.0"/>
        <u/>
      </rPr>
      <t>SB</t>
    </r>
  </si>
  <si>
    <r>
      <rPr>
        <rFont val="inherit"/>
        <color rgb="FF1155CC"/>
        <sz val="11.0"/>
        <u/>
      </rPr>
      <t>Arkansas St.</t>
    </r>
  </si>
  <si>
    <r>
      <rPr>
        <rFont val="inherit"/>
        <color rgb="FF1155CC"/>
        <sz val="11.0"/>
        <u/>
      </rPr>
      <t>SB</t>
    </r>
  </si>
  <si>
    <r>
      <rPr>
        <rFont val="inherit"/>
        <color rgb="FF1155CC"/>
        <sz val="11.0"/>
        <u/>
      </rPr>
      <t>Youngstown St.</t>
    </r>
  </si>
  <si>
    <r>
      <rPr>
        <rFont val="inherit"/>
        <color rgb="FF1155CC"/>
        <sz val="11.0"/>
        <u/>
      </rPr>
      <t>Horz</t>
    </r>
  </si>
  <si>
    <r>
      <rPr>
        <rFont val="inherit"/>
        <color rgb="FF1155CC"/>
        <sz val="11.0"/>
        <u/>
      </rPr>
      <t>Western Kentucky</t>
    </r>
    <r>
      <rPr>
        <rFont val="inherit"/>
        <sz val="11.0"/>
      </rPr>
      <t xml:space="preserve"> 15</t>
    </r>
  </si>
  <si>
    <r>
      <rPr>
        <rFont val="inherit"/>
        <color rgb="FF1155CC"/>
        <sz val="11.0"/>
        <u/>
      </rPr>
      <t>CUSA</t>
    </r>
  </si>
  <si>
    <r>
      <rPr>
        <rFont val="inherit"/>
        <color rgb="FF1155CC"/>
        <sz val="11.0"/>
        <u/>
      </rPr>
      <t>Tulane</t>
    </r>
  </si>
  <si>
    <r>
      <rPr>
        <rFont val="inherit"/>
        <color rgb="FF1155CC"/>
        <sz val="11.0"/>
        <u/>
      </rPr>
      <t>Amer</t>
    </r>
  </si>
  <si>
    <t>14-17</t>
  </si>
  <si>
    <r>
      <rPr>
        <rFont val="inherit"/>
        <color rgb="FF1155CC"/>
        <sz val="11.0"/>
        <u/>
      </rPr>
      <t>Liberty</t>
    </r>
  </si>
  <si>
    <r>
      <rPr>
        <rFont val="inherit"/>
        <color rgb="FF1155CC"/>
        <sz val="11.0"/>
        <u/>
      </rPr>
      <t>CUSA</t>
    </r>
  </si>
  <si>
    <t>18-14</t>
  </si>
  <si>
    <r>
      <rPr>
        <rFont val="inherit"/>
        <color rgb="FF1155CC"/>
        <sz val="11.0"/>
        <u/>
      </rPr>
      <t>South Dakota St.</t>
    </r>
    <r>
      <rPr>
        <rFont val="inherit"/>
        <sz val="11.0"/>
      </rPr>
      <t xml:space="preserve"> 15</t>
    </r>
  </si>
  <si>
    <r>
      <rPr>
        <rFont val="inherit"/>
        <color rgb="FF1155CC"/>
        <sz val="11.0"/>
        <u/>
      </rPr>
      <t>Sum</t>
    </r>
  </si>
  <si>
    <t>22-13</t>
  </si>
  <si>
    <r>
      <rPr>
        <rFont val="inherit"/>
        <color rgb="FF1155CC"/>
        <sz val="11.0"/>
        <u/>
      </rPr>
      <t>Toledo</t>
    </r>
  </si>
  <si>
    <r>
      <rPr>
        <rFont val="inherit"/>
        <color rgb="FF1155CC"/>
        <sz val="11.0"/>
        <u/>
      </rPr>
      <t>MAC</t>
    </r>
  </si>
  <si>
    <r>
      <rPr>
        <rFont val="inherit"/>
        <color rgb="FF1155CC"/>
        <sz val="11.0"/>
        <u/>
      </rPr>
      <t>Chattanooga</t>
    </r>
  </si>
  <si>
    <r>
      <rPr>
        <rFont val="inherit"/>
        <color rgb="FF1155CC"/>
        <sz val="11.0"/>
        <u/>
      </rPr>
      <t>SC</t>
    </r>
  </si>
  <si>
    <r>
      <rPr>
        <rFont val="inherit"/>
        <color rgb="FF1155CC"/>
        <sz val="11.0"/>
        <u/>
      </rPr>
      <t>Furman</t>
    </r>
  </si>
  <si>
    <r>
      <rPr>
        <rFont val="inherit"/>
        <color rgb="FF1155CC"/>
        <sz val="11.0"/>
        <u/>
      </rPr>
      <t>SC</t>
    </r>
  </si>
  <si>
    <r>
      <rPr>
        <rFont val="inherit"/>
        <color rgb="FF1155CC"/>
        <sz val="11.0"/>
        <u/>
      </rPr>
      <t>Sam Houston St.</t>
    </r>
  </si>
  <si>
    <r>
      <rPr>
        <rFont val="inherit"/>
        <color rgb="FF1155CC"/>
        <sz val="11.0"/>
        <u/>
      </rPr>
      <t>CUSA</t>
    </r>
  </si>
  <si>
    <r>
      <rPr>
        <rFont val="inherit"/>
        <color rgb="FF1155CC"/>
        <sz val="11.0"/>
        <u/>
      </rPr>
      <t>Ohio</t>
    </r>
  </si>
  <si>
    <r>
      <rPr>
        <rFont val="inherit"/>
        <color rgb="FF1155CC"/>
        <sz val="11.0"/>
        <u/>
      </rPr>
      <t>MAC</t>
    </r>
  </si>
  <si>
    <r>
      <rPr>
        <rFont val="inherit"/>
        <color rgb="FF1155CC"/>
        <sz val="11.0"/>
        <u/>
      </rPr>
      <t>West Virginia</t>
    </r>
  </si>
  <si>
    <r>
      <rPr>
        <rFont val="inherit"/>
        <color rgb="FF1155CC"/>
        <sz val="11.0"/>
        <u/>
      </rPr>
      <t>B12</t>
    </r>
  </si>
  <si>
    <r>
      <rPr>
        <rFont val="inherit"/>
        <color rgb="FF1155CC"/>
        <sz val="11.0"/>
        <u/>
      </rPr>
      <t>Missouri</t>
    </r>
  </si>
  <si>
    <r>
      <rPr>
        <rFont val="inherit"/>
        <color rgb="FF1155CC"/>
        <sz val="11.0"/>
        <u/>
      </rPr>
      <t>SEC</t>
    </r>
  </si>
  <si>
    <r>
      <rPr>
        <rFont val="inherit"/>
        <color rgb="FF1155CC"/>
        <sz val="11.0"/>
        <u/>
      </rPr>
      <t>Towson</t>
    </r>
  </si>
  <si>
    <r>
      <rPr>
        <rFont val="inherit"/>
        <color rgb="FF1155CC"/>
        <sz val="11.0"/>
        <u/>
      </rPr>
      <t>CAA</t>
    </r>
  </si>
  <si>
    <r>
      <rPr>
        <rFont val="inherit"/>
        <color rgb="FF1155CC"/>
        <sz val="11.0"/>
        <u/>
      </rPr>
      <t>UNC Greensboro</t>
    </r>
  </si>
  <si>
    <r>
      <rPr>
        <rFont val="inherit"/>
        <color rgb="FF1155CC"/>
        <sz val="11.0"/>
        <u/>
      </rPr>
      <t>SC</t>
    </r>
  </si>
  <si>
    <t>21-11</t>
  </si>
  <si>
    <r>
      <rPr>
        <rFont val="inherit"/>
        <color rgb="FF1155CC"/>
        <sz val="11.0"/>
        <u/>
      </rPr>
      <t>St. Thomas</t>
    </r>
  </si>
  <si>
    <r>
      <rPr>
        <rFont val="inherit"/>
        <color rgb="FF1155CC"/>
        <sz val="11.0"/>
        <u/>
      </rPr>
      <t>Sum</t>
    </r>
  </si>
  <si>
    <r>
      <rPr>
        <rFont val="inherit"/>
        <color rgb="FF1155CC"/>
        <sz val="11.0"/>
        <u/>
      </rPr>
      <t>Missouri St.</t>
    </r>
  </si>
  <si>
    <r>
      <rPr>
        <rFont val="inherit"/>
        <color rgb="FF1155CC"/>
        <sz val="11.0"/>
        <u/>
      </rPr>
      <t>MVC</t>
    </r>
  </si>
  <si>
    <r>
      <rPr>
        <rFont val="inherit"/>
        <color rgb="FF1155CC"/>
        <sz val="11.0"/>
        <u/>
      </rPr>
      <t>Colgate</t>
    </r>
    <r>
      <rPr>
        <rFont val="inherit"/>
        <sz val="11.0"/>
      </rPr>
      <t xml:space="preserve"> 14</t>
    </r>
  </si>
  <si>
    <r>
      <rPr>
        <rFont val="inherit"/>
        <color rgb="FF1155CC"/>
        <sz val="11.0"/>
        <u/>
      </rPr>
      <t>Pat</t>
    </r>
  </si>
  <si>
    <r>
      <rPr>
        <rFont val="inherit"/>
        <color rgb="FF1155CC"/>
        <sz val="11.0"/>
        <u/>
      </rPr>
      <t>Louisiana</t>
    </r>
  </si>
  <si>
    <r>
      <rPr>
        <rFont val="inherit"/>
        <color rgb="FF1155CC"/>
        <sz val="11.0"/>
        <u/>
      </rPr>
      <t>SB</t>
    </r>
  </si>
  <si>
    <r>
      <rPr>
        <rFont val="inherit"/>
        <color rgb="FF1155CC"/>
        <sz val="11.0"/>
        <u/>
      </rPr>
      <t>Eastern Washington</t>
    </r>
  </si>
  <si>
    <r>
      <rPr>
        <rFont val="inherit"/>
        <color rgb="FF1155CC"/>
        <sz val="11.0"/>
        <u/>
      </rPr>
      <t>BSky</t>
    </r>
  </si>
  <si>
    <r>
      <rPr>
        <rFont val="inherit"/>
        <color rgb="FF1155CC"/>
        <sz val="11.0"/>
        <u/>
      </rPr>
      <t>UMass Lowell</t>
    </r>
  </si>
  <si>
    <r>
      <rPr>
        <rFont val="inherit"/>
        <color rgb="FF1155CC"/>
        <sz val="11.0"/>
        <u/>
      </rPr>
      <t>AE</t>
    </r>
  </si>
  <si>
    <r>
      <rPr>
        <rFont val="inherit"/>
        <color rgb="FF1155CC"/>
        <sz val="11.0"/>
        <u/>
      </rPr>
      <t>Wichita St.</t>
    </r>
  </si>
  <si>
    <r>
      <rPr>
        <rFont val="inherit"/>
        <color rgb="FF1155CC"/>
        <sz val="11.0"/>
        <u/>
      </rPr>
      <t>Amer</t>
    </r>
  </si>
  <si>
    <t>15-19</t>
  </si>
  <si>
    <r>
      <rPr>
        <rFont val="inherit"/>
        <color rgb="FF1155CC"/>
        <sz val="11.0"/>
        <u/>
      </rPr>
      <t>Oregon St.</t>
    </r>
  </si>
  <si>
    <r>
      <rPr>
        <rFont val="inherit"/>
        <color rgb="FF1155CC"/>
        <sz val="11.0"/>
        <u/>
      </rPr>
      <t>P12</t>
    </r>
  </si>
  <si>
    <r>
      <rPr>
        <rFont val="inherit"/>
        <color rgb="FF1155CC"/>
        <sz val="11.0"/>
        <u/>
      </rPr>
      <t>Weber St.</t>
    </r>
  </si>
  <si>
    <r>
      <rPr>
        <rFont val="inherit"/>
        <color rgb="FF1155CC"/>
        <sz val="11.0"/>
        <u/>
      </rPr>
      <t>BSky</t>
    </r>
  </si>
  <si>
    <r>
      <rPr>
        <rFont val="inherit"/>
        <color rgb="FF1155CC"/>
        <sz val="11.0"/>
        <u/>
      </rPr>
      <t>Purdue Fort Wayne</t>
    </r>
  </si>
  <si>
    <r>
      <rPr>
        <rFont val="inherit"/>
        <color rgb="FF1155CC"/>
        <sz val="11.0"/>
        <u/>
      </rPr>
      <t>Horz</t>
    </r>
  </si>
  <si>
    <t>23-13</t>
  </si>
  <si>
    <r>
      <rPr>
        <rFont val="inherit"/>
        <color rgb="FF1155CC"/>
        <sz val="11.0"/>
        <u/>
      </rPr>
      <t>Wright St.</t>
    </r>
  </si>
  <si>
    <r>
      <rPr>
        <rFont val="inherit"/>
        <color rgb="FF1155CC"/>
        <sz val="11.0"/>
        <u/>
      </rPr>
      <t>Horz</t>
    </r>
  </si>
  <si>
    <r>
      <rPr>
        <rFont val="inherit"/>
        <color rgb="FF1155CC"/>
        <sz val="11.0"/>
        <u/>
      </rPr>
      <t>Wyoming</t>
    </r>
  </si>
  <si>
    <r>
      <rPr>
        <rFont val="inherit"/>
        <color rgb="FF1155CC"/>
        <sz val="11.0"/>
        <u/>
      </rPr>
      <t>MWC</t>
    </r>
  </si>
  <si>
    <r>
      <rPr>
        <rFont val="inherit"/>
        <color rgb="FF1155CC"/>
        <sz val="11.0"/>
        <u/>
      </rPr>
      <t>Murray St.</t>
    </r>
  </si>
  <si>
    <r>
      <rPr>
        <rFont val="inherit"/>
        <color rgb="FF1155CC"/>
        <sz val="11.0"/>
        <u/>
      </rPr>
      <t>MVC</t>
    </r>
  </si>
  <si>
    <r>
      <rPr>
        <rFont val="inherit"/>
        <color rgb="FF1155CC"/>
        <sz val="11.0"/>
        <u/>
      </rPr>
      <t>Rk</t>
    </r>
  </si>
  <si>
    <r>
      <rPr>
        <rFont val="inherit"/>
        <color rgb="FF1155CC"/>
        <sz val="11.0"/>
        <u/>
      </rPr>
      <t>Team</t>
    </r>
  </si>
  <si>
    <r>
      <rPr>
        <rFont val="inherit"/>
        <color rgb="FF1155CC"/>
        <sz val="11.0"/>
        <u/>
      </rPr>
      <t>W</t>
    </r>
    <r>
      <rPr>
        <rFont val="inherit"/>
        <sz val="11.0"/>
      </rPr>
      <t>-</t>
    </r>
    <r>
      <rPr>
        <rFont val="inherit"/>
        <color rgb="FF1155CC"/>
        <sz val="11.0"/>
        <u/>
      </rPr>
      <t>L</t>
    </r>
  </si>
  <si>
    <r>
      <rPr>
        <rFont val="inherit"/>
        <color rgb="FF1155CC"/>
        <sz val="11.0"/>
        <u/>
      </rPr>
      <t>NetRtg</t>
    </r>
  </si>
  <si>
    <r>
      <rPr>
        <rFont val="inherit"/>
        <color rgb="FF1155CC"/>
        <sz val="11.0"/>
        <u/>
      </rPr>
      <t>ORtg</t>
    </r>
  </si>
  <si>
    <r>
      <rPr>
        <rFont val="inherit"/>
        <color rgb="FF1155CC"/>
        <sz val="11.0"/>
        <u/>
      </rPr>
      <t>DRtg</t>
    </r>
  </si>
  <si>
    <r>
      <rPr>
        <rFont val="inherit"/>
        <color rgb="FF1155CC"/>
        <sz val="11.0"/>
        <u/>
      </rPr>
      <t>AdjT</t>
    </r>
  </si>
  <si>
    <r>
      <rPr>
        <rFont val="inherit"/>
        <color rgb="FF1155CC"/>
        <sz val="11.0"/>
        <u/>
      </rPr>
      <t>Luck</t>
    </r>
  </si>
  <si>
    <r>
      <rPr>
        <rFont val="inherit"/>
        <color rgb="FF1155CC"/>
        <sz val="11.0"/>
        <u/>
      </rPr>
      <t>NetRtg</t>
    </r>
  </si>
  <si>
    <r>
      <rPr>
        <rFont val="inherit"/>
        <color rgb="FF1155CC"/>
        <sz val="11.0"/>
        <u/>
      </rPr>
      <t>ORtg</t>
    </r>
  </si>
  <si>
    <r>
      <rPr>
        <rFont val="inherit"/>
        <color rgb="FF1155CC"/>
        <sz val="11.0"/>
        <u/>
      </rPr>
      <t>DRtg</t>
    </r>
  </si>
  <si>
    <r>
      <rPr>
        <rFont val="inherit"/>
        <color rgb="FF1155CC"/>
        <sz val="11.0"/>
        <u/>
      </rPr>
      <t>NetRtg</t>
    </r>
  </si>
  <si>
    <r>
      <rPr>
        <rFont val="inherit"/>
        <color rgb="FF1155CC"/>
        <sz val="11.0"/>
        <u/>
      </rPr>
      <t>Longwood</t>
    </r>
    <r>
      <rPr>
        <rFont val="inherit"/>
        <sz val="11.0"/>
      </rPr>
      <t xml:space="preserve"> 16</t>
    </r>
  </si>
  <si>
    <r>
      <rPr>
        <rFont val="inherit"/>
        <color rgb="FF1155CC"/>
        <sz val="11.0"/>
        <u/>
      </rPr>
      <t>BSth</t>
    </r>
  </si>
  <si>
    <r>
      <rPr>
        <rFont val="inherit"/>
        <color rgb="FF1155CC"/>
        <sz val="11.0"/>
        <u/>
      </rPr>
      <t>Utah Valley</t>
    </r>
  </si>
  <si>
    <r>
      <rPr>
        <rFont val="inherit"/>
        <color rgb="FF1155CC"/>
        <sz val="11.0"/>
        <u/>
      </rPr>
      <t>WAC</t>
    </r>
  </si>
  <si>
    <t>16-16</t>
  </si>
  <si>
    <r>
      <rPr>
        <rFont val="inherit"/>
        <color rgb="FF1155CC"/>
        <sz val="11.0"/>
        <u/>
      </rPr>
      <t>Montana</t>
    </r>
  </si>
  <si>
    <r>
      <rPr>
        <rFont val="inherit"/>
        <color rgb="FF1155CC"/>
        <sz val="11.0"/>
        <u/>
      </rPr>
      <t>BSky</t>
    </r>
  </si>
  <si>
    <r>
      <rPr>
        <rFont val="inherit"/>
        <color rgb="FF1155CC"/>
        <sz val="11.0"/>
        <u/>
      </rPr>
      <t>UNC Asheville</t>
    </r>
  </si>
  <si>
    <r>
      <rPr>
        <rFont val="inherit"/>
        <color rgb="FF1155CC"/>
        <sz val="11.0"/>
        <u/>
      </rPr>
      <t>BSth</t>
    </r>
  </si>
  <si>
    <r>
      <rPr>
        <rFont val="inherit"/>
        <color rgb="FF1155CC"/>
        <sz val="11.0"/>
        <u/>
      </rPr>
      <t>Long Beach St.</t>
    </r>
    <r>
      <rPr>
        <rFont val="inherit"/>
        <sz val="11.0"/>
      </rPr>
      <t xml:space="preserve"> 15</t>
    </r>
  </si>
  <si>
    <r>
      <rPr>
        <rFont val="inherit"/>
        <color rgb="FF1155CC"/>
        <sz val="11.0"/>
        <u/>
      </rPr>
      <t>BW</t>
    </r>
  </si>
  <si>
    <r>
      <rPr>
        <rFont val="inherit"/>
        <color rgb="FF1155CC"/>
        <sz val="11.0"/>
        <u/>
      </rPr>
      <t>Lipscomb</t>
    </r>
  </si>
  <si>
    <r>
      <rPr>
        <rFont val="inherit"/>
        <color rgb="FF1155CC"/>
        <sz val="11.0"/>
        <u/>
      </rPr>
      <t>ASun</t>
    </r>
  </si>
  <si>
    <r>
      <rPr>
        <rFont val="inherit"/>
        <color rgb="FF1155CC"/>
        <sz val="11.0"/>
        <u/>
      </rPr>
      <t>Hawaii</t>
    </r>
  </si>
  <si>
    <r>
      <rPr>
        <rFont val="inherit"/>
        <color rgb="FF1155CC"/>
        <sz val="11.0"/>
        <u/>
      </rPr>
      <t>BW</t>
    </r>
  </si>
  <si>
    <r>
      <rPr>
        <rFont val="inherit"/>
        <color rgb="FF1155CC"/>
        <sz val="11.0"/>
        <u/>
      </rPr>
      <t>Stony Brook</t>
    </r>
  </si>
  <si>
    <r>
      <rPr>
        <rFont val="inherit"/>
        <color rgb="FF1155CC"/>
        <sz val="11.0"/>
        <u/>
      </rPr>
      <t>CAA</t>
    </r>
  </si>
  <si>
    <r>
      <rPr>
        <rFont val="inherit"/>
        <color rgb="FF1155CC"/>
        <sz val="11.0"/>
        <u/>
      </rPr>
      <t>Delaware</t>
    </r>
  </si>
  <si>
    <r>
      <rPr>
        <rFont val="inherit"/>
        <color rgb="FF1155CC"/>
        <sz val="11.0"/>
        <u/>
      </rPr>
      <t>CAA</t>
    </r>
  </si>
  <si>
    <r>
      <rPr>
        <rFont val="inherit"/>
        <color rgb="FF1155CC"/>
        <sz val="11.0"/>
        <u/>
      </rPr>
      <t>Stephen F. Austin</t>
    </r>
  </si>
  <si>
    <r>
      <rPr>
        <rFont val="inherit"/>
        <color rgb="FF1155CC"/>
        <sz val="11.0"/>
        <u/>
      </rPr>
      <t>WAC</t>
    </r>
  </si>
  <si>
    <r>
      <rPr>
        <rFont val="inherit"/>
        <color rgb="FF1155CC"/>
        <sz val="11.0"/>
        <u/>
      </rPr>
      <t>Kent St.</t>
    </r>
  </si>
  <si>
    <r>
      <rPr>
        <rFont val="inherit"/>
        <color rgb="FF1155CC"/>
        <sz val="11.0"/>
        <u/>
      </rPr>
      <t>MAC</t>
    </r>
  </si>
  <si>
    <t>17-17</t>
  </si>
  <si>
    <r>
      <rPr>
        <rFont val="inherit"/>
        <color rgb="FF1155CC"/>
        <sz val="11.0"/>
        <u/>
      </rPr>
      <t>Quinnipiac</t>
    </r>
  </si>
  <si>
    <r>
      <rPr>
        <rFont val="inherit"/>
        <color rgb="FF1155CC"/>
        <sz val="11.0"/>
        <u/>
      </rPr>
      <t>MAAC</t>
    </r>
  </si>
  <si>
    <r>
      <rPr>
        <rFont val="inherit"/>
        <color rgb="FF1155CC"/>
        <sz val="11.0"/>
        <u/>
      </rPr>
      <t>Bryant</t>
    </r>
  </si>
  <si>
    <r>
      <rPr>
        <rFont val="inherit"/>
        <color rgb="FF1155CC"/>
        <sz val="11.0"/>
        <u/>
      </rPr>
      <t>AE</t>
    </r>
  </si>
  <si>
    <r>
      <rPr>
        <rFont val="inherit"/>
        <color rgb="FF1155CC"/>
        <sz val="11.0"/>
        <u/>
      </rPr>
      <t>East Tennessee St.</t>
    </r>
  </si>
  <si>
    <r>
      <rPr>
        <rFont val="inherit"/>
        <color rgb="FF1155CC"/>
        <sz val="11.0"/>
        <u/>
      </rPr>
      <t>SC</t>
    </r>
  </si>
  <si>
    <t>19-16</t>
  </si>
  <si>
    <r>
      <rPr>
        <rFont val="inherit"/>
        <color rgb="FF1155CC"/>
        <sz val="11.0"/>
        <u/>
      </rPr>
      <t>Fairfield</t>
    </r>
  </si>
  <si>
    <r>
      <rPr>
        <rFont val="inherit"/>
        <color rgb="FF1155CC"/>
        <sz val="11.0"/>
        <u/>
      </rPr>
      <t>MAAC</t>
    </r>
  </si>
  <si>
    <t>24-13</t>
  </si>
  <si>
    <r>
      <rPr>
        <rFont val="inherit"/>
        <color rgb="FF1155CC"/>
        <sz val="11.0"/>
        <u/>
      </rPr>
      <t>Winthrop</t>
    </r>
  </si>
  <si>
    <r>
      <rPr>
        <rFont val="inherit"/>
        <color rgb="FF1155CC"/>
        <sz val="11.0"/>
        <u/>
      </rPr>
      <t>BSth</t>
    </r>
  </si>
  <si>
    <r>
      <rPr>
        <rFont val="inherit"/>
        <color rgb="FF1155CC"/>
        <sz val="11.0"/>
        <u/>
      </rPr>
      <t>UC Davis</t>
    </r>
  </si>
  <si>
    <r>
      <rPr>
        <rFont val="inherit"/>
        <color rgb="FF1155CC"/>
        <sz val="11.0"/>
        <u/>
      </rPr>
      <t>BW</t>
    </r>
  </si>
  <si>
    <r>
      <rPr>
        <rFont val="inherit"/>
        <color rgb="FF1155CC"/>
        <sz val="11.0"/>
        <u/>
      </rPr>
      <t>UTEP</t>
    </r>
  </si>
  <si>
    <r>
      <rPr>
        <rFont val="inherit"/>
        <color rgb="FF1155CC"/>
        <sz val="11.0"/>
        <u/>
      </rPr>
      <t>CUSA</t>
    </r>
  </si>
  <si>
    <r>
      <rPr>
        <rFont val="inherit"/>
        <color rgb="FF1155CC"/>
        <sz val="11.0"/>
        <u/>
      </rPr>
      <t>Illinois St.</t>
    </r>
  </si>
  <si>
    <r>
      <rPr>
        <rFont val="inherit"/>
        <color rgb="FF1155CC"/>
        <sz val="11.0"/>
        <u/>
      </rPr>
      <t>MVC</t>
    </r>
  </si>
  <si>
    <r>
      <rPr>
        <rFont val="inherit"/>
        <color rgb="FF1155CC"/>
        <sz val="11.0"/>
        <u/>
      </rPr>
      <t>Texas St.</t>
    </r>
  </si>
  <si>
    <r>
      <rPr>
        <rFont val="inherit"/>
        <color rgb="FF1155CC"/>
        <sz val="11.0"/>
        <u/>
      </rPr>
      <t>SB</t>
    </r>
  </si>
  <si>
    <t>17-18</t>
  </si>
  <si>
    <r>
      <rPr>
        <rFont val="inherit"/>
        <color rgb="FF1155CC"/>
        <sz val="11.0"/>
        <u/>
      </rPr>
      <t>Temple</t>
    </r>
  </si>
  <si>
    <r>
      <rPr>
        <rFont val="inherit"/>
        <color rgb="FF1155CC"/>
        <sz val="11.0"/>
        <u/>
      </rPr>
      <t>Amer</t>
    </r>
  </si>
  <si>
    <t>16-20</t>
  </si>
  <si>
    <r>
      <rPr>
        <rFont val="inherit"/>
        <color rgb="FF1155CC"/>
        <sz val="11.0"/>
        <u/>
      </rPr>
      <t>Texas A&amp;M Corpus Chris</t>
    </r>
  </si>
  <si>
    <r>
      <rPr>
        <rFont val="inherit"/>
        <color rgb="FF1155CC"/>
        <sz val="11.0"/>
        <u/>
      </rPr>
      <t>Slnd</t>
    </r>
  </si>
  <si>
    <r>
      <rPr>
        <rFont val="inherit"/>
        <color rgb="FF1155CC"/>
        <sz val="11.0"/>
        <u/>
      </rPr>
      <t>Vanderbilt</t>
    </r>
  </si>
  <si>
    <r>
      <rPr>
        <rFont val="inherit"/>
        <color rgb="FF1155CC"/>
        <sz val="11.0"/>
        <u/>
      </rPr>
      <t>SEC</t>
    </r>
  </si>
  <si>
    <r>
      <rPr>
        <rFont val="inherit"/>
        <color rgb="FF1155CC"/>
        <sz val="11.0"/>
        <u/>
      </rPr>
      <t>Tulsa</t>
    </r>
  </si>
  <si>
    <r>
      <rPr>
        <rFont val="inherit"/>
        <color rgb="FF1155CC"/>
        <sz val="11.0"/>
        <u/>
      </rPr>
      <t>Amer</t>
    </r>
  </si>
  <si>
    <t>16-15</t>
  </si>
  <si>
    <r>
      <rPr>
        <rFont val="inherit"/>
        <color rgb="FF1155CC"/>
        <sz val="11.0"/>
        <u/>
      </rPr>
      <t>Louisville</t>
    </r>
  </si>
  <si>
    <r>
      <rPr>
        <rFont val="inherit"/>
        <color rgb="FF1155CC"/>
        <sz val="11.0"/>
        <u/>
      </rPr>
      <t>ACC</t>
    </r>
  </si>
  <si>
    <r>
      <rPr>
        <rFont val="inherit"/>
        <color rgb="FF1155CC"/>
        <sz val="11.0"/>
        <u/>
      </rPr>
      <t>Northern Kentucky</t>
    </r>
  </si>
  <si>
    <r>
      <rPr>
        <rFont val="inherit"/>
        <color rgb="FF1155CC"/>
        <sz val="11.0"/>
        <u/>
      </rPr>
      <t>Horz</t>
    </r>
  </si>
  <si>
    <r>
      <rPr>
        <rFont val="inherit"/>
        <color rgb="FF1155CC"/>
        <sz val="11.0"/>
        <u/>
      </rPr>
      <t>Loyola Marymount</t>
    </r>
  </si>
  <si>
    <r>
      <rPr>
        <rFont val="inherit"/>
        <color rgb="FF1155CC"/>
        <sz val="11.0"/>
        <u/>
      </rPr>
      <t>WCC</t>
    </r>
  </si>
  <si>
    <r>
      <rPr>
        <rFont val="inherit"/>
        <color rgb="FF1155CC"/>
        <sz val="11.0"/>
        <u/>
      </rPr>
      <t>Fordham</t>
    </r>
  </si>
  <si>
    <r>
      <rPr>
        <rFont val="inherit"/>
        <color rgb="FF1155CC"/>
        <sz val="11.0"/>
        <u/>
      </rPr>
      <t>A10</t>
    </r>
  </si>
  <si>
    <r>
      <rPr>
        <rFont val="inherit"/>
        <color rgb="FF1155CC"/>
        <sz val="11.0"/>
        <u/>
      </rPr>
      <t>East Carolina</t>
    </r>
  </si>
  <si>
    <r>
      <rPr>
        <rFont val="inherit"/>
        <color rgb="FF1155CC"/>
        <sz val="11.0"/>
        <u/>
      </rPr>
      <t>Amer</t>
    </r>
  </si>
  <si>
    <r>
      <rPr>
        <rFont val="inherit"/>
        <color rgb="FF1155CC"/>
        <sz val="11.0"/>
        <u/>
      </rPr>
      <t>Cal Baptist</t>
    </r>
  </si>
  <si>
    <r>
      <rPr>
        <rFont val="inherit"/>
        <color rgb="FF1155CC"/>
        <sz val="11.0"/>
        <u/>
      </rPr>
      <t>WAC</t>
    </r>
  </si>
  <si>
    <r>
      <rPr>
        <rFont val="inherit"/>
        <color rgb="FF1155CC"/>
        <sz val="11.0"/>
        <u/>
      </rPr>
      <t>Brown</t>
    </r>
  </si>
  <si>
    <r>
      <rPr>
        <rFont val="inherit"/>
        <color rgb="FF1155CC"/>
        <sz val="11.0"/>
        <u/>
      </rPr>
      <t>Ivy</t>
    </r>
  </si>
  <si>
    <t>13-18</t>
  </si>
  <si>
    <r>
      <rPr>
        <rFont val="inherit"/>
        <color rgb="FF1155CC"/>
        <sz val="11.0"/>
        <u/>
      </rPr>
      <t>Georgetown</t>
    </r>
  </si>
  <si>
    <r>
      <rPr>
        <rFont val="inherit"/>
        <color rgb="FF1155CC"/>
        <sz val="11.0"/>
        <u/>
      </rPr>
      <t>BE</t>
    </r>
  </si>
  <si>
    <r>
      <rPr>
        <rFont val="inherit"/>
        <color rgb="FF1155CC"/>
        <sz val="11.0"/>
        <u/>
      </rPr>
      <t>Wofford</t>
    </r>
  </si>
  <si>
    <r>
      <rPr>
        <rFont val="inherit"/>
        <color rgb="FF1155CC"/>
        <sz val="11.0"/>
        <u/>
      </rPr>
      <t>SC</t>
    </r>
  </si>
  <si>
    <r>
      <rPr>
        <rFont val="inherit"/>
        <color rgb="FF1155CC"/>
        <sz val="11.0"/>
        <u/>
      </rPr>
      <t>Little Rock</t>
    </r>
  </si>
  <si>
    <r>
      <rPr>
        <rFont val="inherit"/>
        <color rgb="FF1155CC"/>
        <sz val="11.0"/>
        <u/>
      </rPr>
      <t>OVC</t>
    </r>
  </si>
  <si>
    <r>
      <rPr>
        <rFont val="inherit"/>
        <color rgb="FF1155CC"/>
        <sz val="11.0"/>
        <u/>
      </rPr>
      <t>La Salle</t>
    </r>
  </si>
  <si>
    <r>
      <rPr>
        <rFont val="inherit"/>
        <color rgb="FF1155CC"/>
        <sz val="11.0"/>
        <u/>
      </rPr>
      <t>A10</t>
    </r>
  </si>
  <si>
    <r>
      <rPr>
        <rFont val="inherit"/>
        <color rgb="FF1155CC"/>
        <sz val="11.0"/>
        <u/>
      </rPr>
      <t>Illinois Chicago</t>
    </r>
  </si>
  <si>
    <r>
      <rPr>
        <rFont val="inherit"/>
        <color rgb="FF1155CC"/>
        <sz val="11.0"/>
        <u/>
      </rPr>
      <t>MVC</t>
    </r>
  </si>
  <si>
    <r>
      <rPr>
        <rFont val="inherit"/>
        <color rgb="FF1155CC"/>
        <sz val="11.0"/>
        <u/>
      </rPr>
      <t>Cleveland St.</t>
    </r>
  </si>
  <si>
    <r>
      <rPr>
        <rFont val="inherit"/>
        <color rgb="FF1155CC"/>
        <sz val="11.0"/>
        <u/>
      </rPr>
      <t>Horz</t>
    </r>
  </si>
  <si>
    <r>
      <rPr>
        <rFont val="inherit"/>
        <color rgb="FF1155CC"/>
        <sz val="11.0"/>
        <u/>
      </rPr>
      <t>Monmouth</t>
    </r>
  </si>
  <si>
    <r>
      <rPr>
        <rFont val="inherit"/>
        <color rgb="FF1155CC"/>
        <sz val="11.0"/>
        <u/>
      </rPr>
      <t>CAA</t>
    </r>
  </si>
  <si>
    <r>
      <rPr>
        <rFont val="inherit"/>
        <color rgb="FF1155CC"/>
        <sz val="11.0"/>
        <u/>
      </rPr>
      <t>Saint Louis</t>
    </r>
  </si>
  <si>
    <r>
      <rPr>
        <rFont val="inherit"/>
        <color rgb="FF1155CC"/>
        <sz val="11.0"/>
        <u/>
      </rPr>
      <t>A10</t>
    </r>
  </si>
  <si>
    <r>
      <rPr>
        <rFont val="inherit"/>
        <color rgb="FF1155CC"/>
        <sz val="11.0"/>
        <u/>
      </rPr>
      <t>Jacksonville St.</t>
    </r>
  </si>
  <si>
    <r>
      <rPr>
        <rFont val="inherit"/>
        <color rgb="FF1155CC"/>
        <sz val="11.0"/>
        <u/>
      </rPr>
      <t>CUSA</t>
    </r>
  </si>
  <si>
    <r>
      <rPr>
        <rFont val="inherit"/>
        <color rgb="FF1155CC"/>
        <sz val="11.0"/>
        <u/>
      </rPr>
      <t>Rk</t>
    </r>
  </si>
  <si>
    <r>
      <rPr>
        <rFont val="inherit"/>
        <color rgb="FF1155CC"/>
        <sz val="11.0"/>
        <u/>
      </rPr>
      <t>Team</t>
    </r>
  </si>
  <si>
    <r>
      <rPr>
        <rFont val="inherit"/>
        <color rgb="FF1155CC"/>
        <sz val="11.0"/>
        <u/>
      </rPr>
      <t>W</t>
    </r>
    <r>
      <rPr>
        <rFont val="inherit"/>
        <sz val="11.0"/>
      </rPr>
      <t>-</t>
    </r>
    <r>
      <rPr>
        <rFont val="inherit"/>
        <color rgb="FF1155CC"/>
        <sz val="11.0"/>
        <u/>
      </rPr>
      <t>L</t>
    </r>
  </si>
  <si>
    <r>
      <rPr>
        <rFont val="inherit"/>
        <color rgb="FF1155CC"/>
        <sz val="11.0"/>
        <u/>
      </rPr>
      <t>NetRtg</t>
    </r>
  </si>
  <si>
    <r>
      <rPr>
        <rFont val="inherit"/>
        <color rgb="FF1155CC"/>
        <sz val="11.0"/>
        <u/>
      </rPr>
      <t>ORtg</t>
    </r>
  </si>
  <si>
    <r>
      <rPr>
        <rFont val="inherit"/>
        <color rgb="FF1155CC"/>
        <sz val="11.0"/>
        <u/>
      </rPr>
      <t>DRtg</t>
    </r>
  </si>
  <si>
    <r>
      <rPr>
        <rFont val="inherit"/>
        <color rgb="FF1155CC"/>
        <sz val="11.0"/>
        <u/>
      </rPr>
      <t>AdjT</t>
    </r>
  </si>
  <si>
    <r>
      <rPr>
        <rFont val="inherit"/>
        <color rgb="FF1155CC"/>
        <sz val="11.0"/>
        <u/>
      </rPr>
      <t>Luck</t>
    </r>
  </si>
  <si>
    <r>
      <rPr>
        <rFont val="inherit"/>
        <color rgb="FF1155CC"/>
        <sz val="11.0"/>
        <u/>
      </rPr>
      <t>NetRtg</t>
    </r>
  </si>
  <si>
    <r>
      <rPr>
        <rFont val="inherit"/>
        <color rgb="FF1155CC"/>
        <sz val="11.0"/>
        <u/>
      </rPr>
      <t>ORtg</t>
    </r>
  </si>
  <si>
    <r>
      <rPr>
        <rFont val="inherit"/>
        <color rgb="FF1155CC"/>
        <sz val="11.0"/>
        <u/>
      </rPr>
      <t>DRtg</t>
    </r>
  </si>
  <si>
    <r>
      <rPr>
        <rFont val="inherit"/>
        <color rgb="FF1155CC"/>
        <sz val="11.0"/>
        <u/>
      </rPr>
      <t>NetRtg</t>
    </r>
  </si>
  <si>
    <r>
      <rPr>
        <rFont val="inherit"/>
        <color rgb="FF1155CC"/>
        <sz val="11.0"/>
        <u/>
      </rPr>
      <t>Saint Peter's</t>
    </r>
    <r>
      <rPr>
        <rFont val="inherit"/>
        <sz val="11.0"/>
      </rPr>
      <t xml:space="preserve"> 15</t>
    </r>
  </si>
  <si>
    <r>
      <rPr>
        <rFont val="inherit"/>
        <color rgb="FF1155CC"/>
        <sz val="11.0"/>
        <u/>
      </rPr>
      <t>MAAC</t>
    </r>
  </si>
  <si>
    <r>
      <rPr>
        <rFont val="inherit"/>
        <color rgb="FF1155CC"/>
        <sz val="11.0"/>
        <u/>
      </rPr>
      <t>Northern Colorado</t>
    </r>
  </si>
  <si>
    <r>
      <rPr>
        <rFont val="inherit"/>
        <color rgb="FF1155CC"/>
        <sz val="11.0"/>
        <u/>
      </rPr>
      <t>BSky</t>
    </r>
  </si>
  <si>
    <r>
      <rPr>
        <rFont val="inherit"/>
        <color rgb="FF1155CC"/>
        <sz val="11.0"/>
        <u/>
      </rPr>
      <t>George Washington</t>
    </r>
  </si>
  <si>
    <r>
      <rPr>
        <rFont val="inherit"/>
        <color rgb="FF1155CC"/>
        <sz val="11.0"/>
        <u/>
      </rPr>
      <t>A10</t>
    </r>
  </si>
  <si>
    <r>
      <rPr>
        <rFont val="inherit"/>
        <color rgb="FF1155CC"/>
        <sz val="11.0"/>
        <u/>
      </rPr>
      <t>Gardner Webb</t>
    </r>
  </si>
  <si>
    <r>
      <rPr>
        <rFont val="inherit"/>
        <color rgb="FF1155CC"/>
        <sz val="11.0"/>
        <u/>
      </rPr>
      <t>BSth</t>
    </r>
  </si>
  <si>
    <r>
      <rPr>
        <rFont val="inherit"/>
        <color rgb="FF1155CC"/>
        <sz val="11.0"/>
        <u/>
      </rPr>
      <t>UC Santa Barbara</t>
    </r>
  </si>
  <si>
    <r>
      <rPr>
        <rFont val="inherit"/>
        <color rgb="FF1155CC"/>
        <sz val="11.0"/>
        <u/>
      </rPr>
      <t>BW</t>
    </r>
  </si>
  <si>
    <r>
      <rPr>
        <rFont val="inherit"/>
        <color rgb="FF1155CC"/>
        <sz val="11.0"/>
        <u/>
      </rPr>
      <t>Rhode Island</t>
    </r>
  </si>
  <si>
    <r>
      <rPr>
        <rFont val="inherit"/>
        <color rgb="FF1155CC"/>
        <sz val="11.0"/>
        <u/>
      </rPr>
      <t>A10</t>
    </r>
  </si>
  <si>
    <r>
      <rPr>
        <rFont val="inherit"/>
        <color rgb="FF1155CC"/>
        <sz val="11.0"/>
        <u/>
      </rPr>
      <t>Abilene Christian</t>
    </r>
  </si>
  <si>
    <r>
      <rPr>
        <rFont val="inherit"/>
        <color rgb="FF1155CC"/>
        <sz val="11.0"/>
        <u/>
      </rPr>
      <t>WAC</t>
    </r>
  </si>
  <si>
    <r>
      <rPr>
        <rFont val="inherit"/>
        <color rgb="FF1155CC"/>
        <sz val="11.0"/>
        <u/>
      </rPr>
      <t>Evansville</t>
    </r>
  </si>
  <si>
    <r>
      <rPr>
        <rFont val="inherit"/>
        <color rgb="FF1155CC"/>
        <sz val="11.0"/>
        <u/>
      </rPr>
      <t>MVC</t>
    </r>
  </si>
  <si>
    <r>
      <rPr>
        <rFont val="inherit"/>
        <color rgb="FF1155CC"/>
        <sz val="11.0"/>
        <u/>
      </rPr>
      <t>Mercer</t>
    </r>
  </si>
  <si>
    <r>
      <rPr>
        <rFont val="inherit"/>
        <color rgb="FF1155CC"/>
        <sz val="11.0"/>
        <u/>
      </rPr>
      <t>SC</t>
    </r>
  </si>
  <si>
    <r>
      <rPr>
        <rFont val="inherit"/>
        <color rgb="FF1155CC"/>
        <sz val="11.0"/>
        <u/>
      </rPr>
      <t>Lamar</t>
    </r>
  </si>
  <si>
    <r>
      <rPr>
        <rFont val="inherit"/>
        <color rgb="FF1155CC"/>
        <sz val="11.0"/>
        <u/>
      </rPr>
      <t>Slnd</t>
    </r>
  </si>
  <si>
    <r>
      <rPr>
        <rFont val="inherit"/>
        <color rgb="FF1155CC"/>
        <sz val="11.0"/>
        <u/>
      </rPr>
      <t>Eastern Kentucky</t>
    </r>
  </si>
  <si>
    <r>
      <rPr>
        <rFont val="inherit"/>
        <color rgb="FF1155CC"/>
        <sz val="11.0"/>
        <u/>
      </rPr>
      <t>ASun</t>
    </r>
  </si>
  <si>
    <t>17-14</t>
  </si>
  <si>
    <r>
      <rPr>
        <rFont val="inherit"/>
        <color rgb="FF1155CC"/>
        <sz val="11.0"/>
        <u/>
      </rPr>
      <t>Merrimack</t>
    </r>
  </si>
  <si>
    <r>
      <rPr>
        <rFont val="inherit"/>
        <color rgb="FF1155CC"/>
        <sz val="11.0"/>
        <u/>
      </rPr>
      <t>NEC</t>
    </r>
  </si>
  <si>
    <r>
      <rPr>
        <rFont val="inherit"/>
        <color rgb="FF1155CC"/>
        <sz val="11.0"/>
        <u/>
      </rPr>
      <t>Penn</t>
    </r>
  </si>
  <si>
    <r>
      <rPr>
        <rFont val="inherit"/>
        <color rgb="FF1155CC"/>
        <sz val="11.0"/>
        <u/>
      </rPr>
      <t>Ivy</t>
    </r>
  </si>
  <si>
    <r>
      <rPr>
        <rFont val="inherit"/>
        <color rgb="FF1155CC"/>
        <sz val="11.0"/>
        <u/>
      </rPr>
      <t>UMKC</t>
    </r>
  </si>
  <si>
    <r>
      <rPr>
        <rFont val="inherit"/>
        <color rgb="FF1155CC"/>
        <sz val="11.0"/>
        <u/>
      </rPr>
      <t>Sum</t>
    </r>
  </si>
  <si>
    <r>
      <rPr>
        <rFont val="inherit"/>
        <color rgb="FF1155CC"/>
        <sz val="11.0"/>
        <u/>
      </rPr>
      <t>Marist</t>
    </r>
  </si>
  <si>
    <r>
      <rPr>
        <rFont val="inherit"/>
        <color rgb="FF1155CC"/>
        <sz val="11.0"/>
        <u/>
      </rPr>
      <t>MAAC</t>
    </r>
  </si>
  <si>
    <t>18-13</t>
  </si>
  <si>
    <r>
      <rPr>
        <rFont val="inherit"/>
        <color rgb="FF1155CC"/>
        <sz val="11.0"/>
        <u/>
      </rPr>
      <t>Tennessee Martin</t>
    </r>
  </si>
  <si>
    <r>
      <rPr>
        <rFont val="inherit"/>
        <color rgb="FF1155CC"/>
        <sz val="11.0"/>
        <u/>
      </rPr>
      <t>OVC</t>
    </r>
  </si>
  <si>
    <r>
      <rPr>
        <rFont val="inherit"/>
        <color rgb="FF1155CC"/>
        <sz val="11.0"/>
        <u/>
      </rPr>
      <t>UC Riverside</t>
    </r>
  </si>
  <si>
    <r>
      <rPr>
        <rFont val="inherit"/>
        <color rgb="FF1155CC"/>
        <sz val="11.0"/>
        <u/>
      </rPr>
      <t>BW</t>
    </r>
  </si>
  <si>
    <r>
      <rPr>
        <rFont val="inherit"/>
        <color rgb="FF1155CC"/>
        <sz val="11.0"/>
        <u/>
      </rPr>
      <t>Georgia St.</t>
    </r>
  </si>
  <si>
    <r>
      <rPr>
        <rFont val="inherit"/>
        <color rgb="FF1155CC"/>
        <sz val="11.0"/>
        <u/>
      </rPr>
      <t>SB</t>
    </r>
  </si>
  <si>
    <r>
      <rPr>
        <rFont val="inherit"/>
        <color rgb="FF1155CC"/>
        <sz val="11.0"/>
        <u/>
      </rPr>
      <t>Norfolk St.</t>
    </r>
  </si>
  <si>
    <r>
      <rPr>
        <rFont val="inherit"/>
        <color rgb="FF1155CC"/>
        <sz val="11.0"/>
        <u/>
      </rPr>
      <t>MEAC</t>
    </r>
  </si>
  <si>
    <r>
      <rPr>
        <rFont val="inherit"/>
        <color rgb="FF1155CC"/>
        <sz val="11.0"/>
        <u/>
      </rPr>
      <t>Stetson</t>
    </r>
    <r>
      <rPr>
        <rFont val="inherit"/>
        <sz val="11.0"/>
      </rPr>
      <t xml:space="preserve"> 16</t>
    </r>
  </si>
  <si>
    <r>
      <rPr>
        <rFont val="inherit"/>
        <color rgb="FF1155CC"/>
        <sz val="11.0"/>
        <u/>
      </rPr>
      <t>ASun</t>
    </r>
  </si>
  <si>
    <r>
      <rPr>
        <rFont val="inherit"/>
        <color rgb="FF1155CC"/>
        <sz val="11.0"/>
        <u/>
      </rPr>
      <t>South Alabama</t>
    </r>
  </si>
  <si>
    <r>
      <rPr>
        <rFont val="inherit"/>
        <color rgb="FF1155CC"/>
        <sz val="11.0"/>
        <u/>
      </rPr>
      <t>SB</t>
    </r>
  </si>
  <si>
    <r>
      <rPr>
        <rFont val="inherit"/>
        <color rgb="FF1155CC"/>
        <sz val="11.0"/>
        <u/>
      </rPr>
      <t>Milwaukee</t>
    </r>
  </si>
  <si>
    <r>
      <rPr>
        <rFont val="inherit"/>
        <color rgb="FF1155CC"/>
        <sz val="11.0"/>
        <u/>
      </rPr>
      <t>Horz</t>
    </r>
  </si>
  <si>
    <r>
      <rPr>
        <rFont val="inherit"/>
        <color rgb="FF1155CC"/>
        <sz val="11.0"/>
        <u/>
      </rPr>
      <t>Montana St.</t>
    </r>
    <r>
      <rPr>
        <rFont val="inherit"/>
        <sz val="11.0"/>
      </rPr>
      <t xml:space="preserve"> 16</t>
    </r>
  </si>
  <si>
    <r>
      <rPr>
        <rFont val="inherit"/>
        <color rgb="FF1155CC"/>
        <sz val="11.0"/>
        <u/>
      </rPr>
      <t>BSky</t>
    </r>
  </si>
  <si>
    <r>
      <rPr>
        <rFont val="inherit"/>
        <color rgb="FF1155CC"/>
        <sz val="11.0"/>
        <u/>
      </rPr>
      <t>Pepperdine</t>
    </r>
  </si>
  <si>
    <r>
      <rPr>
        <rFont val="inherit"/>
        <color rgb="FF1155CC"/>
        <sz val="11.0"/>
        <u/>
      </rPr>
      <t>WCC</t>
    </r>
  </si>
  <si>
    <r>
      <rPr>
        <rFont val="inherit"/>
        <color rgb="FF1155CC"/>
        <sz val="11.0"/>
        <u/>
      </rPr>
      <t>Rider</t>
    </r>
  </si>
  <si>
    <r>
      <rPr>
        <rFont val="inherit"/>
        <color rgb="FF1155CC"/>
        <sz val="11.0"/>
        <u/>
      </rPr>
      <t>MAAC</t>
    </r>
  </si>
  <si>
    <r>
      <rPr>
        <rFont val="inherit"/>
        <color rgb="FF1155CC"/>
        <sz val="11.0"/>
        <u/>
      </rPr>
      <t>Iona</t>
    </r>
  </si>
  <si>
    <r>
      <rPr>
        <rFont val="inherit"/>
        <color rgb="FF1155CC"/>
        <sz val="11.0"/>
        <u/>
      </rPr>
      <t>MAAC</t>
    </r>
  </si>
  <si>
    <r>
      <rPr>
        <rFont val="inherit"/>
        <color rgb="FF1155CC"/>
        <sz val="11.0"/>
        <u/>
      </rPr>
      <t>Radford</t>
    </r>
  </si>
  <si>
    <r>
      <rPr>
        <rFont val="inherit"/>
        <color rgb="FF1155CC"/>
        <sz val="11.0"/>
        <u/>
      </rPr>
      <t>BSth</t>
    </r>
  </si>
  <si>
    <r>
      <rPr>
        <rFont val="inherit"/>
        <color rgb="FF1155CC"/>
        <sz val="11.0"/>
        <u/>
      </rPr>
      <t>Harvard</t>
    </r>
  </si>
  <si>
    <r>
      <rPr>
        <rFont val="inherit"/>
        <color rgb="FF1155CC"/>
        <sz val="11.0"/>
        <u/>
      </rPr>
      <t>Ivy</t>
    </r>
  </si>
  <si>
    <t>14-13</t>
  </si>
  <si>
    <r>
      <rPr>
        <rFont val="inherit"/>
        <color rgb="FF1155CC"/>
        <sz val="11.0"/>
        <u/>
      </rPr>
      <t>Rice</t>
    </r>
  </si>
  <si>
    <r>
      <rPr>
        <rFont val="inherit"/>
        <color rgb="FF1155CC"/>
        <sz val="11.0"/>
        <u/>
      </rPr>
      <t>Amer</t>
    </r>
  </si>
  <si>
    <r>
      <rPr>
        <rFont val="inherit"/>
        <color rgb="FF1155CC"/>
        <sz val="11.0"/>
        <u/>
      </rPr>
      <t>Green Bay</t>
    </r>
  </si>
  <si>
    <r>
      <rPr>
        <rFont val="inherit"/>
        <color rgb="FF1155CC"/>
        <sz val="11.0"/>
        <u/>
      </rPr>
      <t>Horz</t>
    </r>
  </si>
  <si>
    <r>
      <rPr>
        <rFont val="inherit"/>
        <color rgb="FF1155CC"/>
        <sz val="11.0"/>
        <u/>
      </rPr>
      <t>Maine</t>
    </r>
  </si>
  <si>
    <r>
      <rPr>
        <rFont val="inherit"/>
        <color rgb="FF1155CC"/>
        <sz val="11.0"/>
        <u/>
      </rPr>
      <t>AE</t>
    </r>
  </si>
  <si>
    <r>
      <rPr>
        <rFont val="inherit"/>
        <color rgb="FF1155CC"/>
        <sz val="11.0"/>
        <u/>
      </rPr>
      <t>Columbia</t>
    </r>
  </si>
  <si>
    <r>
      <rPr>
        <rFont val="inherit"/>
        <color rgb="FF1155CC"/>
        <sz val="11.0"/>
        <u/>
      </rPr>
      <t>Ivy</t>
    </r>
  </si>
  <si>
    <t>13-14</t>
  </si>
  <si>
    <r>
      <rPr>
        <rFont val="inherit"/>
        <color rgb="FF1155CC"/>
        <sz val="11.0"/>
        <u/>
      </rPr>
      <t>Cal St. Northridge</t>
    </r>
  </si>
  <si>
    <r>
      <rPr>
        <rFont val="inherit"/>
        <color rgb="FF1155CC"/>
        <sz val="11.0"/>
        <u/>
      </rPr>
      <t>BW</t>
    </r>
  </si>
  <si>
    <r>
      <rPr>
        <rFont val="inherit"/>
        <color rgb="FF1155CC"/>
        <sz val="11.0"/>
        <u/>
      </rPr>
      <t>Nicholls St.</t>
    </r>
  </si>
  <si>
    <r>
      <rPr>
        <rFont val="inherit"/>
        <color rgb="FF1155CC"/>
        <sz val="11.0"/>
        <u/>
      </rPr>
      <t>Slnd</t>
    </r>
  </si>
  <si>
    <r>
      <rPr>
        <rFont val="inherit"/>
        <color rgb="FF1155CC"/>
        <sz val="11.0"/>
        <u/>
      </rPr>
      <t>Cal St. Fullerton</t>
    </r>
  </si>
  <si>
    <r>
      <rPr>
        <rFont val="inherit"/>
        <color rgb="FF1155CC"/>
        <sz val="11.0"/>
        <u/>
      </rPr>
      <t>BW</t>
    </r>
  </si>
  <si>
    <r>
      <rPr>
        <rFont val="inherit"/>
        <color rgb="FF1155CC"/>
        <sz val="11.0"/>
        <u/>
      </rPr>
      <t>North Dakota</t>
    </r>
  </si>
  <si>
    <r>
      <rPr>
        <rFont val="inherit"/>
        <color rgb="FF1155CC"/>
        <sz val="11.0"/>
        <u/>
      </rPr>
      <t>Sum</t>
    </r>
  </si>
  <si>
    <r>
      <rPr>
        <rFont val="inherit"/>
        <color rgb="FF1155CC"/>
        <sz val="11.0"/>
        <u/>
      </rPr>
      <t>Fresno St.</t>
    </r>
  </si>
  <si>
    <r>
      <rPr>
        <rFont val="inherit"/>
        <color rgb="FF1155CC"/>
        <sz val="11.0"/>
        <u/>
      </rPr>
      <t>MWC</t>
    </r>
  </si>
  <si>
    <r>
      <rPr>
        <rFont val="inherit"/>
        <color rgb="FF1155CC"/>
        <sz val="11.0"/>
        <u/>
      </rPr>
      <t>Marshall</t>
    </r>
  </si>
  <si>
    <r>
      <rPr>
        <rFont val="inherit"/>
        <color rgb="FF1155CC"/>
        <sz val="11.0"/>
        <u/>
      </rPr>
      <t>SB</t>
    </r>
  </si>
  <si>
    <r>
      <rPr>
        <rFont val="inherit"/>
        <color rgb="FF1155CC"/>
        <sz val="11.0"/>
        <u/>
      </rPr>
      <t>Bowling Green</t>
    </r>
  </si>
  <si>
    <r>
      <rPr>
        <rFont val="inherit"/>
        <color rgb="FF1155CC"/>
        <sz val="11.0"/>
        <u/>
      </rPr>
      <t>MAC</t>
    </r>
  </si>
  <si>
    <r>
      <rPr>
        <rFont val="inherit"/>
        <color rgb="FF1155CC"/>
        <sz val="11.0"/>
        <u/>
      </rPr>
      <t>North Florida</t>
    </r>
  </si>
  <si>
    <r>
      <rPr>
        <rFont val="inherit"/>
        <color rgb="FF1155CC"/>
        <sz val="11.0"/>
        <u/>
      </rPr>
      <t>ASun</t>
    </r>
  </si>
  <si>
    <r>
      <rPr>
        <rFont val="inherit"/>
        <color rgb="FF1155CC"/>
        <sz val="11.0"/>
        <u/>
      </rPr>
      <t>Rk</t>
    </r>
  </si>
  <si>
    <r>
      <rPr>
        <rFont val="inherit"/>
        <color rgb="FF1155CC"/>
        <sz val="11.0"/>
        <u/>
      </rPr>
      <t>Team</t>
    </r>
  </si>
  <si>
    <r>
      <rPr>
        <rFont val="inherit"/>
        <color rgb="FF1155CC"/>
        <sz val="11.0"/>
        <u/>
      </rPr>
      <t>W</t>
    </r>
    <r>
      <rPr>
        <rFont val="inherit"/>
        <sz val="11.0"/>
      </rPr>
      <t>-</t>
    </r>
    <r>
      <rPr>
        <rFont val="inherit"/>
        <color rgb="FF1155CC"/>
        <sz val="11.0"/>
        <u/>
      </rPr>
      <t>L</t>
    </r>
  </si>
  <si>
    <r>
      <rPr>
        <rFont val="inherit"/>
        <color rgb="FF1155CC"/>
        <sz val="11.0"/>
        <u/>
      </rPr>
      <t>NetRtg</t>
    </r>
  </si>
  <si>
    <r>
      <rPr>
        <rFont val="inherit"/>
        <color rgb="FF1155CC"/>
        <sz val="11.0"/>
        <u/>
      </rPr>
      <t>ORtg</t>
    </r>
  </si>
  <si>
    <r>
      <rPr>
        <rFont val="inherit"/>
        <color rgb="FF1155CC"/>
        <sz val="11.0"/>
        <u/>
      </rPr>
      <t>DRtg</t>
    </r>
  </si>
  <si>
    <r>
      <rPr>
        <rFont val="inherit"/>
        <color rgb="FF1155CC"/>
        <sz val="11.0"/>
        <u/>
      </rPr>
      <t>AdjT</t>
    </r>
  </si>
  <si>
    <r>
      <rPr>
        <rFont val="inherit"/>
        <color rgb="FF1155CC"/>
        <sz val="11.0"/>
        <u/>
      </rPr>
      <t>Luck</t>
    </r>
  </si>
  <si>
    <r>
      <rPr>
        <rFont val="inherit"/>
        <color rgb="FF1155CC"/>
        <sz val="11.0"/>
        <u/>
      </rPr>
      <t>NetRtg</t>
    </r>
  </si>
  <si>
    <r>
      <rPr>
        <rFont val="inherit"/>
        <color rgb="FF1155CC"/>
        <sz val="11.0"/>
        <u/>
      </rPr>
      <t>ORtg</t>
    </r>
  </si>
  <si>
    <r>
      <rPr>
        <rFont val="inherit"/>
        <color rgb="FF1155CC"/>
        <sz val="11.0"/>
        <u/>
      </rPr>
      <t>DRtg</t>
    </r>
  </si>
  <si>
    <r>
      <rPr>
        <rFont val="inherit"/>
        <color rgb="FF1155CC"/>
        <sz val="11.0"/>
        <u/>
      </rPr>
      <t>NetRtg</t>
    </r>
  </si>
  <si>
    <r>
      <rPr>
        <rFont val="inherit"/>
        <color rgb="FF1155CC"/>
        <sz val="11.0"/>
        <u/>
      </rPr>
      <t>Florida Gulf Coast</t>
    </r>
  </si>
  <si>
    <r>
      <rPr>
        <rFont val="inherit"/>
        <color rgb="FF1155CC"/>
        <sz val="11.0"/>
        <u/>
      </rPr>
      <t>ASun</t>
    </r>
  </si>
  <si>
    <r>
      <rPr>
        <rFont val="inherit"/>
        <color rgb="FF1155CC"/>
        <sz val="11.0"/>
        <u/>
      </rPr>
      <t>Southern Utah</t>
    </r>
  </si>
  <si>
    <r>
      <rPr>
        <rFont val="inherit"/>
        <color rgb="FF1155CC"/>
        <sz val="11.0"/>
        <u/>
      </rPr>
      <t>WAC</t>
    </r>
  </si>
  <si>
    <r>
      <rPr>
        <rFont val="inherit"/>
        <color rgb="FF1155CC"/>
        <sz val="11.0"/>
        <u/>
      </rPr>
      <t>Southern Miss</t>
    </r>
  </si>
  <si>
    <r>
      <rPr>
        <rFont val="inherit"/>
        <color rgb="FF1155CC"/>
        <sz val="11.0"/>
        <u/>
      </rPr>
      <t>SB</t>
    </r>
  </si>
  <si>
    <r>
      <rPr>
        <rFont val="inherit"/>
        <color rgb="FF1155CC"/>
        <sz val="11.0"/>
        <u/>
      </rPr>
      <t>Albany</t>
    </r>
  </si>
  <si>
    <r>
      <rPr>
        <rFont val="inherit"/>
        <color rgb="FF1155CC"/>
        <sz val="11.0"/>
        <u/>
      </rPr>
      <t>AE</t>
    </r>
  </si>
  <si>
    <r>
      <rPr>
        <rFont val="inherit"/>
        <color rgb="FF1155CC"/>
        <sz val="11.0"/>
        <u/>
      </rPr>
      <t>Austin Peay</t>
    </r>
  </si>
  <si>
    <r>
      <rPr>
        <rFont val="inherit"/>
        <color rgb="FF1155CC"/>
        <sz val="11.0"/>
        <u/>
      </rPr>
      <t>ASun</t>
    </r>
  </si>
  <si>
    <r>
      <rPr>
        <rFont val="inherit"/>
        <color rgb="FF1155CC"/>
        <sz val="11.0"/>
        <u/>
      </rPr>
      <t>New Hampshire</t>
    </r>
  </si>
  <si>
    <r>
      <rPr>
        <rFont val="inherit"/>
        <color rgb="FF1155CC"/>
        <sz val="11.0"/>
        <u/>
      </rPr>
      <t>AE</t>
    </r>
  </si>
  <si>
    <r>
      <rPr>
        <rFont val="inherit"/>
        <color rgb="FF1155CC"/>
        <sz val="11.0"/>
        <u/>
      </rPr>
      <t>Cal St. Bakersfield</t>
    </r>
  </si>
  <si>
    <r>
      <rPr>
        <rFont val="inherit"/>
        <color rgb="FF1155CC"/>
        <sz val="11.0"/>
        <u/>
      </rPr>
      <t>BW</t>
    </r>
  </si>
  <si>
    <r>
      <rPr>
        <rFont val="inherit"/>
        <color rgb="FF1155CC"/>
        <sz val="11.0"/>
        <u/>
      </rPr>
      <t>San Jose St.</t>
    </r>
  </si>
  <si>
    <r>
      <rPr>
        <rFont val="inherit"/>
        <color rgb="FF1155CC"/>
        <sz val="11.0"/>
        <u/>
      </rPr>
      <t>MWC</t>
    </r>
  </si>
  <si>
    <r>
      <rPr>
        <rFont val="inherit"/>
        <color rgb="FF1155CC"/>
        <sz val="11.0"/>
        <u/>
      </rPr>
      <t>Mount St. Mary's</t>
    </r>
  </si>
  <si>
    <r>
      <rPr>
        <rFont val="inherit"/>
        <color rgb="FF1155CC"/>
        <sz val="11.0"/>
        <u/>
      </rPr>
      <t>MAAC</t>
    </r>
  </si>
  <si>
    <r>
      <rPr>
        <rFont val="inherit"/>
        <color rgb="FF1155CC"/>
        <sz val="11.0"/>
        <u/>
      </rPr>
      <t>Northeastern</t>
    </r>
  </si>
  <si>
    <r>
      <rPr>
        <rFont val="inherit"/>
        <color rgb="FF1155CC"/>
        <sz val="11.0"/>
        <u/>
      </rPr>
      <t>CAA</t>
    </r>
  </si>
  <si>
    <r>
      <rPr>
        <rFont val="inherit"/>
        <color rgb="FF1155CC"/>
        <sz val="11.0"/>
        <u/>
      </rPr>
      <t>Portland St.</t>
    </r>
  </si>
  <si>
    <r>
      <rPr>
        <rFont val="inherit"/>
        <color rgb="FF1155CC"/>
        <sz val="11.0"/>
        <u/>
      </rPr>
      <t>BSky</t>
    </r>
  </si>
  <si>
    <r>
      <rPr>
        <rFont val="inherit"/>
        <color rgb="FF1155CC"/>
        <sz val="11.0"/>
        <u/>
      </rPr>
      <t>North Alabama</t>
    </r>
  </si>
  <si>
    <r>
      <rPr>
        <rFont val="inherit"/>
        <color rgb="FF1155CC"/>
        <sz val="11.0"/>
        <u/>
      </rPr>
      <t>ASun</t>
    </r>
  </si>
  <si>
    <r>
      <rPr>
        <rFont val="inherit"/>
        <color rgb="FF1155CC"/>
        <sz val="11.0"/>
        <u/>
      </rPr>
      <t>North Carolina Central</t>
    </r>
  </si>
  <si>
    <r>
      <rPr>
        <rFont val="inherit"/>
        <color rgb="FF1155CC"/>
        <sz val="11.0"/>
        <u/>
      </rPr>
      <t>MEAC</t>
    </r>
  </si>
  <si>
    <r>
      <rPr>
        <rFont val="inherit"/>
        <color rgb="FF1155CC"/>
        <sz val="11.0"/>
        <u/>
      </rPr>
      <t>UTSA</t>
    </r>
  </si>
  <si>
    <r>
      <rPr>
        <rFont val="inherit"/>
        <color rgb="FF1155CC"/>
        <sz val="11.0"/>
        <u/>
      </rPr>
      <t>Amer</t>
    </r>
  </si>
  <si>
    <r>
      <rPr>
        <rFont val="inherit"/>
        <color rgb="FF1155CC"/>
        <sz val="11.0"/>
        <u/>
      </rPr>
      <t>The Citadel</t>
    </r>
  </si>
  <si>
    <r>
      <rPr>
        <rFont val="inherit"/>
        <color rgb="FF1155CC"/>
        <sz val="11.0"/>
        <u/>
      </rPr>
      <t>SC</t>
    </r>
  </si>
  <si>
    <r>
      <rPr>
        <rFont val="inherit"/>
        <color rgb="FF1155CC"/>
        <sz val="11.0"/>
        <u/>
      </rPr>
      <t>San Diego</t>
    </r>
  </si>
  <si>
    <r>
      <rPr>
        <rFont val="inherit"/>
        <color rgb="FF1155CC"/>
        <sz val="11.0"/>
        <u/>
      </rPr>
      <t>WCC</t>
    </r>
  </si>
  <si>
    <r>
      <rPr>
        <rFont val="inherit"/>
        <color rgb="FF1155CC"/>
        <sz val="11.0"/>
        <u/>
      </rPr>
      <t>Miami OH</t>
    </r>
  </si>
  <si>
    <r>
      <rPr>
        <rFont val="inherit"/>
        <color rgb="FF1155CC"/>
        <sz val="11.0"/>
        <u/>
      </rPr>
      <t>MAC</t>
    </r>
  </si>
  <si>
    <r>
      <rPr>
        <rFont val="inherit"/>
        <color rgb="FF1155CC"/>
        <sz val="11.0"/>
        <u/>
      </rPr>
      <t>Idaho St.</t>
    </r>
  </si>
  <si>
    <r>
      <rPr>
        <rFont val="inherit"/>
        <color rgb="FF1155CC"/>
        <sz val="11.0"/>
        <u/>
      </rPr>
      <t>BSky</t>
    </r>
  </si>
  <si>
    <t>14-20</t>
  </si>
  <si>
    <r>
      <rPr>
        <rFont val="inherit"/>
        <color rgb="FF1155CC"/>
        <sz val="11.0"/>
        <u/>
      </rPr>
      <t>Grambling St.</t>
    </r>
    <r>
      <rPr>
        <rFont val="inherit"/>
        <sz val="11.0"/>
      </rPr>
      <t xml:space="preserve"> 16</t>
    </r>
  </si>
  <si>
    <r>
      <rPr>
        <rFont val="inherit"/>
        <color rgb="FF1155CC"/>
        <sz val="11.0"/>
        <u/>
      </rPr>
      <t>SWAC</t>
    </r>
  </si>
  <si>
    <r>
      <rPr>
        <rFont val="inherit"/>
        <color rgb="FF1155CC"/>
        <sz val="11.0"/>
        <u/>
      </rPr>
      <t>Nebraska Omaha</t>
    </r>
  </si>
  <si>
    <r>
      <rPr>
        <rFont val="inherit"/>
        <color rgb="FF1155CC"/>
        <sz val="11.0"/>
        <u/>
      </rPr>
      <t>Sum</t>
    </r>
  </si>
  <si>
    <r>
      <rPr>
        <rFont val="inherit"/>
        <color rgb="FF1155CC"/>
        <sz val="11.0"/>
        <u/>
      </rPr>
      <t>Southern</t>
    </r>
  </si>
  <si>
    <r>
      <rPr>
        <rFont val="inherit"/>
        <color rgb="FF1155CC"/>
        <sz val="11.0"/>
        <u/>
      </rPr>
      <t>SWAC</t>
    </r>
  </si>
  <si>
    <r>
      <rPr>
        <rFont val="inherit"/>
        <color rgb="FF1155CC"/>
        <sz val="11.0"/>
        <u/>
      </rPr>
      <t>Central Connecticut</t>
    </r>
  </si>
  <si>
    <r>
      <rPr>
        <rFont val="inherit"/>
        <color rgb="FF1155CC"/>
        <sz val="11.0"/>
        <u/>
      </rPr>
      <t>NEC</t>
    </r>
  </si>
  <si>
    <r>
      <rPr>
        <rFont val="inherit"/>
        <color rgb="FF1155CC"/>
        <sz val="11.0"/>
        <u/>
      </rPr>
      <t>Lehigh</t>
    </r>
  </si>
  <si>
    <r>
      <rPr>
        <rFont val="inherit"/>
        <color rgb="FF1155CC"/>
        <sz val="11.0"/>
        <u/>
      </rPr>
      <t>Pat</t>
    </r>
  </si>
  <si>
    <r>
      <rPr>
        <rFont val="inherit"/>
        <color rgb="FF1155CC"/>
        <sz val="11.0"/>
        <u/>
      </rPr>
      <t>Air Force</t>
    </r>
  </si>
  <si>
    <r>
      <rPr>
        <rFont val="inherit"/>
        <color rgb="FF1155CC"/>
        <sz val="11.0"/>
        <u/>
      </rPr>
      <t>MWC</t>
    </r>
  </si>
  <si>
    <r>
      <rPr>
        <rFont val="inherit"/>
        <color rgb="FF1155CC"/>
        <sz val="11.0"/>
        <u/>
      </rPr>
      <t>Kennesaw St.</t>
    </r>
  </si>
  <si>
    <r>
      <rPr>
        <rFont val="inherit"/>
        <color rgb="FF1155CC"/>
        <sz val="11.0"/>
        <u/>
      </rPr>
      <t>ASun</t>
    </r>
  </si>
  <si>
    <t>15-16</t>
  </si>
  <si>
    <r>
      <rPr>
        <rFont val="inherit"/>
        <color rgb="FF1155CC"/>
        <sz val="11.0"/>
        <u/>
      </rPr>
      <t>Ball St.</t>
    </r>
  </si>
  <si>
    <r>
      <rPr>
        <rFont val="inherit"/>
        <color rgb="FF1155CC"/>
        <sz val="11.0"/>
        <u/>
      </rPr>
      <t>MAC</t>
    </r>
  </si>
  <si>
    <r>
      <rPr>
        <rFont val="inherit"/>
        <color rgb="FF1155CC"/>
        <sz val="11.0"/>
        <u/>
      </rPr>
      <t>Texas Southern</t>
    </r>
  </si>
  <si>
    <r>
      <rPr>
        <rFont val="inherit"/>
        <color rgb="FF1155CC"/>
        <sz val="11.0"/>
        <u/>
      </rPr>
      <t>SWAC</t>
    </r>
  </si>
  <si>
    <r>
      <rPr>
        <rFont val="inherit"/>
        <color rgb="FF1155CC"/>
        <sz val="11.0"/>
        <u/>
      </rPr>
      <t>Denver</t>
    </r>
  </si>
  <si>
    <r>
      <rPr>
        <rFont val="inherit"/>
        <color rgb="FF1155CC"/>
        <sz val="11.0"/>
        <u/>
      </rPr>
      <t>Sum</t>
    </r>
  </si>
  <si>
    <r>
      <rPr>
        <rFont val="inherit"/>
        <color rgb="FF1155CC"/>
        <sz val="11.0"/>
        <u/>
      </rPr>
      <t>Queens</t>
    </r>
  </si>
  <si>
    <r>
      <rPr>
        <rFont val="inherit"/>
        <color rgb="FF1155CC"/>
        <sz val="11.0"/>
        <u/>
      </rPr>
      <t>ASun</t>
    </r>
  </si>
  <si>
    <t>14-19</t>
  </si>
  <si>
    <r>
      <rPr>
        <rFont val="inherit"/>
        <color rgb="FF1155CC"/>
        <sz val="11.0"/>
        <u/>
      </rPr>
      <t>Western Illinois</t>
    </r>
  </si>
  <si>
    <r>
      <rPr>
        <rFont val="inherit"/>
        <color rgb="FF1155CC"/>
        <sz val="11.0"/>
        <u/>
      </rPr>
      <t>OVC</t>
    </r>
  </si>
  <si>
    <r>
      <rPr>
        <rFont val="inherit"/>
        <color rgb="FF1155CC"/>
        <sz val="11.0"/>
        <u/>
      </rPr>
      <t>Presbyterian</t>
    </r>
  </si>
  <si>
    <r>
      <rPr>
        <rFont val="inherit"/>
        <color rgb="FF1155CC"/>
        <sz val="11.0"/>
        <u/>
      </rPr>
      <t>BSth</t>
    </r>
  </si>
  <si>
    <r>
      <rPr>
        <rFont val="inherit"/>
        <color rgb="FF1155CC"/>
        <sz val="11.0"/>
        <u/>
      </rPr>
      <t>Niagara</t>
    </r>
  </si>
  <si>
    <r>
      <rPr>
        <rFont val="inherit"/>
        <color rgb="FF1155CC"/>
        <sz val="11.0"/>
        <u/>
      </rPr>
      <t>MAAC</t>
    </r>
  </si>
  <si>
    <r>
      <rPr>
        <rFont val="inherit"/>
        <color rgb="FF1155CC"/>
        <sz val="11.0"/>
        <u/>
      </rPr>
      <t>Jacksonville</t>
    </r>
  </si>
  <si>
    <r>
      <rPr>
        <rFont val="inherit"/>
        <color rgb="FF1155CC"/>
        <sz val="11.0"/>
        <u/>
      </rPr>
      <t>ASun</t>
    </r>
  </si>
  <si>
    <r>
      <rPr>
        <rFont val="inherit"/>
        <color rgb="FF1155CC"/>
        <sz val="11.0"/>
        <u/>
      </rPr>
      <t>UMBC</t>
    </r>
  </si>
  <si>
    <r>
      <rPr>
        <rFont val="inherit"/>
        <color rgb="FF1155CC"/>
        <sz val="11.0"/>
        <u/>
      </rPr>
      <t>AE</t>
    </r>
  </si>
  <si>
    <r>
      <rPr>
        <rFont val="inherit"/>
        <color rgb="FF1155CC"/>
        <sz val="11.0"/>
        <u/>
      </rPr>
      <t>Howard</t>
    </r>
    <r>
      <rPr>
        <rFont val="inherit"/>
        <sz val="11.0"/>
      </rPr>
      <t xml:space="preserve"> 16</t>
    </r>
  </si>
  <si>
    <r>
      <rPr>
        <rFont val="inherit"/>
        <color rgb="FF1155CC"/>
        <sz val="11.0"/>
        <u/>
      </rPr>
      <t>MEAC</t>
    </r>
  </si>
  <si>
    <t>18-17</t>
  </si>
  <si>
    <r>
      <rPr>
        <rFont val="inherit"/>
        <color rgb="FF1155CC"/>
        <sz val="11.0"/>
        <u/>
      </rPr>
      <t>Bucknell</t>
    </r>
  </si>
  <si>
    <r>
      <rPr>
        <rFont val="inherit"/>
        <color rgb="FF1155CC"/>
        <sz val="11.0"/>
        <u/>
      </rPr>
      <t>Pat</t>
    </r>
  </si>
  <si>
    <r>
      <rPr>
        <rFont val="inherit"/>
        <color rgb="FF1155CC"/>
        <sz val="11.0"/>
        <u/>
      </rPr>
      <t>Central Michigan</t>
    </r>
  </si>
  <si>
    <r>
      <rPr>
        <rFont val="inherit"/>
        <color rgb="FF1155CC"/>
        <sz val="11.0"/>
        <u/>
      </rPr>
      <t>MAC</t>
    </r>
  </si>
  <si>
    <r>
      <rPr>
        <rFont val="inherit"/>
        <color rgb="FF1155CC"/>
        <sz val="11.0"/>
        <u/>
      </rPr>
      <t>Canisius</t>
    </r>
  </si>
  <si>
    <r>
      <rPr>
        <rFont val="inherit"/>
        <color rgb="FF1155CC"/>
        <sz val="11.0"/>
        <u/>
      </rPr>
      <t>MAAC</t>
    </r>
  </si>
  <si>
    <r>
      <rPr>
        <rFont val="inherit"/>
        <color rgb="FF1155CC"/>
        <sz val="11.0"/>
        <u/>
      </rPr>
      <t>North Dakota St.</t>
    </r>
  </si>
  <si>
    <r>
      <rPr>
        <rFont val="inherit"/>
        <color rgb="FF1155CC"/>
        <sz val="11.0"/>
        <u/>
      </rPr>
      <t>Sum</t>
    </r>
  </si>
  <si>
    <r>
      <rPr>
        <rFont val="inherit"/>
        <color rgb="FF1155CC"/>
        <sz val="11.0"/>
        <u/>
      </rPr>
      <t>Georgia Southern</t>
    </r>
  </si>
  <si>
    <r>
      <rPr>
        <rFont val="inherit"/>
        <color rgb="FF1155CC"/>
        <sz val="11.0"/>
        <u/>
      </rPr>
      <t>SB</t>
    </r>
  </si>
  <si>
    <r>
      <rPr>
        <rFont val="inherit"/>
        <color rgb="FF1155CC"/>
        <sz val="11.0"/>
        <u/>
      </rPr>
      <t>Rk</t>
    </r>
  </si>
  <si>
    <r>
      <rPr>
        <rFont val="inherit"/>
        <color rgb="FF1155CC"/>
        <sz val="11.0"/>
        <u/>
      </rPr>
      <t>Team</t>
    </r>
  </si>
  <si>
    <r>
      <rPr>
        <rFont val="inherit"/>
        <color rgb="FF1155CC"/>
        <sz val="11.0"/>
        <u/>
      </rPr>
      <t>W</t>
    </r>
    <r>
      <rPr>
        <rFont val="inherit"/>
        <sz val="11.0"/>
      </rPr>
      <t>-</t>
    </r>
    <r>
      <rPr>
        <rFont val="inherit"/>
        <color rgb="FF1155CC"/>
        <sz val="11.0"/>
        <u/>
      </rPr>
      <t>L</t>
    </r>
  </si>
  <si>
    <r>
      <rPr>
        <rFont val="inherit"/>
        <color rgb="FF1155CC"/>
        <sz val="11.0"/>
        <u/>
      </rPr>
      <t>NetRtg</t>
    </r>
  </si>
  <si>
    <r>
      <rPr>
        <rFont val="inherit"/>
        <color rgb="FF1155CC"/>
        <sz val="11.0"/>
        <u/>
      </rPr>
      <t>ORtg</t>
    </r>
  </si>
  <si>
    <r>
      <rPr>
        <rFont val="inherit"/>
        <color rgb="FF1155CC"/>
        <sz val="11.0"/>
        <u/>
      </rPr>
      <t>DRtg</t>
    </r>
  </si>
  <si>
    <r>
      <rPr>
        <rFont val="inherit"/>
        <color rgb="FF1155CC"/>
        <sz val="11.0"/>
        <u/>
      </rPr>
      <t>AdjT</t>
    </r>
  </si>
  <si>
    <r>
      <rPr>
        <rFont val="inherit"/>
        <color rgb="FF1155CC"/>
        <sz val="11.0"/>
        <u/>
      </rPr>
      <t>Luck</t>
    </r>
  </si>
  <si>
    <r>
      <rPr>
        <rFont val="inherit"/>
        <color rgb="FF1155CC"/>
        <sz val="11.0"/>
        <u/>
      </rPr>
      <t>NetRtg</t>
    </r>
  </si>
  <si>
    <r>
      <rPr>
        <rFont val="inherit"/>
        <color rgb="FF1155CC"/>
        <sz val="11.0"/>
        <u/>
      </rPr>
      <t>ORtg</t>
    </r>
  </si>
  <si>
    <r>
      <rPr>
        <rFont val="inherit"/>
        <color rgb="FF1155CC"/>
        <sz val="11.0"/>
        <u/>
      </rPr>
      <t>DRtg</t>
    </r>
  </si>
  <si>
    <r>
      <rPr>
        <rFont val="inherit"/>
        <color rgb="FF1155CC"/>
        <sz val="11.0"/>
        <u/>
      </rPr>
      <t>NetRtg</t>
    </r>
  </si>
  <si>
    <r>
      <rPr>
        <rFont val="inherit"/>
        <color rgb="FF1155CC"/>
        <sz val="11.0"/>
        <u/>
      </rPr>
      <t>Utah Tech</t>
    </r>
  </si>
  <si>
    <r>
      <rPr>
        <rFont val="inherit"/>
        <color rgb="FF1155CC"/>
        <sz val="11.0"/>
        <u/>
      </rPr>
      <t>WAC</t>
    </r>
  </si>
  <si>
    <r>
      <rPr>
        <rFont val="inherit"/>
        <color rgb="FF1155CC"/>
        <sz val="11.0"/>
        <u/>
      </rPr>
      <t>Middle Tennessee</t>
    </r>
  </si>
  <si>
    <r>
      <rPr>
        <rFont val="inherit"/>
        <color rgb="FF1155CC"/>
        <sz val="11.0"/>
        <u/>
      </rPr>
      <t>CUSA</t>
    </r>
  </si>
  <si>
    <r>
      <rPr>
        <rFont val="inherit"/>
        <color rgb="FF1155CC"/>
        <sz val="11.0"/>
        <u/>
      </rPr>
      <t>Oral Roberts</t>
    </r>
  </si>
  <si>
    <r>
      <rPr>
        <rFont val="inherit"/>
        <color rgb="FF1155CC"/>
        <sz val="11.0"/>
        <u/>
      </rPr>
      <t>Sum</t>
    </r>
  </si>
  <si>
    <r>
      <rPr>
        <rFont val="inherit"/>
        <color rgb="FF1155CC"/>
        <sz val="11.0"/>
        <u/>
      </rPr>
      <t>Binghamton</t>
    </r>
  </si>
  <si>
    <r>
      <rPr>
        <rFont val="inherit"/>
        <color rgb="FF1155CC"/>
        <sz val="11.0"/>
        <u/>
      </rPr>
      <t>AE</t>
    </r>
  </si>
  <si>
    <t>15-15</t>
  </si>
  <si>
    <r>
      <rPr>
        <rFont val="inherit"/>
        <color rgb="FF1155CC"/>
        <sz val="11.0"/>
        <u/>
      </rPr>
      <t>FIU</t>
    </r>
  </si>
  <si>
    <r>
      <rPr>
        <rFont val="inherit"/>
        <color rgb="FF1155CC"/>
        <sz val="11.0"/>
        <u/>
      </rPr>
      <t>CUSA</t>
    </r>
  </si>
  <si>
    <r>
      <rPr>
        <rFont val="inherit"/>
        <color rgb="FF1155CC"/>
        <sz val="11.0"/>
        <u/>
      </rPr>
      <t>SIU Edwardsville</t>
    </r>
  </si>
  <si>
    <r>
      <rPr>
        <rFont val="inherit"/>
        <color rgb="FF1155CC"/>
        <sz val="11.0"/>
        <u/>
      </rPr>
      <t>OVC</t>
    </r>
  </si>
  <si>
    <r>
      <rPr>
        <rFont val="inherit"/>
        <color rgb="FF1155CC"/>
        <sz val="11.0"/>
        <u/>
      </rPr>
      <t>Old Dominion</t>
    </r>
  </si>
  <si>
    <r>
      <rPr>
        <rFont val="inherit"/>
        <color rgb="FF1155CC"/>
        <sz val="11.0"/>
        <u/>
      </rPr>
      <t>SB</t>
    </r>
  </si>
  <si>
    <r>
      <rPr>
        <rFont val="inherit"/>
        <color rgb="FF1155CC"/>
        <sz val="11.0"/>
        <u/>
      </rPr>
      <t>USC Upstate</t>
    </r>
  </si>
  <si>
    <r>
      <rPr>
        <rFont val="inherit"/>
        <color rgb="FF1155CC"/>
        <sz val="11.0"/>
        <u/>
      </rPr>
      <t>BSth</t>
    </r>
  </si>
  <si>
    <r>
      <rPr>
        <rFont val="inherit"/>
        <color rgb="FF1155CC"/>
        <sz val="11.0"/>
        <u/>
      </rPr>
      <t>Delaware St.</t>
    </r>
  </si>
  <si>
    <r>
      <rPr>
        <rFont val="inherit"/>
        <color rgb="FF1155CC"/>
        <sz val="11.0"/>
        <u/>
      </rPr>
      <t>MEAC</t>
    </r>
  </si>
  <si>
    <r>
      <rPr>
        <rFont val="inherit"/>
        <color rgb="FF1155CC"/>
        <sz val="11.0"/>
        <u/>
      </rPr>
      <t>New Mexico St.</t>
    </r>
  </si>
  <si>
    <r>
      <rPr>
        <rFont val="inherit"/>
        <color rgb="FF1155CC"/>
        <sz val="11.0"/>
        <u/>
      </rPr>
      <t>CUSA</t>
    </r>
  </si>
  <si>
    <r>
      <rPr>
        <rFont val="inherit"/>
        <color rgb="FF1155CC"/>
        <sz val="11.0"/>
        <u/>
      </rPr>
      <t>Tennessee St.</t>
    </r>
  </si>
  <si>
    <r>
      <rPr>
        <rFont val="inherit"/>
        <color rgb="FF1155CC"/>
        <sz val="11.0"/>
        <u/>
      </rPr>
      <t>OVC</t>
    </r>
  </si>
  <si>
    <r>
      <rPr>
        <rFont val="inherit"/>
        <color rgb="FF1155CC"/>
        <sz val="11.0"/>
        <u/>
      </rPr>
      <t>Wagner</t>
    </r>
    <r>
      <rPr>
        <rFont val="inherit"/>
        <sz val="11.0"/>
      </rPr>
      <t xml:space="preserve"> 16</t>
    </r>
  </si>
  <si>
    <r>
      <rPr>
        <rFont val="inherit"/>
        <color rgb="FF1155CC"/>
        <sz val="11.0"/>
        <u/>
      </rPr>
      <t>NEC</t>
    </r>
  </si>
  <si>
    <r>
      <rPr>
        <rFont val="inherit"/>
        <color rgb="FF1155CC"/>
        <sz val="11.0"/>
        <u/>
      </rPr>
      <t>Sacred Heart</t>
    </r>
  </si>
  <si>
    <r>
      <rPr>
        <rFont val="inherit"/>
        <color rgb="FF1155CC"/>
        <sz val="11.0"/>
        <u/>
      </rPr>
      <t>NEC</t>
    </r>
  </si>
  <si>
    <r>
      <rPr>
        <rFont val="inherit"/>
        <color rgb="FF1155CC"/>
        <sz val="11.0"/>
        <u/>
      </rPr>
      <t>Alcorn St.</t>
    </r>
  </si>
  <si>
    <r>
      <rPr>
        <rFont val="inherit"/>
        <color rgb="FF1155CC"/>
        <sz val="11.0"/>
        <u/>
      </rPr>
      <t>SWAC</t>
    </r>
  </si>
  <si>
    <r>
      <rPr>
        <rFont val="inherit"/>
        <color rgb="FF1155CC"/>
        <sz val="11.0"/>
        <u/>
      </rPr>
      <t>Chicago St.</t>
    </r>
  </si>
  <si>
    <r>
      <rPr>
        <rFont val="inherit"/>
        <color rgb="FF1155CC"/>
        <sz val="11.0"/>
        <u/>
      </rPr>
      <t>ind</t>
    </r>
  </si>
  <si>
    <r>
      <rPr>
        <rFont val="inherit"/>
        <color rgb="FF1155CC"/>
        <sz val="11.0"/>
        <u/>
      </rPr>
      <t>American</t>
    </r>
  </si>
  <si>
    <r>
      <rPr>
        <rFont val="inherit"/>
        <color rgb="FF1155CC"/>
        <sz val="11.0"/>
        <u/>
      </rPr>
      <t>Pat</t>
    </r>
  </si>
  <si>
    <r>
      <rPr>
        <rFont val="inherit"/>
        <color rgb="FF1155CC"/>
        <sz val="11.0"/>
        <u/>
      </rPr>
      <t>Boston University</t>
    </r>
  </si>
  <si>
    <r>
      <rPr>
        <rFont val="inherit"/>
        <color rgb="FF1155CC"/>
        <sz val="11.0"/>
        <u/>
      </rPr>
      <t>Pat</t>
    </r>
  </si>
  <si>
    <r>
      <rPr>
        <rFont val="inherit"/>
        <color rgb="FF1155CC"/>
        <sz val="11.0"/>
        <u/>
      </rPr>
      <t>Louisiana Monroe</t>
    </r>
  </si>
  <si>
    <r>
      <rPr>
        <rFont val="inherit"/>
        <color rgb="FF1155CC"/>
        <sz val="11.0"/>
        <u/>
      </rPr>
      <t>SB</t>
    </r>
  </si>
  <si>
    <r>
      <rPr>
        <rFont val="inherit"/>
        <color rgb="FF1155CC"/>
        <sz val="11.0"/>
        <u/>
      </rPr>
      <t>Portland</t>
    </r>
  </si>
  <si>
    <r>
      <rPr>
        <rFont val="inherit"/>
        <color rgb="FF1155CC"/>
        <sz val="11.0"/>
        <u/>
      </rPr>
      <t>WCC</t>
    </r>
  </si>
  <si>
    <r>
      <rPr>
        <rFont val="inherit"/>
        <color rgb="FF1155CC"/>
        <sz val="11.0"/>
        <u/>
      </rPr>
      <t>Valparaiso</t>
    </r>
  </si>
  <si>
    <r>
      <rPr>
        <rFont val="inherit"/>
        <color rgb="FF1155CC"/>
        <sz val="11.0"/>
        <u/>
      </rPr>
      <t>MVC</t>
    </r>
  </si>
  <si>
    <r>
      <rPr>
        <rFont val="inherit"/>
        <color rgb="FF1155CC"/>
        <sz val="11.0"/>
        <u/>
      </rPr>
      <t>South Carolina St.</t>
    </r>
  </si>
  <si>
    <r>
      <rPr>
        <rFont val="inherit"/>
        <color rgb="FF1155CC"/>
        <sz val="11.0"/>
        <u/>
      </rPr>
      <t>MEAC</t>
    </r>
  </si>
  <si>
    <r>
      <rPr>
        <rFont val="inherit"/>
        <color rgb="FF1155CC"/>
        <sz val="11.0"/>
        <u/>
      </rPr>
      <t>Le Moyne</t>
    </r>
  </si>
  <si>
    <r>
      <rPr>
        <rFont val="inherit"/>
        <color rgb="FF1155CC"/>
        <sz val="11.0"/>
        <u/>
      </rPr>
      <t>NEC</t>
    </r>
  </si>
  <si>
    <r>
      <rPr>
        <rFont val="inherit"/>
        <color rgb="FF1155CC"/>
        <sz val="11.0"/>
        <u/>
      </rPr>
      <t>Bethune Cookman</t>
    </r>
  </si>
  <si>
    <r>
      <rPr>
        <rFont val="inherit"/>
        <color rgb="FF1155CC"/>
        <sz val="11.0"/>
        <u/>
      </rPr>
      <t>SWAC</t>
    </r>
  </si>
  <si>
    <r>
      <rPr>
        <rFont val="inherit"/>
        <color rgb="FF1155CC"/>
        <sz val="11.0"/>
        <u/>
      </rPr>
      <t>DePaul</t>
    </r>
  </si>
  <si>
    <r>
      <rPr>
        <rFont val="inherit"/>
        <color rgb="FF1155CC"/>
        <sz val="11.0"/>
        <u/>
      </rPr>
      <t>BE</t>
    </r>
  </si>
  <si>
    <r>
      <rPr>
        <rFont val="inherit"/>
        <color rgb="FF1155CC"/>
        <sz val="11.0"/>
        <u/>
      </rPr>
      <t>Western Michigan</t>
    </r>
  </si>
  <si>
    <r>
      <rPr>
        <rFont val="inherit"/>
        <color rgb="FF1155CC"/>
        <sz val="11.0"/>
        <u/>
      </rPr>
      <t>MAC</t>
    </r>
  </si>
  <si>
    <r>
      <rPr>
        <rFont val="inherit"/>
        <color rgb="FF1155CC"/>
        <sz val="11.0"/>
        <u/>
      </rPr>
      <t>Southeastern Louisiana</t>
    </r>
  </si>
  <si>
    <r>
      <rPr>
        <rFont val="inherit"/>
        <color rgb="FF1155CC"/>
        <sz val="11.0"/>
        <u/>
      </rPr>
      <t>Slnd</t>
    </r>
  </si>
  <si>
    <r>
      <rPr>
        <rFont val="inherit"/>
        <color rgb="FF1155CC"/>
        <sz val="11.0"/>
        <u/>
      </rPr>
      <t>Robert Morris</t>
    </r>
  </si>
  <si>
    <r>
      <rPr>
        <rFont val="inherit"/>
        <color rgb="FF1155CC"/>
        <sz val="11.0"/>
        <u/>
      </rPr>
      <t>Horz</t>
    </r>
  </si>
  <si>
    <r>
      <rPr>
        <rFont val="inherit"/>
        <color rgb="FF1155CC"/>
        <sz val="11.0"/>
        <u/>
      </rPr>
      <t>Northern Illinois</t>
    </r>
  </si>
  <si>
    <r>
      <rPr>
        <rFont val="inherit"/>
        <color rgb="FF1155CC"/>
        <sz val="11.0"/>
        <u/>
      </rPr>
      <t>MAC</t>
    </r>
  </si>
  <si>
    <r>
      <rPr>
        <rFont val="inherit"/>
        <color rgb="FF1155CC"/>
        <sz val="11.0"/>
        <u/>
      </rPr>
      <t>Jackson St.</t>
    </r>
  </si>
  <si>
    <r>
      <rPr>
        <rFont val="inherit"/>
        <color rgb="FF1155CC"/>
        <sz val="11.0"/>
        <u/>
      </rPr>
      <t>SWAC</t>
    </r>
  </si>
  <si>
    <r>
      <rPr>
        <rFont val="inherit"/>
        <color rgb="FF1155CC"/>
        <sz val="11.0"/>
        <u/>
      </rPr>
      <t>Alabama St.</t>
    </r>
  </si>
  <si>
    <r>
      <rPr>
        <rFont val="inherit"/>
        <color rgb="FF1155CC"/>
        <sz val="11.0"/>
        <u/>
      </rPr>
      <t>SWAC</t>
    </r>
  </si>
  <si>
    <r>
      <rPr>
        <rFont val="inherit"/>
        <color rgb="FF1155CC"/>
        <sz val="11.0"/>
        <u/>
      </rPr>
      <t>Campbell</t>
    </r>
  </si>
  <si>
    <r>
      <rPr>
        <rFont val="inherit"/>
        <color rgb="FF1155CC"/>
        <sz val="11.0"/>
        <u/>
      </rPr>
      <t>CAA</t>
    </r>
  </si>
  <si>
    <r>
      <rPr>
        <rFont val="inherit"/>
        <color rgb="FF1155CC"/>
        <sz val="11.0"/>
        <u/>
      </rPr>
      <t>Northern Arizona</t>
    </r>
  </si>
  <si>
    <r>
      <rPr>
        <rFont val="inherit"/>
        <color rgb="FF1155CC"/>
        <sz val="11.0"/>
        <u/>
      </rPr>
      <t>BSky</t>
    </r>
  </si>
  <si>
    <r>
      <rPr>
        <rFont val="inherit"/>
        <color rgb="FF1155CC"/>
        <sz val="11.0"/>
        <u/>
      </rPr>
      <t>Coastal Carolina</t>
    </r>
  </si>
  <si>
    <r>
      <rPr>
        <rFont val="inherit"/>
        <color rgb="FF1155CC"/>
        <sz val="11.0"/>
        <u/>
      </rPr>
      <t>SB</t>
    </r>
  </si>
  <si>
    <r>
      <rPr>
        <rFont val="inherit"/>
        <color rgb="FF1155CC"/>
        <sz val="11.0"/>
        <u/>
      </rPr>
      <t>Sacramento St.</t>
    </r>
  </si>
  <si>
    <r>
      <rPr>
        <rFont val="inherit"/>
        <color rgb="FF1155CC"/>
        <sz val="11.0"/>
        <u/>
      </rPr>
      <t>BSky</t>
    </r>
  </si>
  <si>
    <r>
      <rPr>
        <rFont val="inherit"/>
        <color rgb="FF1155CC"/>
        <sz val="11.0"/>
        <u/>
      </rPr>
      <t>Charleston Southern</t>
    </r>
  </si>
  <si>
    <r>
      <rPr>
        <rFont val="inherit"/>
        <color rgb="FF1155CC"/>
        <sz val="11.0"/>
        <u/>
      </rPr>
      <t>BSth</t>
    </r>
  </si>
  <si>
    <r>
      <rPr>
        <rFont val="inherit"/>
        <color rgb="FF1155CC"/>
        <sz val="11.0"/>
        <u/>
      </rPr>
      <t>Bellarmine</t>
    </r>
  </si>
  <si>
    <r>
      <rPr>
        <rFont val="inherit"/>
        <color rgb="FF1155CC"/>
        <sz val="11.0"/>
        <u/>
      </rPr>
      <t>ASun</t>
    </r>
  </si>
  <si>
    <r>
      <rPr>
        <rFont val="inherit"/>
        <color rgb="FF1155CC"/>
        <sz val="11.0"/>
        <u/>
      </rPr>
      <t>Elon</t>
    </r>
  </si>
  <si>
    <r>
      <rPr>
        <rFont val="inherit"/>
        <color rgb="FF1155CC"/>
        <sz val="11.0"/>
        <u/>
      </rPr>
      <t>CAA</t>
    </r>
  </si>
  <si>
    <r>
      <rPr>
        <rFont val="inherit"/>
        <color rgb="FF1155CC"/>
        <sz val="11.0"/>
        <u/>
      </rPr>
      <t>Lafayette</t>
    </r>
  </si>
  <si>
    <r>
      <rPr>
        <rFont val="inherit"/>
        <color rgb="FF1155CC"/>
        <sz val="11.0"/>
        <u/>
      </rPr>
      <t>Pat</t>
    </r>
  </si>
  <si>
    <r>
      <rPr>
        <rFont val="inherit"/>
        <color rgb="FF1155CC"/>
        <sz val="11.0"/>
        <u/>
      </rPr>
      <t>William &amp; Mary</t>
    </r>
  </si>
  <si>
    <r>
      <rPr>
        <rFont val="inherit"/>
        <color rgb="FF1155CC"/>
        <sz val="11.0"/>
        <u/>
      </rPr>
      <t>CAA</t>
    </r>
  </si>
  <si>
    <r>
      <rPr>
        <rFont val="inherit"/>
        <color rgb="FF1155CC"/>
        <sz val="11.0"/>
        <u/>
      </rPr>
      <t>Eastern Illinois</t>
    </r>
  </si>
  <si>
    <r>
      <rPr>
        <rFont val="inherit"/>
        <color rgb="FF1155CC"/>
        <sz val="11.0"/>
        <u/>
      </rPr>
      <t>OVC</t>
    </r>
  </si>
  <si>
    <r>
      <rPr>
        <rFont val="inherit"/>
        <color rgb="FF1155CC"/>
        <sz val="11.0"/>
        <u/>
      </rPr>
      <t>Rk</t>
    </r>
  </si>
  <si>
    <r>
      <rPr>
        <rFont val="inherit"/>
        <color rgb="FF1155CC"/>
        <sz val="11.0"/>
        <u/>
      </rPr>
      <t>Team</t>
    </r>
  </si>
  <si>
    <r>
      <rPr>
        <rFont val="inherit"/>
        <color rgb="FF1155CC"/>
        <sz val="11.0"/>
        <u/>
      </rPr>
      <t>W</t>
    </r>
    <r>
      <rPr>
        <rFont val="inherit"/>
        <sz val="11.0"/>
      </rPr>
      <t>-</t>
    </r>
    <r>
      <rPr>
        <rFont val="inherit"/>
        <color rgb="FF1155CC"/>
        <sz val="11.0"/>
        <u/>
      </rPr>
      <t>L</t>
    </r>
  </si>
  <si>
    <r>
      <rPr>
        <rFont val="inherit"/>
        <color rgb="FF1155CC"/>
        <sz val="11.0"/>
        <u/>
      </rPr>
      <t>NetRtg</t>
    </r>
  </si>
  <si>
    <r>
      <rPr>
        <rFont val="inherit"/>
        <color rgb="FF1155CC"/>
        <sz val="11.0"/>
        <u/>
      </rPr>
      <t>ORtg</t>
    </r>
  </si>
  <si>
    <r>
      <rPr>
        <rFont val="inherit"/>
        <color rgb="FF1155CC"/>
        <sz val="11.0"/>
        <u/>
      </rPr>
      <t>DRtg</t>
    </r>
  </si>
  <si>
    <r>
      <rPr>
        <rFont val="inherit"/>
        <color rgb="FF1155CC"/>
        <sz val="11.0"/>
        <u/>
      </rPr>
      <t>AdjT</t>
    </r>
  </si>
  <si>
    <r>
      <rPr>
        <rFont val="inherit"/>
        <color rgb="FF1155CC"/>
        <sz val="11.0"/>
        <u/>
      </rPr>
      <t>Luck</t>
    </r>
  </si>
  <si>
    <r>
      <rPr>
        <rFont val="inherit"/>
        <color rgb="FF1155CC"/>
        <sz val="11.0"/>
        <u/>
      </rPr>
      <t>NetRtg</t>
    </r>
  </si>
  <si>
    <r>
      <rPr>
        <rFont val="inherit"/>
        <color rgb="FF1155CC"/>
        <sz val="11.0"/>
        <u/>
      </rPr>
      <t>ORtg</t>
    </r>
  </si>
  <si>
    <r>
      <rPr>
        <rFont val="inherit"/>
        <color rgb="FF1155CC"/>
        <sz val="11.0"/>
        <u/>
      </rPr>
      <t>DRtg</t>
    </r>
  </si>
  <si>
    <r>
      <rPr>
        <rFont val="inherit"/>
        <color rgb="FF1155CC"/>
        <sz val="11.0"/>
        <u/>
      </rPr>
      <t>NetRtg</t>
    </r>
  </si>
  <si>
    <r>
      <rPr>
        <rFont val="inherit"/>
        <color rgb="FF1155CC"/>
        <sz val="11.0"/>
        <u/>
      </rPr>
      <t>Idaho</t>
    </r>
  </si>
  <si>
    <r>
      <rPr>
        <rFont val="inherit"/>
        <color rgb="FF1155CC"/>
        <sz val="11.0"/>
        <u/>
      </rPr>
      <t>BSky</t>
    </r>
  </si>
  <si>
    <r>
      <rPr>
        <rFont val="inherit"/>
        <color rgb="FF1155CC"/>
        <sz val="11.0"/>
        <u/>
      </rPr>
      <t>South Dakota</t>
    </r>
  </si>
  <si>
    <r>
      <rPr>
        <rFont val="inherit"/>
        <color rgb="FF1155CC"/>
        <sz val="11.0"/>
        <u/>
      </rPr>
      <t>Sum</t>
    </r>
  </si>
  <si>
    <r>
      <rPr>
        <rFont val="inherit"/>
        <color rgb="FF1155CC"/>
        <sz val="11.0"/>
        <u/>
      </rPr>
      <t>Navy</t>
    </r>
  </si>
  <si>
    <r>
      <rPr>
        <rFont val="inherit"/>
        <color rgb="FF1155CC"/>
        <sz val="11.0"/>
        <u/>
      </rPr>
      <t>Pat</t>
    </r>
  </si>
  <si>
    <r>
      <rPr>
        <rFont val="inherit"/>
        <color rgb="FF1155CC"/>
        <sz val="11.0"/>
        <u/>
      </rPr>
      <t>Alabama A&amp;M</t>
    </r>
  </si>
  <si>
    <r>
      <rPr>
        <rFont val="inherit"/>
        <color rgb="FF1155CC"/>
        <sz val="11.0"/>
        <u/>
      </rPr>
      <t>SWAC</t>
    </r>
  </si>
  <si>
    <r>
      <rPr>
        <rFont val="inherit"/>
        <color rgb="FF1155CC"/>
        <sz val="11.0"/>
        <u/>
      </rPr>
      <t>Northwestern St.</t>
    </r>
  </si>
  <si>
    <r>
      <rPr>
        <rFont val="inherit"/>
        <color rgb="FF1155CC"/>
        <sz val="11.0"/>
        <u/>
      </rPr>
      <t>Slnd</t>
    </r>
  </si>
  <si>
    <r>
      <rPr>
        <rFont val="inherit"/>
        <color rgb="FF1155CC"/>
        <sz val="11.0"/>
        <u/>
      </rPr>
      <t>Eastern Michigan</t>
    </r>
  </si>
  <si>
    <r>
      <rPr>
        <rFont val="inherit"/>
        <color rgb="FF1155CC"/>
        <sz val="11.0"/>
        <u/>
      </rPr>
      <t>MAC</t>
    </r>
  </si>
  <si>
    <r>
      <rPr>
        <rFont val="inherit"/>
        <color rgb="FF1155CC"/>
        <sz val="11.0"/>
        <u/>
      </rPr>
      <t>Fairleigh Dickinson</t>
    </r>
  </si>
  <si>
    <r>
      <rPr>
        <rFont val="inherit"/>
        <color rgb="FF1155CC"/>
        <sz val="11.0"/>
        <u/>
      </rPr>
      <t>NEC</t>
    </r>
  </si>
  <si>
    <r>
      <rPr>
        <rFont val="inherit"/>
        <color rgb="FF1155CC"/>
        <sz val="11.0"/>
        <u/>
      </rPr>
      <t>Southern Indiana</t>
    </r>
  </si>
  <si>
    <r>
      <rPr>
        <rFont val="inherit"/>
        <color rgb="FF1155CC"/>
        <sz val="11.0"/>
        <u/>
      </rPr>
      <t>OVC</t>
    </r>
  </si>
  <si>
    <r>
      <rPr>
        <rFont val="inherit"/>
        <color rgb="FF1155CC"/>
        <sz val="11.0"/>
        <u/>
      </rPr>
      <t>UT Rio Grande Valley</t>
    </r>
  </si>
  <si>
    <r>
      <rPr>
        <rFont val="inherit"/>
        <color rgb="FF1155CC"/>
        <sz val="11.0"/>
        <u/>
      </rPr>
      <t>WAC</t>
    </r>
  </si>
  <si>
    <r>
      <rPr>
        <rFont val="inherit"/>
        <color rgb="FF1155CC"/>
        <sz val="11.0"/>
        <u/>
      </rPr>
      <t>Prairie View A&amp;M</t>
    </r>
  </si>
  <si>
    <r>
      <rPr>
        <rFont val="inherit"/>
        <color rgb="FF1155CC"/>
        <sz val="11.0"/>
        <u/>
      </rPr>
      <t>SWAC</t>
    </r>
  </si>
  <si>
    <r>
      <rPr>
        <rFont val="inherit"/>
        <color rgb="FF1155CC"/>
        <sz val="11.0"/>
        <u/>
      </rPr>
      <t>Arkansas Pine Bluff</t>
    </r>
  </si>
  <si>
    <r>
      <rPr>
        <rFont val="inherit"/>
        <color rgb="FF1155CC"/>
        <sz val="11.0"/>
        <u/>
      </rPr>
      <t>SWAC</t>
    </r>
  </si>
  <si>
    <r>
      <rPr>
        <rFont val="inherit"/>
        <color rgb="FF1155CC"/>
        <sz val="11.0"/>
        <u/>
      </rPr>
      <t>Tennessee Tech</t>
    </r>
  </si>
  <si>
    <r>
      <rPr>
        <rFont val="inherit"/>
        <color rgb="FF1155CC"/>
        <sz val="11.0"/>
        <u/>
      </rPr>
      <t>OVC</t>
    </r>
  </si>
  <si>
    <r>
      <rPr>
        <rFont val="inherit"/>
        <color rgb="FF1155CC"/>
        <sz val="11.0"/>
        <u/>
      </rPr>
      <t>Texas A&amp;M Commerce</t>
    </r>
  </si>
  <si>
    <r>
      <rPr>
        <rFont val="inherit"/>
        <color rgb="FF1155CC"/>
        <sz val="11.0"/>
        <u/>
      </rPr>
      <t>Slnd</t>
    </r>
  </si>
  <si>
    <r>
      <rPr>
        <rFont val="inherit"/>
        <color rgb="FF1155CC"/>
        <sz val="11.0"/>
        <u/>
      </rPr>
      <t>Morgan St.</t>
    </r>
  </si>
  <si>
    <r>
      <rPr>
        <rFont val="inherit"/>
        <color rgb="FF1155CC"/>
        <sz val="11.0"/>
        <u/>
      </rPr>
      <t>MEAC</t>
    </r>
  </si>
  <si>
    <r>
      <rPr>
        <rFont val="inherit"/>
        <color rgb="FF1155CC"/>
        <sz val="11.0"/>
        <u/>
      </rPr>
      <t>NJIT</t>
    </r>
  </si>
  <si>
    <r>
      <rPr>
        <rFont val="inherit"/>
        <color rgb="FF1155CC"/>
        <sz val="11.0"/>
        <u/>
      </rPr>
      <t>AE</t>
    </r>
  </si>
  <si>
    <r>
      <rPr>
        <rFont val="inherit"/>
        <color rgb="FF1155CC"/>
        <sz val="11.0"/>
        <u/>
      </rPr>
      <t>Dartmouth</t>
    </r>
  </si>
  <si>
    <r>
      <rPr>
        <rFont val="inherit"/>
        <color rgb="FF1155CC"/>
        <sz val="11.0"/>
        <u/>
      </rPr>
      <t>Ivy</t>
    </r>
  </si>
  <si>
    <r>
      <rPr>
        <rFont val="inherit"/>
        <color rgb="FF1155CC"/>
        <sz val="11.0"/>
        <u/>
      </rPr>
      <t>Manhattan</t>
    </r>
  </si>
  <si>
    <r>
      <rPr>
        <rFont val="inherit"/>
        <color rgb="FF1155CC"/>
        <sz val="11.0"/>
        <u/>
      </rPr>
      <t>MAAC</t>
    </r>
  </si>
  <si>
    <r>
      <rPr>
        <rFont val="inherit"/>
        <color rgb="FF1155CC"/>
        <sz val="11.0"/>
        <u/>
      </rPr>
      <t>Florida A&amp;M</t>
    </r>
  </si>
  <si>
    <r>
      <rPr>
        <rFont val="inherit"/>
        <color rgb="FF1155CC"/>
        <sz val="11.0"/>
        <u/>
      </rPr>
      <t>SWAC</t>
    </r>
  </si>
  <si>
    <r>
      <rPr>
        <rFont val="inherit"/>
        <color rgb="FF1155CC"/>
        <sz val="11.0"/>
        <u/>
      </rPr>
      <t>Cal Poly</t>
    </r>
  </si>
  <si>
    <r>
      <rPr>
        <rFont val="inherit"/>
        <color rgb="FF1155CC"/>
        <sz val="11.0"/>
        <u/>
      </rPr>
      <t>BW</t>
    </r>
  </si>
  <si>
    <r>
      <rPr>
        <rFont val="inherit"/>
        <color rgb="FF1155CC"/>
        <sz val="11.0"/>
        <u/>
      </rPr>
      <t>Central Arkansas</t>
    </r>
  </si>
  <si>
    <r>
      <rPr>
        <rFont val="inherit"/>
        <color rgb="FF1155CC"/>
        <sz val="11.0"/>
        <u/>
      </rPr>
      <t>ASun</t>
    </r>
  </si>
  <si>
    <r>
      <rPr>
        <rFont val="inherit"/>
        <color rgb="FF1155CC"/>
        <sz val="11.0"/>
        <u/>
      </rPr>
      <t>Hampton</t>
    </r>
  </si>
  <si>
    <r>
      <rPr>
        <rFont val="inherit"/>
        <color rgb="FF1155CC"/>
        <sz val="11.0"/>
        <u/>
      </rPr>
      <t>CAA</t>
    </r>
  </si>
  <si>
    <r>
      <rPr>
        <rFont val="inherit"/>
        <color rgb="FF1155CC"/>
        <sz val="11.0"/>
        <u/>
      </rPr>
      <t>New Orleans</t>
    </r>
  </si>
  <si>
    <r>
      <rPr>
        <rFont val="inherit"/>
        <color rgb="FF1155CC"/>
        <sz val="11.0"/>
        <u/>
      </rPr>
      <t>Slnd</t>
    </r>
  </si>
  <si>
    <r>
      <rPr>
        <rFont val="inherit"/>
        <color rgb="FF1155CC"/>
        <sz val="11.0"/>
        <u/>
      </rPr>
      <t>LIU</t>
    </r>
  </si>
  <si>
    <r>
      <rPr>
        <rFont val="inherit"/>
        <color rgb="FF1155CC"/>
        <sz val="11.0"/>
        <u/>
      </rPr>
      <t>NEC</t>
    </r>
  </si>
  <si>
    <r>
      <rPr>
        <rFont val="inherit"/>
        <color rgb="FF1155CC"/>
        <sz val="11.0"/>
        <u/>
      </rPr>
      <t>Army</t>
    </r>
  </si>
  <si>
    <r>
      <rPr>
        <rFont val="inherit"/>
        <color rgb="FF1155CC"/>
        <sz val="11.0"/>
        <u/>
      </rPr>
      <t>Pat</t>
    </r>
  </si>
  <si>
    <r>
      <rPr>
        <rFont val="inherit"/>
        <color rgb="FF1155CC"/>
        <sz val="11.0"/>
        <u/>
      </rPr>
      <t>Incarnate Word</t>
    </r>
  </si>
  <si>
    <r>
      <rPr>
        <rFont val="inherit"/>
        <color rgb="FF1155CC"/>
        <sz val="11.0"/>
        <u/>
      </rPr>
      <t>Slnd</t>
    </r>
  </si>
  <si>
    <r>
      <rPr>
        <rFont val="inherit"/>
        <color rgb="FF1155CC"/>
        <sz val="11.0"/>
        <u/>
      </rPr>
      <t>North Carolina A&amp;T</t>
    </r>
  </si>
  <si>
    <r>
      <rPr>
        <rFont val="inherit"/>
        <color rgb="FF1155CC"/>
        <sz val="11.0"/>
        <u/>
      </rPr>
      <t>CAA</t>
    </r>
  </si>
  <si>
    <r>
      <rPr>
        <rFont val="inherit"/>
        <color rgb="FF1155CC"/>
        <sz val="11.0"/>
        <u/>
      </rPr>
      <t>Maryland Eastern Shore</t>
    </r>
  </si>
  <si>
    <r>
      <rPr>
        <rFont val="inherit"/>
        <color rgb="FF1155CC"/>
        <sz val="11.0"/>
        <u/>
      </rPr>
      <t>MEAC</t>
    </r>
  </si>
  <si>
    <r>
      <rPr>
        <rFont val="inherit"/>
        <color rgb="FF1155CC"/>
        <sz val="11.0"/>
        <u/>
      </rPr>
      <t>Buffalo</t>
    </r>
  </si>
  <si>
    <r>
      <rPr>
        <rFont val="inherit"/>
        <color rgb="FF1155CC"/>
        <sz val="11.0"/>
        <u/>
      </rPr>
      <t>MAC</t>
    </r>
  </si>
  <si>
    <r>
      <rPr>
        <rFont val="inherit"/>
        <color rgb="FF1155CC"/>
        <sz val="11.0"/>
        <u/>
      </rPr>
      <t>Holy Cross</t>
    </r>
  </si>
  <si>
    <r>
      <rPr>
        <rFont val="inherit"/>
        <color rgb="FF1155CC"/>
        <sz val="11.0"/>
        <u/>
      </rPr>
      <t>Pat</t>
    </r>
  </si>
  <si>
    <r>
      <rPr>
        <rFont val="inherit"/>
        <color rgb="FF1155CC"/>
        <sz val="11.0"/>
        <u/>
      </rPr>
      <t>Loyola MD</t>
    </r>
  </si>
  <si>
    <r>
      <rPr>
        <rFont val="inherit"/>
        <color rgb="FF1155CC"/>
        <sz val="11.0"/>
        <u/>
      </rPr>
      <t>Pat</t>
    </r>
  </si>
  <si>
    <r>
      <rPr>
        <rFont val="inherit"/>
        <color rgb="FF1155CC"/>
        <sz val="11.0"/>
        <u/>
      </rPr>
      <t>Detroit Mercy</t>
    </r>
  </si>
  <si>
    <r>
      <rPr>
        <rFont val="inherit"/>
        <color rgb="FF1155CC"/>
        <sz val="11.0"/>
        <u/>
      </rPr>
      <t>Horz</t>
    </r>
  </si>
  <si>
    <r>
      <rPr>
        <rFont val="inherit"/>
        <color rgb="FF1155CC"/>
        <sz val="11.0"/>
        <u/>
      </rPr>
      <t>Southeast Missouri St.</t>
    </r>
  </si>
  <si>
    <r>
      <rPr>
        <rFont val="inherit"/>
        <color rgb="FF1155CC"/>
        <sz val="11.0"/>
        <u/>
      </rPr>
      <t>OVC</t>
    </r>
  </si>
  <si>
    <r>
      <rPr>
        <rFont val="inherit"/>
        <color rgb="FF1155CC"/>
        <sz val="11.0"/>
        <u/>
      </rPr>
      <t>VMI</t>
    </r>
  </si>
  <si>
    <r>
      <rPr>
        <rFont val="inherit"/>
        <color rgb="FF1155CC"/>
        <sz val="11.0"/>
        <u/>
      </rPr>
      <t>SC</t>
    </r>
  </si>
  <si>
    <r>
      <rPr>
        <rFont val="inherit"/>
        <color rgb="FF1155CC"/>
        <sz val="11.0"/>
        <u/>
      </rPr>
      <t>Saint Francis</t>
    </r>
  </si>
  <si>
    <r>
      <rPr>
        <rFont val="inherit"/>
        <color rgb="FF1155CC"/>
        <sz val="11.0"/>
        <u/>
      </rPr>
      <t>NEC</t>
    </r>
  </si>
  <si>
    <r>
      <rPr>
        <rFont val="inherit"/>
        <color rgb="FF1155CC"/>
        <sz val="11.0"/>
        <u/>
      </rPr>
      <t>Houston Christian</t>
    </r>
  </si>
  <si>
    <r>
      <rPr>
        <rFont val="inherit"/>
        <color rgb="FF1155CC"/>
        <sz val="11.0"/>
        <u/>
      </rPr>
      <t>Slnd</t>
    </r>
  </si>
  <si>
    <r>
      <rPr>
        <rFont val="inherit"/>
        <color rgb="FF1155CC"/>
        <sz val="11.0"/>
        <u/>
      </rPr>
      <t>Lindenwood</t>
    </r>
  </si>
  <si>
    <r>
      <rPr>
        <rFont val="inherit"/>
        <color rgb="FF1155CC"/>
        <sz val="11.0"/>
        <u/>
      </rPr>
      <t>OVC</t>
    </r>
  </si>
  <si>
    <r>
      <rPr>
        <rFont val="inherit"/>
        <color rgb="FF1155CC"/>
        <sz val="11.0"/>
        <u/>
      </rPr>
      <t>Siena</t>
    </r>
  </si>
  <si>
    <r>
      <rPr>
        <rFont val="inherit"/>
        <color rgb="FF1155CC"/>
        <sz val="11.0"/>
        <u/>
      </rPr>
      <t>MAAC</t>
    </r>
  </si>
  <si>
    <r>
      <rPr>
        <rFont val="inherit"/>
        <color rgb="FF1155CC"/>
        <sz val="11.0"/>
        <u/>
      </rPr>
      <t>Pacific</t>
    </r>
  </si>
  <si>
    <r>
      <rPr>
        <rFont val="inherit"/>
        <color rgb="FF1155CC"/>
        <sz val="11.0"/>
        <u/>
      </rPr>
      <t>WCC</t>
    </r>
  </si>
  <si>
    <r>
      <rPr>
        <rFont val="inherit"/>
        <color rgb="FF1155CC"/>
        <sz val="11.0"/>
        <u/>
      </rPr>
      <t>Stonehill</t>
    </r>
  </si>
  <si>
    <r>
      <rPr>
        <rFont val="inherit"/>
        <color rgb="FF1155CC"/>
        <sz val="11.0"/>
        <u/>
      </rPr>
      <t>NEC</t>
    </r>
  </si>
  <si>
    <r>
      <rPr>
        <rFont val="inherit"/>
        <color rgb="FF1155CC"/>
        <sz val="11.0"/>
        <u/>
      </rPr>
      <t>IUPUI</t>
    </r>
  </si>
  <si>
    <r>
      <rPr>
        <rFont val="inherit"/>
        <color rgb="FF1155CC"/>
        <sz val="11.0"/>
        <u/>
      </rPr>
      <t>Horz</t>
    </r>
  </si>
  <si>
    <r>
      <rPr>
        <rFont val="inherit"/>
        <color rgb="FF1155CC"/>
        <sz val="11.0"/>
        <u/>
      </rPr>
      <t>Rk</t>
    </r>
  </si>
  <si>
    <r>
      <rPr>
        <rFont val="inherit"/>
        <color rgb="FF1155CC"/>
        <sz val="11.0"/>
        <u/>
      </rPr>
      <t>Team</t>
    </r>
  </si>
  <si>
    <r>
      <rPr>
        <rFont val="inherit"/>
        <color rgb="FF1155CC"/>
        <sz val="11.0"/>
        <u/>
      </rPr>
      <t>W</t>
    </r>
    <r>
      <rPr>
        <rFont val="inherit"/>
        <sz val="11.0"/>
      </rPr>
      <t>-</t>
    </r>
    <r>
      <rPr>
        <rFont val="inherit"/>
        <color rgb="FF1155CC"/>
        <sz val="11.0"/>
        <u/>
      </rPr>
      <t>L</t>
    </r>
  </si>
  <si>
    <r>
      <rPr>
        <rFont val="inherit"/>
        <color rgb="FF1155CC"/>
        <sz val="11.0"/>
        <u/>
      </rPr>
      <t>NetRtg</t>
    </r>
  </si>
  <si>
    <r>
      <rPr>
        <rFont val="inherit"/>
        <color rgb="FF1155CC"/>
        <sz val="11.0"/>
        <u/>
      </rPr>
      <t>ORtg</t>
    </r>
  </si>
  <si>
    <r>
      <rPr>
        <rFont val="inherit"/>
        <color rgb="FF1155CC"/>
        <sz val="11.0"/>
        <u/>
      </rPr>
      <t>DRtg</t>
    </r>
  </si>
  <si>
    <r>
      <rPr>
        <rFont val="inherit"/>
        <color rgb="FF1155CC"/>
        <sz val="11.0"/>
        <u/>
      </rPr>
      <t>AdjT</t>
    </r>
  </si>
  <si>
    <r>
      <rPr>
        <rFont val="inherit"/>
        <color rgb="FF1155CC"/>
        <sz val="11.0"/>
        <u/>
      </rPr>
      <t>Luck</t>
    </r>
  </si>
  <si>
    <r>
      <rPr>
        <rFont val="inherit"/>
        <color rgb="FF1155CC"/>
        <sz val="11.0"/>
        <u/>
      </rPr>
      <t>NetRtg</t>
    </r>
  </si>
  <si>
    <r>
      <rPr>
        <rFont val="inherit"/>
        <color rgb="FF1155CC"/>
        <sz val="11.0"/>
        <u/>
      </rPr>
      <t>ORtg</t>
    </r>
  </si>
  <si>
    <r>
      <rPr>
        <rFont val="inherit"/>
        <color rgb="FF1155CC"/>
        <sz val="11.0"/>
        <u/>
      </rPr>
      <t>DRtg</t>
    </r>
  </si>
  <si>
    <r>
      <rPr>
        <rFont val="inherit"/>
        <color rgb="FF1155CC"/>
        <sz val="11.0"/>
        <u/>
      </rPr>
      <t>NetRtg</t>
    </r>
  </si>
  <si>
    <r>
      <rPr>
        <rFont val="inherit"/>
        <color rgb="FF1155CC"/>
        <sz val="11.0"/>
        <u/>
      </rPr>
      <t>Coppin St.</t>
    </r>
  </si>
  <si>
    <r>
      <rPr>
        <rFont val="inherit"/>
        <color rgb="FF1155CC"/>
        <sz val="11.0"/>
        <u/>
      </rPr>
      <t>MEAC</t>
    </r>
  </si>
  <si>
    <r>
      <rPr>
        <rFont val="inherit"/>
        <color rgb="FF1155CC"/>
        <sz val="11.0"/>
        <u/>
      </rPr>
      <t>Mississippi Valley St.</t>
    </r>
  </si>
  <si>
    <r>
      <rPr>
        <rFont val="inherit"/>
        <color rgb="FF1155CC"/>
        <sz val="11.0"/>
        <u/>
      </rPr>
      <t>SWAC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</si>
</sst>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14">
    <font>
      <sz val="10.0"/>
      <color rgb="FF000000"/>
      <name val="Arial"/>
      <scheme val="minor"/>
    </font>
    <font>
      <sz val="11.0"/>
      <color rgb="FF003399"/>
      <name val="Inherit"/>
    </font>
    <font/>
    <font>
      <u/>
      <sz val="11.0"/>
      <color rgb="FF0000FF"/>
      <name val="Inherit"/>
    </font>
    <font>
      <u/>
      <sz val="11.0"/>
      <color rgb="FF0000FF"/>
      <name val="Inherit"/>
    </font>
    <font>
      <sz val="11.0"/>
      <color rgb="FF000000"/>
      <name val="Inherit"/>
    </font>
    <font>
      <u/>
      <sz val="11.0"/>
      <color rgb="FF0000FF"/>
      <name val="Inherit"/>
    </font>
    <font>
      <sz val="11.0"/>
      <color rgb="FFE3E3E3"/>
      <name val="Arial"/>
      <scheme val="minor"/>
    </font>
    <font>
      <sz val="11.0"/>
      <color theme="1"/>
      <name val="Inherit"/>
    </font>
    <font>
      <u/>
      <sz val="11.0"/>
      <color rgb="FF0000FF"/>
      <name val="Inherit"/>
    </font>
    <font>
      <u/>
      <sz val="11.0"/>
      <color rgb="FF0000FF"/>
      <name val="Inherit"/>
    </font>
    <font>
      <sz val="8.0"/>
      <color rgb="FF000000"/>
      <name val="Inherit"/>
    </font>
    <font>
      <u/>
      <sz val="11.0"/>
      <color rgb="FF0000FF"/>
      <name val="Inherit"/>
    </font>
    <font>
      <u/>
      <sz val="11.0"/>
      <color rgb="FF0000FF"/>
      <name val="Inherit"/>
    </font>
  </fonts>
  <fills count="7">
    <fill>
      <patternFill patternType="none"/>
    </fill>
    <fill>
      <patternFill patternType="lightGray"/>
    </fill>
    <fill>
      <patternFill patternType="solid">
        <fgColor rgb="FFC3D9FF"/>
        <bgColor rgb="FFC3D9FF"/>
      </patternFill>
    </fill>
    <fill>
      <patternFill patternType="solid">
        <fgColor rgb="FF383838"/>
        <bgColor rgb="FF383838"/>
      </patternFill>
    </fill>
    <fill>
      <patternFill patternType="solid">
        <fgColor rgb="FFFFCCCC"/>
        <bgColor rgb="FFFFCCCC"/>
      </patternFill>
    </fill>
    <fill>
      <patternFill patternType="solid">
        <fgColor rgb="FFE5ECF9"/>
        <bgColor rgb="FFE5ECF9"/>
      </patternFill>
    </fill>
    <fill>
      <patternFill patternType="solid">
        <fgColor rgb="FFF2FAFD"/>
        <bgColor rgb="FFF2FAFD"/>
      </patternFill>
    </fill>
  </fills>
  <borders count="6">
    <border/>
    <border>
      <bottom style="medium">
        <color rgb="FF000000"/>
      </bottom>
    </border>
    <border>
      <left style="thin">
        <color rgb="FFBBBBBB"/>
      </left>
    </border>
    <border>
      <bottom style="thin">
        <color rgb="FF000000"/>
      </bottom>
    </border>
    <border>
      <left style="thin">
        <color rgb="FFBBBBBB"/>
      </left>
      <bottom style="thin">
        <color rgb="FF000000"/>
      </bottom>
    </border>
    <border>
      <left style="thin">
        <color rgb="FFBBBBBB"/>
      </left>
      <bottom style="medium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0" fontId="2" numFmtId="0" xfId="0" applyBorder="1" applyFont="1"/>
    <xf borderId="2" fillId="2" fontId="1" numFmtId="0" xfId="0" applyAlignment="1" applyBorder="1" applyFont="1">
      <alignment horizontal="center" vertical="bottom"/>
    </xf>
    <xf borderId="2" fillId="2" fontId="1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left" readingOrder="0"/>
    </xf>
    <xf borderId="1" fillId="2" fontId="1" numFmtId="0" xfId="0" applyAlignment="1" applyBorder="1" applyFont="1">
      <alignment horizontal="center" readingOrder="0" vertical="bottom"/>
    </xf>
    <xf borderId="1" fillId="0" fontId="5" numFmtId="0" xfId="0" applyAlignment="1" applyBorder="1" applyFont="1">
      <alignment horizontal="center" readingOrder="0"/>
    </xf>
    <xf borderId="2" fillId="0" fontId="5" numFmtId="0" xfId="0" applyAlignment="1" applyBorder="1" applyFont="1">
      <alignment horizontal="center" readingOrder="0"/>
    </xf>
    <xf borderId="2" fillId="0" fontId="6" numFmtId="0" xfId="0" applyAlignment="1" applyBorder="1" applyFont="1">
      <alignment horizontal="center" readingOrder="0"/>
    </xf>
    <xf borderId="0" fillId="3" fontId="7" numFmtId="0" xfId="0" applyAlignment="1" applyFill="1" applyFont="1">
      <alignment readingOrder="0"/>
    </xf>
    <xf borderId="0" fillId="0" fontId="8" numFmtId="0" xfId="0" applyAlignment="1" applyFont="1">
      <alignment horizontal="center" readingOrder="0"/>
    </xf>
    <xf borderId="1" fillId="0" fontId="8" numFmtId="0" xfId="0" applyAlignment="1" applyBorder="1" applyFont="1">
      <alignment horizontal="center" readingOrder="0"/>
    </xf>
    <xf borderId="3" fillId="4" fontId="5" numFmtId="0" xfId="0" applyAlignment="1" applyBorder="1" applyFill="1" applyFont="1">
      <alignment horizontal="center" readingOrder="0" shrinkToFit="0" wrapText="0"/>
    </xf>
    <xf borderId="3" fillId="0" fontId="9" numFmtId="0" xfId="0" applyAlignment="1" applyBorder="1" applyFont="1">
      <alignment horizontal="left" readingOrder="0" shrinkToFit="0" wrapText="0"/>
    </xf>
    <xf borderId="3" fillId="0" fontId="10" numFmtId="0" xfId="0" applyAlignment="1" applyBorder="1" applyFont="1">
      <alignment horizontal="center" readingOrder="0" shrinkToFit="0" wrapText="0"/>
    </xf>
    <xf borderId="3" fillId="4" fontId="5" numFmtId="0" xfId="0" applyAlignment="1" applyBorder="1" applyFont="1">
      <alignment horizontal="center" shrinkToFit="0" wrapText="0"/>
    </xf>
    <xf borderId="4" fillId="4" fontId="5" numFmtId="0" xfId="0" applyAlignment="1" applyBorder="1" applyFont="1">
      <alignment horizontal="center" readingOrder="0" shrinkToFit="0" wrapText="0"/>
    </xf>
    <xf borderId="3" fillId="4" fontId="11" numFmtId="0" xfId="0" applyAlignment="1" applyBorder="1" applyFont="1">
      <alignment horizontal="center" readingOrder="0" shrinkToFit="0" wrapText="0"/>
    </xf>
    <xf borderId="4" fillId="4" fontId="5" numFmtId="0" xfId="0" applyAlignment="1" applyBorder="1" applyFont="1">
      <alignment horizontal="center" shrinkToFit="0" wrapText="0"/>
    </xf>
    <xf borderId="3" fillId="5" fontId="5" numFmtId="0" xfId="0" applyAlignment="1" applyBorder="1" applyFill="1" applyFont="1">
      <alignment horizontal="center" readingOrder="0" shrinkToFit="0" wrapText="0"/>
    </xf>
    <xf borderId="3" fillId="5" fontId="5" numFmtId="0" xfId="0" applyAlignment="1" applyBorder="1" applyFont="1">
      <alignment horizontal="center" shrinkToFit="0" wrapText="0"/>
    </xf>
    <xf borderId="4" fillId="5" fontId="5" numFmtId="0" xfId="0" applyAlignment="1" applyBorder="1" applyFont="1">
      <alignment horizontal="center" readingOrder="0" shrinkToFit="0" wrapText="0"/>
    </xf>
    <xf borderId="3" fillId="5" fontId="11" numFmtId="0" xfId="0" applyAlignment="1" applyBorder="1" applyFont="1">
      <alignment horizontal="center" readingOrder="0" shrinkToFit="0" wrapText="0"/>
    </xf>
    <xf borderId="4" fillId="5" fontId="5" numFmtId="0" xfId="0" applyAlignment="1" applyBorder="1" applyFont="1">
      <alignment horizontal="center" shrinkToFit="0" wrapText="0"/>
    </xf>
    <xf borderId="3" fillId="6" fontId="5" numFmtId="0" xfId="0" applyAlignment="1" applyBorder="1" applyFill="1" applyFont="1">
      <alignment horizontal="center" readingOrder="0" shrinkToFit="0" wrapText="0"/>
    </xf>
    <xf borderId="3" fillId="6" fontId="5" numFmtId="0" xfId="0" applyAlignment="1" applyBorder="1" applyFont="1">
      <alignment horizontal="center" shrinkToFit="0" wrapText="0"/>
    </xf>
    <xf borderId="4" fillId="6" fontId="5" numFmtId="0" xfId="0" applyAlignment="1" applyBorder="1" applyFont="1">
      <alignment horizontal="center" readingOrder="0" shrinkToFit="0" wrapText="0"/>
    </xf>
    <xf borderId="3" fillId="6" fontId="11" numFmtId="0" xfId="0" applyAlignment="1" applyBorder="1" applyFont="1">
      <alignment horizontal="center" readingOrder="0" shrinkToFit="0" wrapText="0"/>
    </xf>
    <xf borderId="4" fillId="6" fontId="5" numFmtId="0" xfId="0" applyAlignment="1" applyBorder="1" applyFont="1">
      <alignment horizontal="center" shrinkToFit="0" wrapText="0"/>
    </xf>
    <xf borderId="1" fillId="5" fontId="5" numFmtId="0" xfId="0" applyAlignment="1" applyBorder="1" applyFont="1">
      <alignment horizontal="center" readingOrder="0" shrinkToFit="0" wrapText="0"/>
    </xf>
    <xf borderId="1" fillId="0" fontId="12" numFmtId="0" xfId="0" applyAlignment="1" applyBorder="1" applyFont="1">
      <alignment horizontal="left" readingOrder="0" shrinkToFit="0" wrapText="0"/>
    </xf>
    <xf borderId="1" fillId="0" fontId="13" numFmtId="0" xfId="0" applyAlignment="1" applyBorder="1" applyFont="1">
      <alignment horizontal="center" readingOrder="0" shrinkToFit="0" wrapText="0"/>
    </xf>
    <xf borderId="1" fillId="5" fontId="5" numFmtId="0" xfId="0" applyAlignment="1" applyBorder="1" applyFont="1">
      <alignment horizontal="center" shrinkToFit="0" wrapText="0"/>
    </xf>
    <xf borderId="5" fillId="5" fontId="5" numFmtId="0" xfId="0" applyAlignment="1" applyBorder="1" applyFont="1">
      <alignment horizontal="center" readingOrder="0" shrinkToFit="0" wrapText="0"/>
    </xf>
    <xf borderId="1" fillId="5" fontId="11" numFmtId="0" xfId="0" applyAlignment="1" applyBorder="1" applyFont="1">
      <alignment horizontal="center" readingOrder="0" shrinkToFit="0" wrapText="0"/>
    </xf>
    <xf borderId="5" fillId="5" fontId="5" numFmtId="0" xfId="0" applyAlignment="1" applyBorder="1" applyFont="1">
      <alignment horizontal="center" shrinkToFit="0" wrapText="0"/>
    </xf>
    <xf borderId="3" fillId="6" fontId="5" numFmtId="164" xfId="0" applyAlignment="1" applyBorder="1" applyFont="1" applyNumberFormat="1">
      <alignment horizontal="center" readingOrder="0" shrinkToFit="0" wrapText="0"/>
    </xf>
    <xf borderId="3" fillId="5" fontId="5" numFmtId="164" xfId="0" applyAlignment="1" applyBorder="1" applyFont="1" applyNumberFormat="1">
      <alignment horizontal="center" readingOrder="0" shrinkToFit="0" wrapText="0"/>
    </xf>
    <xf borderId="1" fillId="5" fontId="5" numFmtId="164" xfId="0" applyAlignment="1" applyBorder="1" applyFont="1" applyNumberFormat="1">
      <alignment horizontal="center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kenpom.com/team.php?team=Samford&amp;y=2024" TargetMode="External"/><Relationship Id="rId194" Type="http://schemas.openxmlformats.org/officeDocument/2006/relationships/hyperlink" Target="https://kenpom.com/team.php?team=Appalachian+St.&amp;y=2024" TargetMode="External"/><Relationship Id="rId193" Type="http://schemas.openxmlformats.org/officeDocument/2006/relationships/hyperlink" Target="https://kenpom.com/conf.php?c=BW&amp;y=2024" TargetMode="External"/><Relationship Id="rId192" Type="http://schemas.openxmlformats.org/officeDocument/2006/relationships/hyperlink" Target="https://kenpom.com/team.php?team=UC+Irvine&amp;y=2024" TargetMode="External"/><Relationship Id="rId191" Type="http://schemas.openxmlformats.org/officeDocument/2006/relationships/hyperlink" Target="https://kenpom.com/conf.php?c=SC&amp;y=2024" TargetMode="External"/><Relationship Id="rId187" Type="http://schemas.openxmlformats.org/officeDocument/2006/relationships/hyperlink" Target="https://kenpom.com/index.php?y=2024&amp;s=RankSOSO" TargetMode="External"/><Relationship Id="rId186" Type="http://schemas.openxmlformats.org/officeDocument/2006/relationships/hyperlink" Target="https://kenpom.com/index.php?y=2024&amp;s=RankSOS" TargetMode="External"/><Relationship Id="rId185" Type="http://schemas.openxmlformats.org/officeDocument/2006/relationships/hyperlink" Target="https://kenpom.com/index.php?y=2024&amp;s=RankLuck" TargetMode="External"/><Relationship Id="rId184" Type="http://schemas.openxmlformats.org/officeDocument/2006/relationships/hyperlink" Target="https://kenpom.com/index.php?y=2024&amp;s=RankAdjTempo" TargetMode="External"/><Relationship Id="rId189" Type="http://schemas.openxmlformats.org/officeDocument/2006/relationships/hyperlink" Target="https://kenpom.com/index.php?y=2024&amp;s=RankNCSOS" TargetMode="External"/><Relationship Id="rId188" Type="http://schemas.openxmlformats.org/officeDocument/2006/relationships/hyperlink" Target="https://kenpom.com/index.php?y=2024&amp;s=RankSOSD" TargetMode="External"/><Relationship Id="rId183" Type="http://schemas.openxmlformats.org/officeDocument/2006/relationships/hyperlink" Target="https://kenpom.com/index.php?y=2024&amp;s=RankAdjDE" TargetMode="External"/><Relationship Id="rId182" Type="http://schemas.openxmlformats.org/officeDocument/2006/relationships/hyperlink" Target="https://kenpom.com/index.php?y=2024&amp;s=RankAdjOE" TargetMode="External"/><Relationship Id="rId181" Type="http://schemas.openxmlformats.org/officeDocument/2006/relationships/hyperlink" Target="https://kenpom.com/index.php?y=2024" TargetMode="External"/><Relationship Id="rId180" Type="http://schemas.openxmlformats.org/officeDocument/2006/relationships/hyperlink" Target="https://kenpom.com/index.php?y=2024&amp;s=Wins" TargetMode="External"/><Relationship Id="rId176" Type="http://schemas.openxmlformats.org/officeDocument/2006/relationships/hyperlink" Target="https://kenpom.com/team.php?team=Syracuse&amp;y=2024" TargetMode="External"/><Relationship Id="rId175" Type="http://schemas.openxmlformats.org/officeDocument/2006/relationships/hyperlink" Target="https://kenpom.com/conf.php?c=ACC&amp;y=2024" TargetMode="External"/><Relationship Id="rId174" Type="http://schemas.openxmlformats.org/officeDocument/2006/relationships/hyperlink" Target="https://kenpom.com/team.php?team=Florida+St.&amp;y=2024" TargetMode="External"/><Relationship Id="rId173" Type="http://schemas.openxmlformats.org/officeDocument/2006/relationships/hyperlink" Target="https://kenpom.com/conf.php?c=B10&amp;y=2024" TargetMode="External"/><Relationship Id="rId179" Type="http://schemas.openxmlformats.org/officeDocument/2006/relationships/hyperlink" Target="https://kenpom.com/index.php?y=2024&amp;s=TeamName" TargetMode="External"/><Relationship Id="rId178" Type="http://schemas.openxmlformats.org/officeDocument/2006/relationships/hyperlink" Target="https://kenpom.com/index.php?y=2024" TargetMode="External"/><Relationship Id="rId177" Type="http://schemas.openxmlformats.org/officeDocument/2006/relationships/hyperlink" Target="https://kenpom.com/conf.php?c=ACC&amp;y=2024" TargetMode="External"/><Relationship Id="rId198" Type="http://schemas.openxmlformats.org/officeDocument/2006/relationships/hyperlink" Target="https://kenpom.com/team.php?team=USC&amp;y=2024" TargetMode="External"/><Relationship Id="rId197" Type="http://schemas.openxmlformats.org/officeDocument/2006/relationships/hyperlink" Target="https://kenpom.com/conf.php?c=SEC&amp;y=2024" TargetMode="External"/><Relationship Id="rId196" Type="http://schemas.openxmlformats.org/officeDocument/2006/relationships/hyperlink" Target="https://kenpom.com/team.php?team=Georgia&amp;y=2024" TargetMode="External"/><Relationship Id="rId195" Type="http://schemas.openxmlformats.org/officeDocument/2006/relationships/hyperlink" Target="https://kenpom.com/conf.php?c=SB&amp;y=2024" TargetMode="External"/><Relationship Id="rId199" Type="http://schemas.openxmlformats.org/officeDocument/2006/relationships/hyperlink" Target="https://kenpom.com/conf.php?c=P12&amp;y=2024" TargetMode="External"/><Relationship Id="rId150" Type="http://schemas.openxmlformats.org/officeDocument/2006/relationships/hyperlink" Target="https://kenpom.com/team.php?team=McNeese+St.&amp;y=2024" TargetMode="External"/><Relationship Id="rId392" Type="http://schemas.openxmlformats.org/officeDocument/2006/relationships/hyperlink" Target="https://kenpom.com/team.php?team=Stephen+F.+Austin&amp;y=2024" TargetMode="External"/><Relationship Id="rId391" Type="http://schemas.openxmlformats.org/officeDocument/2006/relationships/hyperlink" Target="https://kenpom.com/conf.php?c=CAA&amp;y=2024" TargetMode="External"/><Relationship Id="rId390" Type="http://schemas.openxmlformats.org/officeDocument/2006/relationships/hyperlink" Target="https://kenpom.com/team.php?team=Delaware&amp;y=2024" TargetMode="External"/><Relationship Id="rId1" Type="http://schemas.openxmlformats.org/officeDocument/2006/relationships/hyperlink" Target="https://kenpom.com/index.php?y=2024" TargetMode="External"/><Relationship Id="rId2" Type="http://schemas.openxmlformats.org/officeDocument/2006/relationships/hyperlink" Target="https://kenpom.com/index.php?y=2024&amp;s=TeamName" TargetMode="External"/><Relationship Id="rId3" Type="http://schemas.openxmlformats.org/officeDocument/2006/relationships/hyperlink" Target="https://kenpom.com/index.php?y=2024&amp;s=Wins" TargetMode="External"/><Relationship Id="rId149" Type="http://schemas.openxmlformats.org/officeDocument/2006/relationships/hyperlink" Target="https://kenpom.com/conf.php?c=B12&amp;y=2024" TargetMode="External"/><Relationship Id="rId4" Type="http://schemas.openxmlformats.org/officeDocument/2006/relationships/hyperlink" Target="https://kenpom.com/index.php?y=2024&amp;s=RankAdjTempo" TargetMode="External"/><Relationship Id="rId148" Type="http://schemas.openxmlformats.org/officeDocument/2006/relationships/hyperlink" Target="https://kenpom.com/team.php?team=UCF&amp;y=2024" TargetMode="External"/><Relationship Id="rId9" Type="http://schemas.openxmlformats.org/officeDocument/2006/relationships/hyperlink" Target="https://kenpom.com/conf.php?c=B12&amp;y=2024" TargetMode="External"/><Relationship Id="rId143" Type="http://schemas.openxmlformats.org/officeDocument/2006/relationships/hyperlink" Target="https://kenpom.com/conf.php?c=SB&amp;y=2024" TargetMode="External"/><Relationship Id="rId385" Type="http://schemas.openxmlformats.org/officeDocument/2006/relationships/hyperlink" Target="https://kenpom.com/conf.php?c=ASun&amp;y=2024" TargetMode="External"/><Relationship Id="rId142" Type="http://schemas.openxmlformats.org/officeDocument/2006/relationships/hyperlink" Target="https://kenpom.com/team.php?team=James+Madison&amp;y=2024" TargetMode="External"/><Relationship Id="rId384" Type="http://schemas.openxmlformats.org/officeDocument/2006/relationships/hyperlink" Target="https://kenpom.com/team.php?team=Lipscomb&amp;y=2024" TargetMode="External"/><Relationship Id="rId141" Type="http://schemas.openxmlformats.org/officeDocument/2006/relationships/hyperlink" Target="https://kenpom.com/conf.php?c=B10&amp;y=2024" TargetMode="External"/><Relationship Id="rId383" Type="http://schemas.openxmlformats.org/officeDocument/2006/relationships/hyperlink" Target="https://kenpom.com/conf.php?c=BW&amp;y=2024" TargetMode="External"/><Relationship Id="rId140" Type="http://schemas.openxmlformats.org/officeDocument/2006/relationships/hyperlink" Target="https://kenpom.com/team.php?team=Maryland&amp;y=2024" TargetMode="External"/><Relationship Id="rId382" Type="http://schemas.openxmlformats.org/officeDocument/2006/relationships/hyperlink" Target="https://kenpom.com/team.php?team=Long+Beach+St.&amp;y=2024" TargetMode="External"/><Relationship Id="rId5" Type="http://schemas.openxmlformats.org/officeDocument/2006/relationships/hyperlink" Target="https://kenpom.com/index.php?y=2024&amp;s=RankLuck" TargetMode="External"/><Relationship Id="rId147" Type="http://schemas.openxmlformats.org/officeDocument/2006/relationships/hyperlink" Target="https://kenpom.com/conf.php?c=WCC&amp;y=2024" TargetMode="External"/><Relationship Id="rId389" Type="http://schemas.openxmlformats.org/officeDocument/2006/relationships/hyperlink" Target="https://kenpom.com/conf.php?c=CAA&amp;y=2024" TargetMode="External"/><Relationship Id="rId6" Type="http://schemas.openxmlformats.org/officeDocument/2006/relationships/hyperlink" Target="https://kenpom.com/team.php?team=Connecticut&amp;y=2024" TargetMode="External"/><Relationship Id="rId146" Type="http://schemas.openxmlformats.org/officeDocument/2006/relationships/hyperlink" Target="https://kenpom.com/team.php?team=San+Francisco&amp;y=2024" TargetMode="External"/><Relationship Id="rId388" Type="http://schemas.openxmlformats.org/officeDocument/2006/relationships/hyperlink" Target="https://kenpom.com/team.php?team=Stony+Brook&amp;y=2024" TargetMode="External"/><Relationship Id="rId7" Type="http://schemas.openxmlformats.org/officeDocument/2006/relationships/hyperlink" Target="https://kenpom.com/conf.php?c=BE&amp;y=2024" TargetMode="External"/><Relationship Id="rId145" Type="http://schemas.openxmlformats.org/officeDocument/2006/relationships/hyperlink" Target="https://kenpom.com/conf.php?c=MVC&amp;y=2024" TargetMode="External"/><Relationship Id="rId387" Type="http://schemas.openxmlformats.org/officeDocument/2006/relationships/hyperlink" Target="https://kenpom.com/conf.php?c=BW&amp;y=2024" TargetMode="External"/><Relationship Id="rId8" Type="http://schemas.openxmlformats.org/officeDocument/2006/relationships/hyperlink" Target="https://kenpom.com/team.php?team=Houston&amp;y=2024" TargetMode="External"/><Relationship Id="rId144" Type="http://schemas.openxmlformats.org/officeDocument/2006/relationships/hyperlink" Target="https://kenpom.com/team.php?team=Bradley&amp;y=2024" TargetMode="External"/><Relationship Id="rId386" Type="http://schemas.openxmlformats.org/officeDocument/2006/relationships/hyperlink" Target="https://kenpom.com/team.php?team=Hawaii&amp;y=2024" TargetMode="External"/><Relationship Id="rId381" Type="http://schemas.openxmlformats.org/officeDocument/2006/relationships/hyperlink" Target="https://kenpom.com/conf.php?c=BSth&amp;y=2024" TargetMode="External"/><Relationship Id="rId380" Type="http://schemas.openxmlformats.org/officeDocument/2006/relationships/hyperlink" Target="https://kenpom.com/team.php?team=UNC+Asheville&amp;y=2024" TargetMode="External"/><Relationship Id="rId139" Type="http://schemas.openxmlformats.org/officeDocument/2006/relationships/hyperlink" Target="https://kenpom.com/conf.php?c=BE&amp;y=2024" TargetMode="External"/><Relationship Id="rId138" Type="http://schemas.openxmlformats.org/officeDocument/2006/relationships/hyperlink" Target="https://kenpom.com/team.php?team=Butler&amp;y=2024" TargetMode="External"/><Relationship Id="rId137" Type="http://schemas.openxmlformats.org/officeDocument/2006/relationships/hyperlink" Target="https://kenpom.com/conf.php?c=P12&amp;y=2024" TargetMode="External"/><Relationship Id="rId379" Type="http://schemas.openxmlformats.org/officeDocument/2006/relationships/hyperlink" Target="https://kenpom.com/conf.php?c=BSky&amp;y=2024" TargetMode="External"/><Relationship Id="rId132" Type="http://schemas.openxmlformats.org/officeDocument/2006/relationships/hyperlink" Target="https://kenpom.com/team.php?team=Virginia+Tech&amp;y=2024" TargetMode="External"/><Relationship Id="rId374" Type="http://schemas.openxmlformats.org/officeDocument/2006/relationships/hyperlink" Target="https://kenpom.com/team.php?team=Longwood&amp;y=2024" TargetMode="External"/><Relationship Id="rId131" Type="http://schemas.openxmlformats.org/officeDocument/2006/relationships/hyperlink" Target="https://kenpom.com/conf.php?c=B10&amp;y=2024" TargetMode="External"/><Relationship Id="rId373" Type="http://schemas.openxmlformats.org/officeDocument/2006/relationships/hyperlink" Target="https://kenpom.com/index.php?y=2024&amp;s=RankNCSOS" TargetMode="External"/><Relationship Id="rId130" Type="http://schemas.openxmlformats.org/officeDocument/2006/relationships/hyperlink" Target="https://kenpom.com/team.php?team=Iowa&amp;y=2024" TargetMode="External"/><Relationship Id="rId372" Type="http://schemas.openxmlformats.org/officeDocument/2006/relationships/hyperlink" Target="https://kenpom.com/index.php?y=2024&amp;s=RankSOSD" TargetMode="External"/><Relationship Id="rId371" Type="http://schemas.openxmlformats.org/officeDocument/2006/relationships/hyperlink" Target="https://kenpom.com/index.php?y=2024&amp;s=RankSOSO" TargetMode="External"/><Relationship Id="rId136" Type="http://schemas.openxmlformats.org/officeDocument/2006/relationships/hyperlink" Target="https://kenpom.com/team.php?team=Washington&amp;y=2024" TargetMode="External"/><Relationship Id="rId378" Type="http://schemas.openxmlformats.org/officeDocument/2006/relationships/hyperlink" Target="https://kenpom.com/team.php?team=Montana&amp;y=2024" TargetMode="External"/><Relationship Id="rId135" Type="http://schemas.openxmlformats.org/officeDocument/2006/relationships/hyperlink" Target="https://kenpom.com/conf.php?c=BE&amp;y=2024" TargetMode="External"/><Relationship Id="rId377" Type="http://schemas.openxmlformats.org/officeDocument/2006/relationships/hyperlink" Target="https://kenpom.com/conf.php?c=WAC&amp;y=2024" TargetMode="External"/><Relationship Id="rId134" Type="http://schemas.openxmlformats.org/officeDocument/2006/relationships/hyperlink" Target="https://kenpom.com/team.php?team=Providence&amp;y=2024" TargetMode="External"/><Relationship Id="rId376" Type="http://schemas.openxmlformats.org/officeDocument/2006/relationships/hyperlink" Target="https://kenpom.com/team.php?team=Utah+Valley&amp;y=2024" TargetMode="External"/><Relationship Id="rId133" Type="http://schemas.openxmlformats.org/officeDocument/2006/relationships/hyperlink" Target="https://kenpom.com/conf.php?c=ACC&amp;y=2024" TargetMode="External"/><Relationship Id="rId375" Type="http://schemas.openxmlformats.org/officeDocument/2006/relationships/hyperlink" Target="https://kenpom.com/conf.php?c=BSth&amp;y=2024" TargetMode="External"/><Relationship Id="rId172" Type="http://schemas.openxmlformats.org/officeDocument/2006/relationships/hyperlink" Target="https://kenpom.com/team.php?team=Minnesota&amp;y=2024" TargetMode="External"/><Relationship Id="rId171" Type="http://schemas.openxmlformats.org/officeDocument/2006/relationships/hyperlink" Target="https://kenpom.com/conf.php?c=B10&amp;y=2024" TargetMode="External"/><Relationship Id="rId170" Type="http://schemas.openxmlformats.org/officeDocument/2006/relationships/hyperlink" Target="https://kenpom.com/team.php?team=Penn+St.&amp;y=2024" TargetMode="External"/><Relationship Id="rId165" Type="http://schemas.openxmlformats.org/officeDocument/2006/relationships/hyperlink" Target="https://kenpom.com/conf.php?c=Amer&amp;y=2024" TargetMode="External"/><Relationship Id="rId164" Type="http://schemas.openxmlformats.org/officeDocument/2006/relationships/hyperlink" Target="https://kenpom.com/team.php?team=North+Texas&amp;y=2024" TargetMode="External"/><Relationship Id="rId163" Type="http://schemas.openxmlformats.org/officeDocument/2006/relationships/hyperlink" Target="https://kenpom.com/conf.php?c=MWC&amp;y=2024" TargetMode="External"/><Relationship Id="rId162" Type="http://schemas.openxmlformats.org/officeDocument/2006/relationships/hyperlink" Target="https://kenpom.com/team.php?team=UNLV&amp;y=2024" TargetMode="External"/><Relationship Id="rId169" Type="http://schemas.openxmlformats.org/officeDocument/2006/relationships/hyperlink" Target="https://kenpom.com/conf.php?c=Amer&amp;y=2024" TargetMode="External"/><Relationship Id="rId168" Type="http://schemas.openxmlformats.org/officeDocument/2006/relationships/hyperlink" Target="https://kenpom.com/team.php?team=Memphis&amp;y=2024" TargetMode="External"/><Relationship Id="rId167" Type="http://schemas.openxmlformats.org/officeDocument/2006/relationships/hyperlink" Target="https://kenpom.com/conf.php?c=A10&amp;y=2024" TargetMode="External"/><Relationship Id="rId166" Type="http://schemas.openxmlformats.org/officeDocument/2006/relationships/hyperlink" Target="https://kenpom.com/team.php?team=VCU&amp;y=2024" TargetMode="External"/><Relationship Id="rId161" Type="http://schemas.openxmlformats.org/officeDocument/2006/relationships/hyperlink" Target="https://kenpom.com/conf.php?c=Amer&amp;y=2024" TargetMode="External"/><Relationship Id="rId160" Type="http://schemas.openxmlformats.org/officeDocument/2006/relationships/hyperlink" Target="https://kenpom.com/team.php?team=SMU&amp;y=2024" TargetMode="External"/><Relationship Id="rId159" Type="http://schemas.openxmlformats.org/officeDocument/2006/relationships/hyperlink" Target="https://kenpom.com/conf.php?c=ACC&amp;y=2024" TargetMode="External"/><Relationship Id="rId154" Type="http://schemas.openxmlformats.org/officeDocument/2006/relationships/hyperlink" Target="https://kenpom.com/team.php?team=Princeton&amp;y=2024" TargetMode="External"/><Relationship Id="rId396" Type="http://schemas.openxmlformats.org/officeDocument/2006/relationships/hyperlink" Target="https://kenpom.com/team.php?team=Quinnipiac&amp;y=2024" TargetMode="External"/><Relationship Id="rId153" Type="http://schemas.openxmlformats.org/officeDocument/2006/relationships/hyperlink" Target="https://kenpom.com/conf.php?c=ACC&amp;y=2024" TargetMode="External"/><Relationship Id="rId395" Type="http://schemas.openxmlformats.org/officeDocument/2006/relationships/hyperlink" Target="https://kenpom.com/conf.php?c=MAC&amp;y=2024" TargetMode="External"/><Relationship Id="rId152" Type="http://schemas.openxmlformats.org/officeDocument/2006/relationships/hyperlink" Target="https://kenpom.com/team.php?team=Virginia&amp;y=2024" TargetMode="External"/><Relationship Id="rId394" Type="http://schemas.openxmlformats.org/officeDocument/2006/relationships/hyperlink" Target="https://kenpom.com/team.php?team=Kent+St.&amp;y=2024" TargetMode="External"/><Relationship Id="rId151" Type="http://schemas.openxmlformats.org/officeDocument/2006/relationships/hyperlink" Target="https://kenpom.com/conf.php?c=Slnd&amp;y=2024" TargetMode="External"/><Relationship Id="rId393" Type="http://schemas.openxmlformats.org/officeDocument/2006/relationships/hyperlink" Target="https://kenpom.com/conf.php?c=WAC&amp;y=2024" TargetMode="External"/><Relationship Id="rId158" Type="http://schemas.openxmlformats.org/officeDocument/2006/relationships/hyperlink" Target="https://kenpom.com/team.php?team=Boston+College&amp;y=2024" TargetMode="External"/><Relationship Id="rId157" Type="http://schemas.openxmlformats.org/officeDocument/2006/relationships/hyperlink" Target="https://kenpom.com/conf.php?c=B12&amp;y=2024" TargetMode="External"/><Relationship Id="rId399" Type="http://schemas.openxmlformats.org/officeDocument/2006/relationships/hyperlink" Target="https://kenpom.com/conf.php?c=AE&amp;y=2024" TargetMode="External"/><Relationship Id="rId156" Type="http://schemas.openxmlformats.org/officeDocument/2006/relationships/hyperlink" Target="https://kenpom.com/team.php?team=Kansas+St.&amp;y=2024" TargetMode="External"/><Relationship Id="rId398" Type="http://schemas.openxmlformats.org/officeDocument/2006/relationships/hyperlink" Target="https://kenpom.com/team.php?team=Bryant&amp;y=2024" TargetMode="External"/><Relationship Id="rId155" Type="http://schemas.openxmlformats.org/officeDocument/2006/relationships/hyperlink" Target="https://kenpom.com/conf.php?c=Ivy&amp;y=2024" TargetMode="External"/><Relationship Id="rId397" Type="http://schemas.openxmlformats.org/officeDocument/2006/relationships/hyperlink" Target="https://kenpom.com/conf.php?c=MAAC&amp;y=2024" TargetMode="External"/><Relationship Id="rId808" Type="http://schemas.openxmlformats.org/officeDocument/2006/relationships/hyperlink" Target="https://kenpom.com/team.php?team=Saint+Francis&amp;y=2024" TargetMode="External"/><Relationship Id="rId807" Type="http://schemas.openxmlformats.org/officeDocument/2006/relationships/hyperlink" Target="https://kenpom.com/conf.php?c=SC&amp;y=2024" TargetMode="External"/><Relationship Id="rId806" Type="http://schemas.openxmlformats.org/officeDocument/2006/relationships/hyperlink" Target="https://kenpom.com/team.php?team=VMI&amp;y=2024" TargetMode="External"/><Relationship Id="rId805" Type="http://schemas.openxmlformats.org/officeDocument/2006/relationships/hyperlink" Target="https://kenpom.com/conf.php?c=OVC&amp;y=2024" TargetMode="External"/><Relationship Id="rId809" Type="http://schemas.openxmlformats.org/officeDocument/2006/relationships/hyperlink" Target="https://kenpom.com/conf.php?c=NEC&amp;y=2024" TargetMode="External"/><Relationship Id="rId800" Type="http://schemas.openxmlformats.org/officeDocument/2006/relationships/hyperlink" Target="https://kenpom.com/team.php?team=Loyola+MD&amp;y=2024" TargetMode="External"/><Relationship Id="rId804" Type="http://schemas.openxmlformats.org/officeDocument/2006/relationships/hyperlink" Target="https://kenpom.com/team.php?team=Southeast+Missouri+St.&amp;y=2024" TargetMode="External"/><Relationship Id="rId803" Type="http://schemas.openxmlformats.org/officeDocument/2006/relationships/hyperlink" Target="https://kenpom.com/conf.php?c=Horz&amp;y=2024" TargetMode="External"/><Relationship Id="rId802" Type="http://schemas.openxmlformats.org/officeDocument/2006/relationships/hyperlink" Target="https://kenpom.com/team.php?team=Detroit+Mercy&amp;y=2024" TargetMode="External"/><Relationship Id="rId801" Type="http://schemas.openxmlformats.org/officeDocument/2006/relationships/hyperlink" Target="https://kenpom.com/conf.php?c=Pat&amp;y=2024" TargetMode="External"/><Relationship Id="rId40" Type="http://schemas.openxmlformats.org/officeDocument/2006/relationships/hyperlink" Target="https://kenpom.com/team.php?team=BYU&amp;y=2024" TargetMode="External"/><Relationship Id="rId42" Type="http://schemas.openxmlformats.org/officeDocument/2006/relationships/hyperlink" Target="https://kenpom.com/team.php?team=Clemson&amp;y=2024" TargetMode="External"/><Relationship Id="rId41" Type="http://schemas.openxmlformats.org/officeDocument/2006/relationships/hyperlink" Target="https://kenpom.com/conf.php?c=B12&amp;y=2024" TargetMode="External"/><Relationship Id="rId44" Type="http://schemas.openxmlformats.org/officeDocument/2006/relationships/hyperlink" Target="https://kenpom.com/team.php?team=Saint+Mary%27s&amp;y=2024" TargetMode="External"/><Relationship Id="rId43" Type="http://schemas.openxmlformats.org/officeDocument/2006/relationships/hyperlink" Target="https://kenpom.com/conf.php?c=ACC&amp;y=2024" TargetMode="External"/><Relationship Id="rId46" Type="http://schemas.openxmlformats.org/officeDocument/2006/relationships/hyperlink" Target="https://kenpom.com/team.php?team=St.+John%27s&amp;y=2024" TargetMode="External"/><Relationship Id="rId45" Type="http://schemas.openxmlformats.org/officeDocument/2006/relationships/hyperlink" Target="https://kenpom.com/conf.php?c=WCC&amp;y=2024" TargetMode="External"/><Relationship Id="rId509" Type="http://schemas.openxmlformats.org/officeDocument/2006/relationships/hyperlink" Target="https://kenpom.com/conf.php?c=Horz&amp;y=2024" TargetMode="External"/><Relationship Id="rId508" Type="http://schemas.openxmlformats.org/officeDocument/2006/relationships/hyperlink" Target="https://kenpom.com/team.php?team=Milwaukee&amp;y=2024" TargetMode="External"/><Relationship Id="rId503" Type="http://schemas.openxmlformats.org/officeDocument/2006/relationships/hyperlink" Target="https://kenpom.com/conf.php?c=MEAC&amp;y=2024" TargetMode="External"/><Relationship Id="rId745" Type="http://schemas.openxmlformats.org/officeDocument/2006/relationships/hyperlink" Target="https://kenpom.com/conf.php?c=Sum&amp;y=2024" TargetMode="External"/><Relationship Id="rId502" Type="http://schemas.openxmlformats.org/officeDocument/2006/relationships/hyperlink" Target="https://kenpom.com/team.php?team=Norfolk+St.&amp;y=2024" TargetMode="External"/><Relationship Id="rId744" Type="http://schemas.openxmlformats.org/officeDocument/2006/relationships/hyperlink" Target="https://kenpom.com/team.php?team=South+Dakota&amp;y=2024" TargetMode="External"/><Relationship Id="rId501" Type="http://schemas.openxmlformats.org/officeDocument/2006/relationships/hyperlink" Target="https://kenpom.com/conf.php?c=SB&amp;y=2024" TargetMode="External"/><Relationship Id="rId743" Type="http://schemas.openxmlformats.org/officeDocument/2006/relationships/hyperlink" Target="https://kenpom.com/conf.php?c=BSky&amp;y=2024" TargetMode="External"/><Relationship Id="rId500" Type="http://schemas.openxmlformats.org/officeDocument/2006/relationships/hyperlink" Target="https://kenpom.com/team.php?team=Georgia+St.&amp;y=2024" TargetMode="External"/><Relationship Id="rId742" Type="http://schemas.openxmlformats.org/officeDocument/2006/relationships/hyperlink" Target="https://kenpom.com/team.php?team=Idaho&amp;y=2024" TargetMode="External"/><Relationship Id="rId507" Type="http://schemas.openxmlformats.org/officeDocument/2006/relationships/hyperlink" Target="https://kenpom.com/conf.php?c=SB&amp;y=2024" TargetMode="External"/><Relationship Id="rId749" Type="http://schemas.openxmlformats.org/officeDocument/2006/relationships/hyperlink" Target="https://kenpom.com/conf.php?c=SWAC&amp;y=2024" TargetMode="External"/><Relationship Id="rId506" Type="http://schemas.openxmlformats.org/officeDocument/2006/relationships/hyperlink" Target="https://kenpom.com/team.php?team=South+Alabama&amp;y=2024" TargetMode="External"/><Relationship Id="rId748" Type="http://schemas.openxmlformats.org/officeDocument/2006/relationships/hyperlink" Target="https://kenpom.com/team.php?team=Alabama+A%26M&amp;y=2024" TargetMode="External"/><Relationship Id="rId505" Type="http://schemas.openxmlformats.org/officeDocument/2006/relationships/hyperlink" Target="https://kenpom.com/conf.php?c=ASun&amp;y=2024" TargetMode="External"/><Relationship Id="rId747" Type="http://schemas.openxmlformats.org/officeDocument/2006/relationships/hyperlink" Target="https://kenpom.com/conf.php?c=Pat&amp;y=2024" TargetMode="External"/><Relationship Id="rId504" Type="http://schemas.openxmlformats.org/officeDocument/2006/relationships/hyperlink" Target="https://kenpom.com/team.php?team=Stetson&amp;y=2024" TargetMode="External"/><Relationship Id="rId746" Type="http://schemas.openxmlformats.org/officeDocument/2006/relationships/hyperlink" Target="https://kenpom.com/team.php?team=Navy&amp;y=2024" TargetMode="External"/><Relationship Id="rId48" Type="http://schemas.openxmlformats.org/officeDocument/2006/relationships/hyperlink" Target="https://kenpom.com/team.php?team=San+Diego+St.&amp;y=2024" TargetMode="External"/><Relationship Id="rId47" Type="http://schemas.openxmlformats.org/officeDocument/2006/relationships/hyperlink" Target="https://kenpom.com/conf.php?c=BE&amp;y=2024" TargetMode="External"/><Relationship Id="rId49" Type="http://schemas.openxmlformats.org/officeDocument/2006/relationships/hyperlink" Target="https://kenpom.com/conf.php?c=MWC&amp;y=2024" TargetMode="External"/><Relationship Id="rId741" Type="http://schemas.openxmlformats.org/officeDocument/2006/relationships/hyperlink" Target="https://kenpom.com/index.php?y=2024&amp;s=RankNCSOS" TargetMode="External"/><Relationship Id="rId740" Type="http://schemas.openxmlformats.org/officeDocument/2006/relationships/hyperlink" Target="https://kenpom.com/index.php?y=2024&amp;s=RankSOSD" TargetMode="External"/><Relationship Id="rId31" Type="http://schemas.openxmlformats.org/officeDocument/2006/relationships/hyperlink" Target="https://kenpom.com/conf.php?c=BE&amp;y=2024" TargetMode="External"/><Relationship Id="rId30" Type="http://schemas.openxmlformats.org/officeDocument/2006/relationships/hyperlink" Target="https://kenpom.com/team.php?team=Marquette&amp;y=2024" TargetMode="External"/><Relationship Id="rId33" Type="http://schemas.openxmlformats.org/officeDocument/2006/relationships/hyperlink" Target="https://kenpom.com/conf.php?c=SEC&amp;y=2024" TargetMode="External"/><Relationship Id="rId32" Type="http://schemas.openxmlformats.org/officeDocument/2006/relationships/hyperlink" Target="https://kenpom.com/team.php?team=Alabama&amp;y=2024" TargetMode="External"/><Relationship Id="rId35" Type="http://schemas.openxmlformats.org/officeDocument/2006/relationships/hyperlink" Target="https://kenpom.com/conf.php?c=B12&amp;y=2024" TargetMode="External"/><Relationship Id="rId34" Type="http://schemas.openxmlformats.org/officeDocument/2006/relationships/hyperlink" Target="https://kenpom.com/team.php?team=Baylor&amp;y=2024" TargetMode="External"/><Relationship Id="rId739" Type="http://schemas.openxmlformats.org/officeDocument/2006/relationships/hyperlink" Target="https://kenpom.com/index.php?y=2024&amp;s=RankSOSO" TargetMode="External"/><Relationship Id="rId734" Type="http://schemas.openxmlformats.org/officeDocument/2006/relationships/hyperlink" Target="https://kenpom.com/index.php?y=2024&amp;s=RankAdjOE" TargetMode="External"/><Relationship Id="rId733" Type="http://schemas.openxmlformats.org/officeDocument/2006/relationships/hyperlink" Target="https://kenpom.com/index.php?y=2024" TargetMode="External"/><Relationship Id="rId732" Type="http://schemas.openxmlformats.org/officeDocument/2006/relationships/hyperlink" Target="https://kenpom.com/index.php?y=2024&amp;s=Wins" TargetMode="External"/><Relationship Id="rId731" Type="http://schemas.openxmlformats.org/officeDocument/2006/relationships/hyperlink" Target="https://kenpom.com/index.php?y=2024&amp;s=TeamName" TargetMode="External"/><Relationship Id="rId738" Type="http://schemas.openxmlformats.org/officeDocument/2006/relationships/hyperlink" Target="https://kenpom.com/index.php?y=2024&amp;s=RankSOS" TargetMode="External"/><Relationship Id="rId737" Type="http://schemas.openxmlformats.org/officeDocument/2006/relationships/hyperlink" Target="https://kenpom.com/index.php?y=2024&amp;s=RankLuck" TargetMode="External"/><Relationship Id="rId736" Type="http://schemas.openxmlformats.org/officeDocument/2006/relationships/hyperlink" Target="https://kenpom.com/index.php?y=2024&amp;s=RankAdjTempo" TargetMode="External"/><Relationship Id="rId735" Type="http://schemas.openxmlformats.org/officeDocument/2006/relationships/hyperlink" Target="https://kenpom.com/index.php?y=2024&amp;s=RankAdjDE" TargetMode="External"/><Relationship Id="rId37" Type="http://schemas.openxmlformats.org/officeDocument/2006/relationships/hyperlink" Target="https://kenpom.com/conf.php?c=B10&amp;y=2024" TargetMode="External"/><Relationship Id="rId36" Type="http://schemas.openxmlformats.org/officeDocument/2006/relationships/hyperlink" Target="https://kenpom.com/team.php?team=Michigan+St.&amp;y=2024" TargetMode="External"/><Relationship Id="rId39" Type="http://schemas.openxmlformats.org/officeDocument/2006/relationships/hyperlink" Target="https://kenpom.com/conf.php?c=B10&amp;y=2024" TargetMode="External"/><Relationship Id="rId38" Type="http://schemas.openxmlformats.org/officeDocument/2006/relationships/hyperlink" Target="https://kenpom.com/team.php?team=Wisconsin&amp;y=2024" TargetMode="External"/><Relationship Id="rId730" Type="http://schemas.openxmlformats.org/officeDocument/2006/relationships/hyperlink" Target="https://kenpom.com/index.php?y=2024" TargetMode="External"/><Relationship Id="rId20" Type="http://schemas.openxmlformats.org/officeDocument/2006/relationships/hyperlink" Target="https://kenpom.com/team.php?team=Iowa+St.&amp;y=2024" TargetMode="External"/><Relationship Id="rId22" Type="http://schemas.openxmlformats.org/officeDocument/2006/relationships/hyperlink" Target="https://kenpom.com/team.php?team=North+Carolina&amp;y=2024" TargetMode="External"/><Relationship Id="rId21" Type="http://schemas.openxmlformats.org/officeDocument/2006/relationships/hyperlink" Target="https://kenpom.com/conf.php?c=B12&amp;y=2024" TargetMode="External"/><Relationship Id="rId24" Type="http://schemas.openxmlformats.org/officeDocument/2006/relationships/hyperlink" Target="https://kenpom.com/team.php?team=Illinois&amp;y=2024" TargetMode="External"/><Relationship Id="rId23" Type="http://schemas.openxmlformats.org/officeDocument/2006/relationships/hyperlink" Target="https://kenpom.com/conf.php?c=ACC&amp;y=2024" TargetMode="External"/><Relationship Id="rId525" Type="http://schemas.openxmlformats.org/officeDocument/2006/relationships/hyperlink" Target="https://kenpom.com/conf.php?c=Horz&amp;y=2024" TargetMode="External"/><Relationship Id="rId767" Type="http://schemas.openxmlformats.org/officeDocument/2006/relationships/hyperlink" Target="https://kenpom.com/conf.php?c=Slnd&amp;y=2024" TargetMode="External"/><Relationship Id="rId524" Type="http://schemas.openxmlformats.org/officeDocument/2006/relationships/hyperlink" Target="https://kenpom.com/team.php?team=Green+Bay&amp;y=2024" TargetMode="External"/><Relationship Id="rId766" Type="http://schemas.openxmlformats.org/officeDocument/2006/relationships/hyperlink" Target="https://kenpom.com/team.php?team=Texas+A%26M+Commerce&amp;y=2024" TargetMode="External"/><Relationship Id="rId523" Type="http://schemas.openxmlformats.org/officeDocument/2006/relationships/hyperlink" Target="https://kenpom.com/conf.php?c=Amer&amp;y=2024" TargetMode="External"/><Relationship Id="rId765" Type="http://schemas.openxmlformats.org/officeDocument/2006/relationships/hyperlink" Target="https://kenpom.com/conf.php?c=OVC&amp;y=2024" TargetMode="External"/><Relationship Id="rId522" Type="http://schemas.openxmlformats.org/officeDocument/2006/relationships/hyperlink" Target="https://kenpom.com/team.php?team=Rice&amp;y=2024" TargetMode="External"/><Relationship Id="rId764" Type="http://schemas.openxmlformats.org/officeDocument/2006/relationships/hyperlink" Target="https://kenpom.com/team.php?team=Tennessee+Tech&amp;y=2024" TargetMode="External"/><Relationship Id="rId529" Type="http://schemas.openxmlformats.org/officeDocument/2006/relationships/hyperlink" Target="https://kenpom.com/conf.php?c=Ivy&amp;y=2024" TargetMode="External"/><Relationship Id="rId528" Type="http://schemas.openxmlformats.org/officeDocument/2006/relationships/hyperlink" Target="https://kenpom.com/team.php?team=Columbia&amp;y=2024" TargetMode="External"/><Relationship Id="rId527" Type="http://schemas.openxmlformats.org/officeDocument/2006/relationships/hyperlink" Target="https://kenpom.com/conf.php?c=AE&amp;y=2024" TargetMode="External"/><Relationship Id="rId769" Type="http://schemas.openxmlformats.org/officeDocument/2006/relationships/hyperlink" Target="https://kenpom.com/conf.php?c=MEAC&amp;y=2024" TargetMode="External"/><Relationship Id="rId526" Type="http://schemas.openxmlformats.org/officeDocument/2006/relationships/hyperlink" Target="https://kenpom.com/team.php?team=Maine&amp;y=2024" TargetMode="External"/><Relationship Id="rId768" Type="http://schemas.openxmlformats.org/officeDocument/2006/relationships/hyperlink" Target="https://kenpom.com/team.php?team=Morgan+St.&amp;y=2024" TargetMode="External"/><Relationship Id="rId26" Type="http://schemas.openxmlformats.org/officeDocument/2006/relationships/hyperlink" Target="https://kenpom.com/team.php?team=Creighton&amp;y=2024" TargetMode="External"/><Relationship Id="rId25" Type="http://schemas.openxmlformats.org/officeDocument/2006/relationships/hyperlink" Target="https://kenpom.com/conf.php?c=B10&amp;y=2024" TargetMode="External"/><Relationship Id="rId28" Type="http://schemas.openxmlformats.org/officeDocument/2006/relationships/hyperlink" Target="https://kenpom.com/team.php?team=Gonzaga&amp;y=2024" TargetMode="External"/><Relationship Id="rId27" Type="http://schemas.openxmlformats.org/officeDocument/2006/relationships/hyperlink" Target="https://kenpom.com/conf.php?c=BE&amp;y=2024" TargetMode="External"/><Relationship Id="rId521" Type="http://schemas.openxmlformats.org/officeDocument/2006/relationships/hyperlink" Target="https://kenpom.com/conf.php?c=Ivy&amp;y=2024" TargetMode="External"/><Relationship Id="rId763" Type="http://schemas.openxmlformats.org/officeDocument/2006/relationships/hyperlink" Target="https://kenpom.com/conf.php?c=SWAC&amp;y=2024" TargetMode="External"/><Relationship Id="rId29" Type="http://schemas.openxmlformats.org/officeDocument/2006/relationships/hyperlink" Target="https://kenpom.com/conf.php?c=WCC&amp;y=2024" TargetMode="External"/><Relationship Id="rId520" Type="http://schemas.openxmlformats.org/officeDocument/2006/relationships/hyperlink" Target="https://kenpom.com/team.php?team=Harvard&amp;y=2024" TargetMode="External"/><Relationship Id="rId762" Type="http://schemas.openxmlformats.org/officeDocument/2006/relationships/hyperlink" Target="https://kenpom.com/team.php?team=Arkansas+Pine+Bluff&amp;y=2024" TargetMode="External"/><Relationship Id="rId761" Type="http://schemas.openxmlformats.org/officeDocument/2006/relationships/hyperlink" Target="https://kenpom.com/conf.php?c=SWAC&amp;y=2024" TargetMode="External"/><Relationship Id="rId760" Type="http://schemas.openxmlformats.org/officeDocument/2006/relationships/hyperlink" Target="https://kenpom.com/team.php?team=Prairie+View+A%26M&amp;y=2024" TargetMode="External"/><Relationship Id="rId11" Type="http://schemas.openxmlformats.org/officeDocument/2006/relationships/hyperlink" Target="https://kenpom.com/conf.php?c=B10&amp;y=2024" TargetMode="External"/><Relationship Id="rId10" Type="http://schemas.openxmlformats.org/officeDocument/2006/relationships/hyperlink" Target="https://kenpom.com/team.php?team=Purdue&amp;y=2024" TargetMode="External"/><Relationship Id="rId13" Type="http://schemas.openxmlformats.org/officeDocument/2006/relationships/hyperlink" Target="https://kenpom.com/conf.php?c=SEC&amp;y=2024" TargetMode="External"/><Relationship Id="rId12" Type="http://schemas.openxmlformats.org/officeDocument/2006/relationships/hyperlink" Target="https://kenpom.com/team.php?team=Auburn&amp;y=2024" TargetMode="External"/><Relationship Id="rId519" Type="http://schemas.openxmlformats.org/officeDocument/2006/relationships/hyperlink" Target="https://kenpom.com/conf.php?c=BSth&amp;y=2024" TargetMode="External"/><Relationship Id="rId514" Type="http://schemas.openxmlformats.org/officeDocument/2006/relationships/hyperlink" Target="https://kenpom.com/team.php?team=Rider&amp;y=2024" TargetMode="External"/><Relationship Id="rId756" Type="http://schemas.openxmlformats.org/officeDocument/2006/relationships/hyperlink" Target="https://kenpom.com/team.php?team=Southern+Indiana&amp;y=2024" TargetMode="External"/><Relationship Id="rId513" Type="http://schemas.openxmlformats.org/officeDocument/2006/relationships/hyperlink" Target="https://kenpom.com/conf.php?c=WCC&amp;y=2024" TargetMode="External"/><Relationship Id="rId755" Type="http://schemas.openxmlformats.org/officeDocument/2006/relationships/hyperlink" Target="https://kenpom.com/conf.php?c=NEC&amp;y=2024" TargetMode="External"/><Relationship Id="rId512" Type="http://schemas.openxmlformats.org/officeDocument/2006/relationships/hyperlink" Target="https://kenpom.com/team.php?team=Pepperdine&amp;y=2024" TargetMode="External"/><Relationship Id="rId754" Type="http://schemas.openxmlformats.org/officeDocument/2006/relationships/hyperlink" Target="https://kenpom.com/team.php?team=Fairleigh+Dickinson&amp;y=2024" TargetMode="External"/><Relationship Id="rId511" Type="http://schemas.openxmlformats.org/officeDocument/2006/relationships/hyperlink" Target="https://kenpom.com/conf.php?c=BSky&amp;y=2024" TargetMode="External"/><Relationship Id="rId753" Type="http://schemas.openxmlformats.org/officeDocument/2006/relationships/hyperlink" Target="https://kenpom.com/conf.php?c=MAC&amp;y=2024" TargetMode="External"/><Relationship Id="rId518" Type="http://schemas.openxmlformats.org/officeDocument/2006/relationships/hyperlink" Target="https://kenpom.com/team.php?team=Radford&amp;y=2024" TargetMode="External"/><Relationship Id="rId517" Type="http://schemas.openxmlformats.org/officeDocument/2006/relationships/hyperlink" Target="https://kenpom.com/conf.php?c=MAAC&amp;y=2024" TargetMode="External"/><Relationship Id="rId759" Type="http://schemas.openxmlformats.org/officeDocument/2006/relationships/hyperlink" Target="https://kenpom.com/conf.php?c=WAC&amp;y=2024" TargetMode="External"/><Relationship Id="rId516" Type="http://schemas.openxmlformats.org/officeDocument/2006/relationships/hyperlink" Target="https://kenpom.com/team.php?team=Iona&amp;y=2024" TargetMode="External"/><Relationship Id="rId758" Type="http://schemas.openxmlformats.org/officeDocument/2006/relationships/hyperlink" Target="https://kenpom.com/team.php?team=UT+Rio+Grande+Valley&amp;y=2024" TargetMode="External"/><Relationship Id="rId515" Type="http://schemas.openxmlformats.org/officeDocument/2006/relationships/hyperlink" Target="https://kenpom.com/conf.php?c=MAAC&amp;y=2024" TargetMode="External"/><Relationship Id="rId757" Type="http://schemas.openxmlformats.org/officeDocument/2006/relationships/hyperlink" Target="https://kenpom.com/conf.php?c=OVC&amp;y=2024" TargetMode="External"/><Relationship Id="rId15" Type="http://schemas.openxmlformats.org/officeDocument/2006/relationships/hyperlink" Target="https://kenpom.com/conf.php?c=SEC&amp;y=2024" TargetMode="External"/><Relationship Id="rId14" Type="http://schemas.openxmlformats.org/officeDocument/2006/relationships/hyperlink" Target="https://kenpom.com/team.php?team=Tennessee&amp;y=2024" TargetMode="External"/><Relationship Id="rId17" Type="http://schemas.openxmlformats.org/officeDocument/2006/relationships/hyperlink" Target="https://kenpom.com/conf.php?c=P12&amp;y=2024" TargetMode="External"/><Relationship Id="rId16" Type="http://schemas.openxmlformats.org/officeDocument/2006/relationships/hyperlink" Target="https://kenpom.com/team.php?team=Arizona&amp;y=2024" TargetMode="External"/><Relationship Id="rId19" Type="http://schemas.openxmlformats.org/officeDocument/2006/relationships/hyperlink" Target="https://kenpom.com/conf.php?c=ACC&amp;y=2024" TargetMode="External"/><Relationship Id="rId510" Type="http://schemas.openxmlformats.org/officeDocument/2006/relationships/hyperlink" Target="https://kenpom.com/team.php?team=Montana+St.&amp;y=2024" TargetMode="External"/><Relationship Id="rId752" Type="http://schemas.openxmlformats.org/officeDocument/2006/relationships/hyperlink" Target="https://kenpom.com/team.php?team=Eastern+Michigan&amp;y=2024" TargetMode="External"/><Relationship Id="rId18" Type="http://schemas.openxmlformats.org/officeDocument/2006/relationships/hyperlink" Target="https://kenpom.com/team.php?team=Duke&amp;y=2024" TargetMode="External"/><Relationship Id="rId751" Type="http://schemas.openxmlformats.org/officeDocument/2006/relationships/hyperlink" Target="https://kenpom.com/conf.php?c=Slnd&amp;y=2024" TargetMode="External"/><Relationship Id="rId750" Type="http://schemas.openxmlformats.org/officeDocument/2006/relationships/hyperlink" Target="https://kenpom.com/team.php?team=Northwestern+St.&amp;y=2024" TargetMode="External"/><Relationship Id="rId84" Type="http://schemas.openxmlformats.org/officeDocument/2006/relationships/hyperlink" Target="https://kenpom.com/team.php?team=Nevada&amp;y=2024" TargetMode="External"/><Relationship Id="rId83" Type="http://schemas.openxmlformats.org/officeDocument/2006/relationships/hyperlink" Target="https://kenpom.com/conf.php?c=B12&amp;y=2024" TargetMode="External"/><Relationship Id="rId86" Type="http://schemas.openxmlformats.org/officeDocument/2006/relationships/hyperlink" Target="https://kenpom.com/index.php?y=2024" TargetMode="External"/><Relationship Id="rId85" Type="http://schemas.openxmlformats.org/officeDocument/2006/relationships/hyperlink" Target="https://kenpom.com/conf.php?c=MWC&amp;y=2024" TargetMode="External"/><Relationship Id="rId88" Type="http://schemas.openxmlformats.org/officeDocument/2006/relationships/hyperlink" Target="https://kenpom.com/index.php?y=2024&amp;s=Wins" TargetMode="External"/><Relationship Id="rId87" Type="http://schemas.openxmlformats.org/officeDocument/2006/relationships/hyperlink" Target="https://kenpom.com/index.php?y=2024&amp;s=TeamName" TargetMode="External"/><Relationship Id="rId89" Type="http://schemas.openxmlformats.org/officeDocument/2006/relationships/hyperlink" Target="https://kenpom.com/index.php?y=2024" TargetMode="External"/><Relationship Id="rId709" Type="http://schemas.openxmlformats.org/officeDocument/2006/relationships/hyperlink" Target="https://kenpom.com/conf.php?c=SWAC&amp;y=2024" TargetMode="External"/><Relationship Id="rId708" Type="http://schemas.openxmlformats.org/officeDocument/2006/relationships/hyperlink" Target="https://kenpom.com/team.php?team=Alabama+St.&amp;y=2024" TargetMode="External"/><Relationship Id="rId707" Type="http://schemas.openxmlformats.org/officeDocument/2006/relationships/hyperlink" Target="https://kenpom.com/conf.php?c=SWAC&amp;y=2024" TargetMode="External"/><Relationship Id="rId706" Type="http://schemas.openxmlformats.org/officeDocument/2006/relationships/hyperlink" Target="https://kenpom.com/team.php?team=Jackson+St.&amp;y=2024" TargetMode="External"/><Relationship Id="rId80" Type="http://schemas.openxmlformats.org/officeDocument/2006/relationships/hyperlink" Target="https://kenpom.com/team.php?team=Indiana+St.&amp;y=2024" TargetMode="External"/><Relationship Id="rId82" Type="http://schemas.openxmlformats.org/officeDocument/2006/relationships/hyperlink" Target="https://kenpom.com/team.php?team=Cincinnati&amp;y=2024" TargetMode="External"/><Relationship Id="rId81" Type="http://schemas.openxmlformats.org/officeDocument/2006/relationships/hyperlink" Target="https://kenpom.com/conf.php?c=MVC&amp;y=2024" TargetMode="External"/><Relationship Id="rId701" Type="http://schemas.openxmlformats.org/officeDocument/2006/relationships/hyperlink" Target="https://kenpom.com/conf.php?c=Slnd&amp;y=2024" TargetMode="External"/><Relationship Id="rId700" Type="http://schemas.openxmlformats.org/officeDocument/2006/relationships/hyperlink" Target="https://kenpom.com/team.php?team=Southeastern+Louisiana&amp;y=2024" TargetMode="External"/><Relationship Id="rId705" Type="http://schemas.openxmlformats.org/officeDocument/2006/relationships/hyperlink" Target="https://kenpom.com/conf.php?c=MAC&amp;y=2024" TargetMode="External"/><Relationship Id="rId704" Type="http://schemas.openxmlformats.org/officeDocument/2006/relationships/hyperlink" Target="https://kenpom.com/team.php?team=Northern+Illinois&amp;y=2024" TargetMode="External"/><Relationship Id="rId703" Type="http://schemas.openxmlformats.org/officeDocument/2006/relationships/hyperlink" Target="https://kenpom.com/conf.php?c=Horz&amp;y=2024" TargetMode="External"/><Relationship Id="rId702" Type="http://schemas.openxmlformats.org/officeDocument/2006/relationships/hyperlink" Target="https://kenpom.com/team.php?team=Robert+Morris&amp;y=2024" TargetMode="External"/><Relationship Id="rId73" Type="http://schemas.openxmlformats.org/officeDocument/2006/relationships/hyperlink" Target="https://kenpom.com/conf.php?c=SEC&amp;y=2024" TargetMode="External"/><Relationship Id="rId72" Type="http://schemas.openxmlformats.org/officeDocument/2006/relationships/hyperlink" Target="https://kenpom.com/team.php?team=Mississippi+St.&amp;y=2024" TargetMode="External"/><Relationship Id="rId75" Type="http://schemas.openxmlformats.org/officeDocument/2006/relationships/hyperlink" Target="https://kenpom.com/conf.php?c=SEC&amp;y=2024" TargetMode="External"/><Relationship Id="rId74" Type="http://schemas.openxmlformats.org/officeDocument/2006/relationships/hyperlink" Target="https://kenpom.com/team.php?team=Texas+A%26M&amp;y=2024" TargetMode="External"/><Relationship Id="rId77" Type="http://schemas.openxmlformats.org/officeDocument/2006/relationships/hyperlink" Target="https://kenpom.com/conf.php?c=MWC&amp;y=2024" TargetMode="External"/><Relationship Id="rId76" Type="http://schemas.openxmlformats.org/officeDocument/2006/relationships/hyperlink" Target="https://kenpom.com/team.php?team=Colorado+St.&amp;y=2024" TargetMode="External"/><Relationship Id="rId79" Type="http://schemas.openxmlformats.org/officeDocument/2006/relationships/hyperlink" Target="https://kenpom.com/conf.php?c=BE&amp;y=2024" TargetMode="External"/><Relationship Id="rId78" Type="http://schemas.openxmlformats.org/officeDocument/2006/relationships/hyperlink" Target="https://kenpom.com/team.php?team=Villanova&amp;y=2024" TargetMode="External"/><Relationship Id="rId71" Type="http://schemas.openxmlformats.org/officeDocument/2006/relationships/hyperlink" Target="https://kenpom.com/conf.php?c=ACC&amp;y=2024" TargetMode="External"/><Relationship Id="rId70" Type="http://schemas.openxmlformats.org/officeDocument/2006/relationships/hyperlink" Target="https://kenpom.com/team.php?team=Pittsburgh&amp;y=2024" TargetMode="External"/><Relationship Id="rId62" Type="http://schemas.openxmlformats.org/officeDocument/2006/relationships/hyperlink" Target="https://kenpom.com/team.php?team=New+Mexico&amp;y=2024" TargetMode="External"/><Relationship Id="rId61" Type="http://schemas.openxmlformats.org/officeDocument/2006/relationships/hyperlink" Target="https://kenpom.com/conf.php?c=ACC&amp;y=2024" TargetMode="External"/><Relationship Id="rId64" Type="http://schemas.openxmlformats.org/officeDocument/2006/relationships/hyperlink" Target="https://kenpom.com/team.php?team=Nebraska&amp;y=2024" TargetMode="External"/><Relationship Id="rId63" Type="http://schemas.openxmlformats.org/officeDocument/2006/relationships/hyperlink" Target="https://kenpom.com/conf.php?c=MWC&amp;y=2024" TargetMode="External"/><Relationship Id="rId66" Type="http://schemas.openxmlformats.org/officeDocument/2006/relationships/hyperlink" Target="https://kenpom.com/team.php?team=Texas+Tech&amp;y=2024" TargetMode="External"/><Relationship Id="rId65" Type="http://schemas.openxmlformats.org/officeDocument/2006/relationships/hyperlink" Target="https://kenpom.com/conf.php?c=B10&amp;y=2024" TargetMode="External"/><Relationship Id="rId68" Type="http://schemas.openxmlformats.org/officeDocument/2006/relationships/hyperlink" Target="https://kenpom.com/team.php?team=Dayton&amp;y=2024" TargetMode="External"/><Relationship Id="rId67" Type="http://schemas.openxmlformats.org/officeDocument/2006/relationships/hyperlink" Target="https://kenpom.com/conf.php?c=B12&amp;y=2024" TargetMode="External"/><Relationship Id="rId729" Type="http://schemas.openxmlformats.org/officeDocument/2006/relationships/hyperlink" Target="https://kenpom.com/conf.php?c=OVC&amp;y=2024" TargetMode="External"/><Relationship Id="rId728" Type="http://schemas.openxmlformats.org/officeDocument/2006/relationships/hyperlink" Target="https://kenpom.com/team.php?team=Eastern+Illinois&amp;y=2024" TargetMode="External"/><Relationship Id="rId60" Type="http://schemas.openxmlformats.org/officeDocument/2006/relationships/hyperlink" Target="https://kenpom.com/team.php?team=Wake+Forest&amp;y=2024" TargetMode="External"/><Relationship Id="rId723" Type="http://schemas.openxmlformats.org/officeDocument/2006/relationships/hyperlink" Target="https://kenpom.com/conf.php?c=CAA&amp;y=2024" TargetMode="External"/><Relationship Id="rId722" Type="http://schemas.openxmlformats.org/officeDocument/2006/relationships/hyperlink" Target="https://kenpom.com/team.php?team=Elon&amp;y=2024" TargetMode="External"/><Relationship Id="rId721" Type="http://schemas.openxmlformats.org/officeDocument/2006/relationships/hyperlink" Target="https://kenpom.com/conf.php?c=ASun&amp;y=2024" TargetMode="External"/><Relationship Id="rId720" Type="http://schemas.openxmlformats.org/officeDocument/2006/relationships/hyperlink" Target="https://kenpom.com/team.php?team=Bellarmine&amp;y=2024" TargetMode="External"/><Relationship Id="rId727" Type="http://schemas.openxmlformats.org/officeDocument/2006/relationships/hyperlink" Target="https://kenpom.com/conf.php?c=CAA&amp;y=2024" TargetMode="External"/><Relationship Id="rId726" Type="http://schemas.openxmlformats.org/officeDocument/2006/relationships/hyperlink" Target="https://kenpom.com/team.php?team=William+%26+Mary&amp;y=2024" TargetMode="External"/><Relationship Id="rId725" Type="http://schemas.openxmlformats.org/officeDocument/2006/relationships/hyperlink" Target="https://kenpom.com/conf.php?c=Pat&amp;y=2024" TargetMode="External"/><Relationship Id="rId724" Type="http://schemas.openxmlformats.org/officeDocument/2006/relationships/hyperlink" Target="https://kenpom.com/team.php?team=Lafayette&amp;y=2024" TargetMode="External"/><Relationship Id="rId69" Type="http://schemas.openxmlformats.org/officeDocument/2006/relationships/hyperlink" Target="https://kenpom.com/conf.php?c=A10&amp;y=2024" TargetMode="External"/><Relationship Id="rId51" Type="http://schemas.openxmlformats.org/officeDocument/2006/relationships/hyperlink" Target="https://kenpom.com/conf.php?c=SEC&amp;y=2024" TargetMode="External"/><Relationship Id="rId50" Type="http://schemas.openxmlformats.org/officeDocument/2006/relationships/hyperlink" Target="https://kenpom.com/team.php?team=Kentucky&amp;y=2024" TargetMode="External"/><Relationship Id="rId53" Type="http://schemas.openxmlformats.org/officeDocument/2006/relationships/hyperlink" Target="https://kenpom.com/conf.php?c=P12&amp;y=2024" TargetMode="External"/><Relationship Id="rId52" Type="http://schemas.openxmlformats.org/officeDocument/2006/relationships/hyperlink" Target="https://kenpom.com/team.php?team=Colorado&amp;y=2024" TargetMode="External"/><Relationship Id="rId55" Type="http://schemas.openxmlformats.org/officeDocument/2006/relationships/hyperlink" Target="https://kenpom.com/conf.php?c=B12&amp;y=2024" TargetMode="External"/><Relationship Id="rId54" Type="http://schemas.openxmlformats.org/officeDocument/2006/relationships/hyperlink" Target="https://kenpom.com/team.php?team=Texas&amp;y=2024" TargetMode="External"/><Relationship Id="rId57" Type="http://schemas.openxmlformats.org/officeDocument/2006/relationships/hyperlink" Target="https://kenpom.com/conf.php?c=SEC&amp;y=2024" TargetMode="External"/><Relationship Id="rId56" Type="http://schemas.openxmlformats.org/officeDocument/2006/relationships/hyperlink" Target="https://kenpom.com/team.php?team=Florida&amp;y=2024" TargetMode="External"/><Relationship Id="rId719" Type="http://schemas.openxmlformats.org/officeDocument/2006/relationships/hyperlink" Target="https://kenpom.com/conf.php?c=BSth&amp;y=2024" TargetMode="External"/><Relationship Id="rId718" Type="http://schemas.openxmlformats.org/officeDocument/2006/relationships/hyperlink" Target="https://kenpom.com/team.php?team=Charleston+Southern&amp;y=2024" TargetMode="External"/><Relationship Id="rId717" Type="http://schemas.openxmlformats.org/officeDocument/2006/relationships/hyperlink" Target="https://kenpom.com/conf.php?c=BSky&amp;y=2024" TargetMode="External"/><Relationship Id="rId712" Type="http://schemas.openxmlformats.org/officeDocument/2006/relationships/hyperlink" Target="https://kenpom.com/team.php?team=Northern+Arizona&amp;y=2024" TargetMode="External"/><Relationship Id="rId711" Type="http://schemas.openxmlformats.org/officeDocument/2006/relationships/hyperlink" Target="https://kenpom.com/conf.php?c=CAA&amp;y=2024" TargetMode="External"/><Relationship Id="rId710" Type="http://schemas.openxmlformats.org/officeDocument/2006/relationships/hyperlink" Target="https://kenpom.com/team.php?team=Campbell&amp;y=2024" TargetMode="External"/><Relationship Id="rId716" Type="http://schemas.openxmlformats.org/officeDocument/2006/relationships/hyperlink" Target="https://kenpom.com/team.php?team=Sacramento+St.&amp;y=2024" TargetMode="External"/><Relationship Id="rId715" Type="http://schemas.openxmlformats.org/officeDocument/2006/relationships/hyperlink" Target="https://kenpom.com/conf.php?c=SB&amp;y=2024" TargetMode="External"/><Relationship Id="rId714" Type="http://schemas.openxmlformats.org/officeDocument/2006/relationships/hyperlink" Target="https://kenpom.com/team.php?team=Coastal+Carolina&amp;y=2024" TargetMode="External"/><Relationship Id="rId713" Type="http://schemas.openxmlformats.org/officeDocument/2006/relationships/hyperlink" Target="https://kenpom.com/conf.php?c=BSky&amp;y=2024" TargetMode="External"/><Relationship Id="rId59" Type="http://schemas.openxmlformats.org/officeDocument/2006/relationships/hyperlink" Target="https://kenpom.com/conf.php?c=B12&amp;y=2024" TargetMode="External"/><Relationship Id="rId58" Type="http://schemas.openxmlformats.org/officeDocument/2006/relationships/hyperlink" Target="https://kenpom.com/team.php?team=Kansas&amp;y=2024" TargetMode="External"/><Relationship Id="rId590" Type="http://schemas.openxmlformats.org/officeDocument/2006/relationships/hyperlink" Target="https://kenpom.com/team.php?team=Miami+OH&amp;y=2024" TargetMode="External"/><Relationship Id="rId107" Type="http://schemas.openxmlformats.org/officeDocument/2006/relationships/hyperlink" Target="https://kenpom.com/conf.php?c=ACC&amp;y=2024" TargetMode="External"/><Relationship Id="rId349" Type="http://schemas.openxmlformats.org/officeDocument/2006/relationships/hyperlink" Target="https://kenpom.com/conf.php?c=Amer&amp;y=2024" TargetMode="External"/><Relationship Id="rId106" Type="http://schemas.openxmlformats.org/officeDocument/2006/relationships/hyperlink" Target="https://kenpom.com/team.php?team=N.C.+State&amp;y=2024" TargetMode="External"/><Relationship Id="rId348" Type="http://schemas.openxmlformats.org/officeDocument/2006/relationships/hyperlink" Target="https://kenpom.com/team.php?team=Wichita+St.&amp;y=2024" TargetMode="External"/><Relationship Id="rId105" Type="http://schemas.openxmlformats.org/officeDocument/2006/relationships/hyperlink" Target="https://kenpom.com/conf.php?c=MWC&amp;y=2024" TargetMode="External"/><Relationship Id="rId347" Type="http://schemas.openxmlformats.org/officeDocument/2006/relationships/hyperlink" Target="https://kenpom.com/conf.php?c=AE&amp;y=2024" TargetMode="External"/><Relationship Id="rId589" Type="http://schemas.openxmlformats.org/officeDocument/2006/relationships/hyperlink" Target="https://kenpom.com/conf.php?c=WCC&amp;y=2024" TargetMode="External"/><Relationship Id="rId104" Type="http://schemas.openxmlformats.org/officeDocument/2006/relationships/hyperlink" Target="https://kenpom.com/team.php?team=Boise+St.&amp;y=2024" TargetMode="External"/><Relationship Id="rId346" Type="http://schemas.openxmlformats.org/officeDocument/2006/relationships/hyperlink" Target="https://kenpom.com/team.php?team=UMass+Lowell&amp;y=2024" TargetMode="External"/><Relationship Id="rId588" Type="http://schemas.openxmlformats.org/officeDocument/2006/relationships/hyperlink" Target="https://kenpom.com/team.php?team=San+Diego&amp;y=2024" TargetMode="External"/><Relationship Id="rId109" Type="http://schemas.openxmlformats.org/officeDocument/2006/relationships/hyperlink" Target="https://kenpom.com/conf.php?c=B12&amp;y=2024" TargetMode="External"/><Relationship Id="rId108" Type="http://schemas.openxmlformats.org/officeDocument/2006/relationships/hyperlink" Target="https://kenpom.com/team.php?team=Oklahoma&amp;y=2024" TargetMode="External"/><Relationship Id="rId341" Type="http://schemas.openxmlformats.org/officeDocument/2006/relationships/hyperlink" Target="https://kenpom.com/conf.php?c=Pat&amp;y=2024" TargetMode="External"/><Relationship Id="rId583" Type="http://schemas.openxmlformats.org/officeDocument/2006/relationships/hyperlink" Target="https://kenpom.com/conf.php?c=MEAC&amp;y=2024" TargetMode="External"/><Relationship Id="rId340" Type="http://schemas.openxmlformats.org/officeDocument/2006/relationships/hyperlink" Target="https://kenpom.com/team.php?team=Colgate&amp;y=2024" TargetMode="External"/><Relationship Id="rId582" Type="http://schemas.openxmlformats.org/officeDocument/2006/relationships/hyperlink" Target="https://kenpom.com/team.php?team=North+Carolina+Central&amp;y=2024" TargetMode="External"/><Relationship Id="rId581" Type="http://schemas.openxmlformats.org/officeDocument/2006/relationships/hyperlink" Target="https://kenpom.com/conf.php?c=ASun&amp;y=2024" TargetMode="External"/><Relationship Id="rId580" Type="http://schemas.openxmlformats.org/officeDocument/2006/relationships/hyperlink" Target="https://kenpom.com/team.php?team=North+Alabama&amp;y=2024" TargetMode="External"/><Relationship Id="rId103" Type="http://schemas.openxmlformats.org/officeDocument/2006/relationships/hyperlink" Target="https://kenpom.com/conf.php?c=B12&amp;y=2024" TargetMode="External"/><Relationship Id="rId345" Type="http://schemas.openxmlformats.org/officeDocument/2006/relationships/hyperlink" Target="https://kenpom.com/conf.php?c=BSky&amp;y=2024" TargetMode="External"/><Relationship Id="rId587" Type="http://schemas.openxmlformats.org/officeDocument/2006/relationships/hyperlink" Target="https://kenpom.com/conf.php?c=SC&amp;y=2024" TargetMode="External"/><Relationship Id="rId102" Type="http://schemas.openxmlformats.org/officeDocument/2006/relationships/hyperlink" Target="https://kenpom.com/team.php?team=TCU&amp;y=2024" TargetMode="External"/><Relationship Id="rId344" Type="http://schemas.openxmlformats.org/officeDocument/2006/relationships/hyperlink" Target="https://kenpom.com/team.php?team=Eastern+Washington&amp;y=2024" TargetMode="External"/><Relationship Id="rId586" Type="http://schemas.openxmlformats.org/officeDocument/2006/relationships/hyperlink" Target="https://kenpom.com/team.php?team=The+Citadel&amp;y=2024" TargetMode="External"/><Relationship Id="rId101" Type="http://schemas.openxmlformats.org/officeDocument/2006/relationships/hyperlink" Target="https://kenpom.com/conf.php?c=P12&amp;y=2024" TargetMode="External"/><Relationship Id="rId343" Type="http://schemas.openxmlformats.org/officeDocument/2006/relationships/hyperlink" Target="https://kenpom.com/conf.php?c=SB&amp;y=2024" TargetMode="External"/><Relationship Id="rId585" Type="http://schemas.openxmlformats.org/officeDocument/2006/relationships/hyperlink" Target="https://kenpom.com/conf.php?c=Amer&amp;y=2024" TargetMode="External"/><Relationship Id="rId100" Type="http://schemas.openxmlformats.org/officeDocument/2006/relationships/hyperlink" Target="https://kenpom.com/team.php?team=Washington+St.&amp;y=2024" TargetMode="External"/><Relationship Id="rId342" Type="http://schemas.openxmlformats.org/officeDocument/2006/relationships/hyperlink" Target="https://kenpom.com/team.php?team=Louisiana&amp;y=2024" TargetMode="External"/><Relationship Id="rId584" Type="http://schemas.openxmlformats.org/officeDocument/2006/relationships/hyperlink" Target="https://kenpom.com/team.php?team=UTSA&amp;y=2024" TargetMode="External"/><Relationship Id="rId338" Type="http://schemas.openxmlformats.org/officeDocument/2006/relationships/hyperlink" Target="https://kenpom.com/team.php?team=Missouri+St.&amp;y=2024" TargetMode="External"/><Relationship Id="rId337" Type="http://schemas.openxmlformats.org/officeDocument/2006/relationships/hyperlink" Target="https://kenpom.com/conf.php?c=Sum&amp;y=2024" TargetMode="External"/><Relationship Id="rId579" Type="http://schemas.openxmlformats.org/officeDocument/2006/relationships/hyperlink" Target="https://kenpom.com/conf.php?c=BSky&amp;y=2024" TargetMode="External"/><Relationship Id="rId336" Type="http://schemas.openxmlformats.org/officeDocument/2006/relationships/hyperlink" Target="https://kenpom.com/team.php?team=St.+Thomas&amp;y=2024" TargetMode="External"/><Relationship Id="rId578" Type="http://schemas.openxmlformats.org/officeDocument/2006/relationships/hyperlink" Target="https://kenpom.com/team.php?team=Portland+St.&amp;y=2024" TargetMode="External"/><Relationship Id="rId335" Type="http://schemas.openxmlformats.org/officeDocument/2006/relationships/hyperlink" Target="https://kenpom.com/conf.php?c=SC&amp;y=2024" TargetMode="External"/><Relationship Id="rId577" Type="http://schemas.openxmlformats.org/officeDocument/2006/relationships/hyperlink" Target="https://kenpom.com/conf.php?c=CAA&amp;y=2024" TargetMode="External"/><Relationship Id="rId339" Type="http://schemas.openxmlformats.org/officeDocument/2006/relationships/hyperlink" Target="https://kenpom.com/conf.php?c=MVC&amp;y=2024" TargetMode="External"/><Relationship Id="rId330" Type="http://schemas.openxmlformats.org/officeDocument/2006/relationships/hyperlink" Target="https://kenpom.com/team.php?team=Missouri&amp;y=2024" TargetMode="External"/><Relationship Id="rId572" Type="http://schemas.openxmlformats.org/officeDocument/2006/relationships/hyperlink" Target="https://kenpom.com/team.php?team=San+Jose+St.&amp;y=2024" TargetMode="External"/><Relationship Id="rId571" Type="http://schemas.openxmlformats.org/officeDocument/2006/relationships/hyperlink" Target="https://kenpom.com/conf.php?c=BW&amp;y=2024" TargetMode="External"/><Relationship Id="rId570" Type="http://schemas.openxmlformats.org/officeDocument/2006/relationships/hyperlink" Target="https://kenpom.com/team.php?team=Cal+St.+Bakersfield&amp;y=2024" TargetMode="External"/><Relationship Id="rId334" Type="http://schemas.openxmlformats.org/officeDocument/2006/relationships/hyperlink" Target="https://kenpom.com/team.php?team=UNC+Greensboro&amp;y=2024" TargetMode="External"/><Relationship Id="rId576" Type="http://schemas.openxmlformats.org/officeDocument/2006/relationships/hyperlink" Target="https://kenpom.com/team.php?team=Northeastern&amp;y=2024" TargetMode="External"/><Relationship Id="rId333" Type="http://schemas.openxmlformats.org/officeDocument/2006/relationships/hyperlink" Target="https://kenpom.com/conf.php?c=CAA&amp;y=2024" TargetMode="External"/><Relationship Id="rId575" Type="http://schemas.openxmlformats.org/officeDocument/2006/relationships/hyperlink" Target="https://kenpom.com/conf.php?c=MAAC&amp;y=2024" TargetMode="External"/><Relationship Id="rId332" Type="http://schemas.openxmlformats.org/officeDocument/2006/relationships/hyperlink" Target="https://kenpom.com/team.php?team=Towson&amp;y=2024" TargetMode="External"/><Relationship Id="rId574" Type="http://schemas.openxmlformats.org/officeDocument/2006/relationships/hyperlink" Target="https://kenpom.com/team.php?team=Mount+St.+Mary%27s&amp;y=2024" TargetMode="External"/><Relationship Id="rId331" Type="http://schemas.openxmlformats.org/officeDocument/2006/relationships/hyperlink" Target="https://kenpom.com/conf.php?c=SEC&amp;y=2024" TargetMode="External"/><Relationship Id="rId573" Type="http://schemas.openxmlformats.org/officeDocument/2006/relationships/hyperlink" Target="https://kenpom.com/conf.php?c=MWC&amp;y=2024" TargetMode="External"/><Relationship Id="rId370" Type="http://schemas.openxmlformats.org/officeDocument/2006/relationships/hyperlink" Target="https://kenpom.com/index.php?y=2024&amp;s=RankSOS" TargetMode="External"/><Relationship Id="rId129" Type="http://schemas.openxmlformats.org/officeDocument/2006/relationships/hyperlink" Target="https://kenpom.com/conf.php?c=BE&amp;y=2024" TargetMode="External"/><Relationship Id="rId128" Type="http://schemas.openxmlformats.org/officeDocument/2006/relationships/hyperlink" Target="https://kenpom.com/team.php?team=Xavier&amp;y=2024" TargetMode="External"/><Relationship Id="rId127" Type="http://schemas.openxmlformats.org/officeDocument/2006/relationships/hyperlink" Target="https://kenpom.com/conf.php?c=P12&amp;y=2024" TargetMode="External"/><Relationship Id="rId369" Type="http://schemas.openxmlformats.org/officeDocument/2006/relationships/hyperlink" Target="https://kenpom.com/index.php?y=2024&amp;s=RankLuck" TargetMode="External"/><Relationship Id="rId126" Type="http://schemas.openxmlformats.org/officeDocument/2006/relationships/hyperlink" Target="https://kenpom.com/team.php?team=Oregon&amp;y=2024" TargetMode="External"/><Relationship Id="rId368" Type="http://schemas.openxmlformats.org/officeDocument/2006/relationships/hyperlink" Target="https://kenpom.com/index.php?y=2024&amp;s=RankAdjTempo" TargetMode="External"/><Relationship Id="rId121" Type="http://schemas.openxmlformats.org/officeDocument/2006/relationships/hyperlink" Target="https://kenpom.com/conf.php?c=WAC&amp;y=2024" TargetMode="External"/><Relationship Id="rId363" Type="http://schemas.openxmlformats.org/officeDocument/2006/relationships/hyperlink" Target="https://kenpom.com/index.php?y=2024&amp;s=TeamName" TargetMode="External"/><Relationship Id="rId120" Type="http://schemas.openxmlformats.org/officeDocument/2006/relationships/hyperlink" Target="https://kenpom.com/team.php?team=Grand+Canyon&amp;y=2024" TargetMode="External"/><Relationship Id="rId362" Type="http://schemas.openxmlformats.org/officeDocument/2006/relationships/hyperlink" Target="https://kenpom.com/index.php?y=2024" TargetMode="External"/><Relationship Id="rId361" Type="http://schemas.openxmlformats.org/officeDocument/2006/relationships/hyperlink" Target="https://kenpom.com/conf.php?c=MVC&amp;y=2024" TargetMode="External"/><Relationship Id="rId360" Type="http://schemas.openxmlformats.org/officeDocument/2006/relationships/hyperlink" Target="https://kenpom.com/team.php?team=Murray+St.&amp;y=2024" TargetMode="External"/><Relationship Id="rId125" Type="http://schemas.openxmlformats.org/officeDocument/2006/relationships/hyperlink" Target="https://kenpom.com/conf.php?c=SEC&amp;y=2024" TargetMode="External"/><Relationship Id="rId367" Type="http://schemas.openxmlformats.org/officeDocument/2006/relationships/hyperlink" Target="https://kenpom.com/index.php?y=2024&amp;s=RankAdjDE" TargetMode="External"/><Relationship Id="rId124" Type="http://schemas.openxmlformats.org/officeDocument/2006/relationships/hyperlink" Target="https://kenpom.com/team.php?team=South+Carolina&amp;y=2024" TargetMode="External"/><Relationship Id="rId366" Type="http://schemas.openxmlformats.org/officeDocument/2006/relationships/hyperlink" Target="https://kenpom.com/index.php?y=2024&amp;s=RankAdjOE" TargetMode="External"/><Relationship Id="rId123" Type="http://schemas.openxmlformats.org/officeDocument/2006/relationships/hyperlink" Target="https://kenpom.com/conf.php?c=MVC&amp;y=2024" TargetMode="External"/><Relationship Id="rId365" Type="http://schemas.openxmlformats.org/officeDocument/2006/relationships/hyperlink" Target="https://kenpom.com/index.php?y=2024" TargetMode="External"/><Relationship Id="rId122" Type="http://schemas.openxmlformats.org/officeDocument/2006/relationships/hyperlink" Target="https://kenpom.com/team.php?team=Drake&amp;y=2024" TargetMode="External"/><Relationship Id="rId364" Type="http://schemas.openxmlformats.org/officeDocument/2006/relationships/hyperlink" Target="https://kenpom.com/index.php?y=2024&amp;s=Wins" TargetMode="External"/><Relationship Id="rId95" Type="http://schemas.openxmlformats.org/officeDocument/2006/relationships/hyperlink" Target="https://kenpom.com/index.php?y=2024&amp;s=RankSOSO" TargetMode="External"/><Relationship Id="rId94" Type="http://schemas.openxmlformats.org/officeDocument/2006/relationships/hyperlink" Target="https://kenpom.com/index.php?y=2024&amp;s=RankSOS" TargetMode="External"/><Relationship Id="rId97" Type="http://schemas.openxmlformats.org/officeDocument/2006/relationships/hyperlink" Target="https://kenpom.com/index.php?y=2024&amp;s=RankNCSOS" TargetMode="External"/><Relationship Id="rId96" Type="http://schemas.openxmlformats.org/officeDocument/2006/relationships/hyperlink" Target="https://kenpom.com/index.php?y=2024&amp;s=RankSOSD" TargetMode="External"/><Relationship Id="rId99" Type="http://schemas.openxmlformats.org/officeDocument/2006/relationships/hyperlink" Target="https://kenpom.com/conf.php?c=B10&amp;y=2024" TargetMode="External"/><Relationship Id="rId98" Type="http://schemas.openxmlformats.org/officeDocument/2006/relationships/hyperlink" Target="https://kenpom.com/team.php?team=Northwestern&amp;y=2024" TargetMode="External"/><Relationship Id="rId91" Type="http://schemas.openxmlformats.org/officeDocument/2006/relationships/hyperlink" Target="https://kenpom.com/index.php?y=2024&amp;s=RankAdjDE" TargetMode="External"/><Relationship Id="rId90" Type="http://schemas.openxmlformats.org/officeDocument/2006/relationships/hyperlink" Target="https://kenpom.com/index.php?y=2024&amp;s=RankAdjOE" TargetMode="External"/><Relationship Id="rId93" Type="http://schemas.openxmlformats.org/officeDocument/2006/relationships/hyperlink" Target="https://kenpom.com/index.php?y=2024&amp;s=RankLuck" TargetMode="External"/><Relationship Id="rId92" Type="http://schemas.openxmlformats.org/officeDocument/2006/relationships/hyperlink" Target="https://kenpom.com/index.php?y=2024&amp;s=RankAdjTempo" TargetMode="External"/><Relationship Id="rId118" Type="http://schemas.openxmlformats.org/officeDocument/2006/relationships/hyperlink" Target="https://kenpom.com/team.php?team=Utah+St.&amp;y=2024" TargetMode="External"/><Relationship Id="rId117" Type="http://schemas.openxmlformats.org/officeDocument/2006/relationships/hyperlink" Target="https://kenpom.com/conf.php?c=BE&amp;y=2024" TargetMode="External"/><Relationship Id="rId359" Type="http://schemas.openxmlformats.org/officeDocument/2006/relationships/hyperlink" Target="https://kenpom.com/conf.php?c=MWC&amp;y=2024" TargetMode="External"/><Relationship Id="rId116" Type="http://schemas.openxmlformats.org/officeDocument/2006/relationships/hyperlink" Target="https://kenpom.com/team.php?team=Seton+Hall&amp;y=2024" TargetMode="External"/><Relationship Id="rId358" Type="http://schemas.openxmlformats.org/officeDocument/2006/relationships/hyperlink" Target="https://kenpom.com/team.php?team=Wyoming&amp;y=2024" TargetMode="External"/><Relationship Id="rId115" Type="http://schemas.openxmlformats.org/officeDocument/2006/relationships/hyperlink" Target="https://kenpom.com/conf.php?c=B10&amp;y=2024" TargetMode="External"/><Relationship Id="rId357" Type="http://schemas.openxmlformats.org/officeDocument/2006/relationships/hyperlink" Target="https://kenpom.com/conf.php?c=Horz&amp;y=2024" TargetMode="External"/><Relationship Id="rId599" Type="http://schemas.openxmlformats.org/officeDocument/2006/relationships/hyperlink" Target="https://kenpom.com/conf.php?c=SWAC&amp;y=2024" TargetMode="External"/><Relationship Id="rId119" Type="http://schemas.openxmlformats.org/officeDocument/2006/relationships/hyperlink" Target="https://kenpom.com/conf.php?c=MWC&amp;y=2024" TargetMode="External"/><Relationship Id="rId110" Type="http://schemas.openxmlformats.org/officeDocument/2006/relationships/hyperlink" Target="https://kenpom.com/team.php?team=Florida+Atlantic&amp;y=2024" TargetMode="External"/><Relationship Id="rId352" Type="http://schemas.openxmlformats.org/officeDocument/2006/relationships/hyperlink" Target="https://kenpom.com/team.php?team=Weber+St.&amp;y=2024" TargetMode="External"/><Relationship Id="rId594" Type="http://schemas.openxmlformats.org/officeDocument/2006/relationships/hyperlink" Target="https://kenpom.com/team.php?team=Grambling+St.&amp;y=2024" TargetMode="External"/><Relationship Id="rId351" Type="http://schemas.openxmlformats.org/officeDocument/2006/relationships/hyperlink" Target="https://kenpom.com/conf.php?c=P12&amp;y=2024" TargetMode="External"/><Relationship Id="rId593" Type="http://schemas.openxmlformats.org/officeDocument/2006/relationships/hyperlink" Target="https://kenpom.com/conf.php?c=BSky&amp;y=2024" TargetMode="External"/><Relationship Id="rId350" Type="http://schemas.openxmlformats.org/officeDocument/2006/relationships/hyperlink" Target="https://kenpom.com/team.php?team=Oregon+St.&amp;y=2024" TargetMode="External"/><Relationship Id="rId592" Type="http://schemas.openxmlformats.org/officeDocument/2006/relationships/hyperlink" Target="https://kenpom.com/team.php?team=Idaho+St.&amp;y=2024" TargetMode="External"/><Relationship Id="rId591" Type="http://schemas.openxmlformats.org/officeDocument/2006/relationships/hyperlink" Target="https://kenpom.com/conf.php?c=MAC&amp;y=2024" TargetMode="External"/><Relationship Id="rId114" Type="http://schemas.openxmlformats.org/officeDocument/2006/relationships/hyperlink" Target="https://kenpom.com/team.php?team=Ohio+St.&amp;y=2024" TargetMode="External"/><Relationship Id="rId356" Type="http://schemas.openxmlformats.org/officeDocument/2006/relationships/hyperlink" Target="https://kenpom.com/team.php?team=Wright+St.&amp;y=2024" TargetMode="External"/><Relationship Id="rId598" Type="http://schemas.openxmlformats.org/officeDocument/2006/relationships/hyperlink" Target="https://kenpom.com/team.php?team=Southern&amp;y=2024" TargetMode="External"/><Relationship Id="rId113" Type="http://schemas.openxmlformats.org/officeDocument/2006/relationships/hyperlink" Target="https://kenpom.com/conf.php?c=P12&amp;y=2024" TargetMode="External"/><Relationship Id="rId355" Type="http://schemas.openxmlformats.org/officeDocument/2006/relationships/hyperlink" Target="https://kenpom.com/conf.php?c=Horz&amp;y=2024" TargetMode="External"/><Relationship Id="rId597" Type="http://schemas.openxmlformats.org/officeDocument/2006/relationships/hyperlink" Target="https://kenpom.com/conf.php?c=Sum&amp;y=2024" TargetMode="External"/><Relationship Id="rId112" Type="http://schemas.openxmlformats.org/officeDocument/2006/relationships/hyperlink" Target="https://kenpom.com/team.php?team=Utah&amp;y=2024" TargetMode="External"/><Relationship Id="rId354" Type="http://schemas.openxmlformats.org/officeDocument/2006/relationships/hyperlink" Target="https://kenpom.com/team.php?team=Purdue+Fort+Wayne&amp;y=2024" TargetMode="External"/><Relationship Id="rId596" Type="http://schemas.openxmlformats.org/officeDocument/2006/relationships/hyperlink" Target="https://kenpom.com/team.php?team=Nebraska+Omaha&amp;y=2024" TargetMode="External"/><Relationship Id="rId111" Type="http://schemas.openxmlformats.org/officeDocument/2006/relationships/hyperlink" Target="https://kenpom.com/conf.php?c=Amer&amp;y=2024" TargetMode="External"/><Relationship Id="rId353" Type="http://schemas.openxmlformats.org/officeDocument/2006/relationships/hyperlink" Target="https://kenpom.com/conf.php?c=BSky&amp;y=2024" TargetMode="External"/><Relationship Id="rId595" Type="http://schemas.openxmlformats.org/officeDocument/2006/relationships/hyperlink" Target="https://kenpom.com/conf.php?c=SWAC&amp;y=2024" TargetMode="External"/><Relationship Id="rId305" Type="http://schemas.openxmlformats.org/officeDocument/2006/relationships/hyperlink" Target="https://kenpom.com/conf.php?c=SB&amp;y=2024" TargetMode="External"/><Relationship Id="rId547" Type="http://schemas.openxmlformats.org/officeDocument/2006/relationships/hyperlink" Target="https://kenpom.com/index.php?y=2024&amp;s=TeamName" TargetMode="External"/><Relationship Id="rId789" Type="http://schemas.openxmlformats.org/officeDocument/2006/relationships/hyperlink" Target="https://kenpom.com/conf.php?c=Pat&amp;y=2024" TargetMode="External"/><Relationship Id="rId304" Type="http://schemas.openxmlformats.org/officeDocument/2006/relationships/hyperlink" Target="https://kenpom.com/team.php?team=Troy&amp;y=2024" TargetMode="External"/><Relationship Id="rId546" Type="http://schemas.openxmlformats.org/officeDocument/2006/relationships/hyperlink" Target="https://kenpom.com/index.php?y=2024" TargetMode="External"/><Relationship Id="rId788" Type="http://schemas.openxmlformats.org/officeDocument/2006/relationships/hyperlink" Target="https://kenpom.com/team.php?team=Army&amp;y=2024" TargetMode="External"/><Relationship Id="rId303" Type="http://schemas.openxmlformats.org/officeDocument/2006/relationships/hyperlink" Target="https://kenpom.com/conf.php?c=Horz&amp;y=2024" TargetMode="External"/><Relationship Id="rId545" Type="http://schemas.openxmlformats.org/officeDocument/2006/relationships/hyperlink" Target="https://kenpom.com/conf.php?c=ASun&amp;y=2024" TargetMode="External"/><Relationship Id="rId787" Type="http://schemas.openxmlformats.org/officeDocument/2006/relationships/hyperlink" Target="https://kenpom.com/conf.php?c=NEC&amp;y=2024" TargetMode="External"/><Relationship Id="rId302" Type="http://schemas.openxmlformats.org/officeDocument/2006/relationships/hyperlink" Target="https://kenpom.com/team.php?team=Oakland&amp;y=2024" TargetMode="External"/><Relationship Id="rId544" Type="http://schemas.openxmlformats.org/officeDocument/2006/relationships/hyperlink" Target="https://kenpom.com/team.php?team=North+Florida&amp;y=2024" TargetMode="External"/><Relationship Id="rId786" Type="http://schemas.openxmlformats.org/officeDocument/2006/relationships/hyperlink" Target="https://kenpom.com/team.php?team=LIU&amp;y=2024" TargetMode="External"/><Relationship Id="rId309" Type="http://schemas.openxmlformats.org/officeDocument/2006/relationships/hyperlink" Target="https://kenpom.com/conf.php?c=Horz&amp;y=2024" TargetMode="External"/><Relationship Id="rId308" Type="http://schemas.openxmlformats.org/officeDocument/2006/relationships/hyperlink" Target="https://kenpom.com/team.php?team=Youngstown+St.&amp;y=2024" TargetMode="External"/><Relationship Id="rId307" Type="http://schemas.openxmlformats.org/officeDocument/2006/relationships/hyperlink" Target="https://kenpom.com/conf.php?c=SB&amp;y=2024" TargetMode="External"/><Relationship Id="rId549" Type="http://schemas.openxmlformats.org/officeDocument/2006/relationships/hyperlink" Target="https://kenpom.com/index.php?y=2024" TargetMode="External"/><Relationship Id="rId306" Type="http://schemas.openxmlformats.org/officeDocument/2006/relationships/hyperlink" Target="https://kenpom.com/team.php?team=Arkansas+St.&amp;y=2024" TargetMode="External"/><Relationship Id="rId548" Type="http://schemas.openxmlformats.org/officeDocument/2006/relationships/hyperlink" Target="https://kenpom.com/index.php?y=2024&amp;s=Wins" TargetMode="External"/><Relationship Id="rId781" Type="http://schemas.openxmlformats.org/officeDocument/2006/relationships/hyperlink" Target="https://kenpom.com/conf.php?c=ASun&amp;y=2024" TargetMode="External"/><Relationship Id="rId780" Type="http://schemas.openxmlformats.org/officeDocument/2006/relationships/hyperlink" Target="https://kenpom.com/team.php?team=Central+Arkansas&amp;y=2024" TargetMode="External"/><Relationship Id="rId301" Type="http://schemas.openxmlformats.org/officeDocument/2006/relationships/hyperlink" Target="https://kenpom.com/conf.php?c=BW&amp;y=2024" TargetMode="External"/><Relationship Id="rId543" Type="http://schemas.openxmlformats.org/officeDocument/2006/relationships/hyperlink" Target="https://kenpom.com/conf.php?c=MAC&amp;y=2024" TargetMode="External"/><Relationship Id="rId785" Type="http://schemas.openxmlformats.org/officeDocument/2006/relationships/hyperlink" Target="https://kenpom.com/conf.php?c=Slnd&amp;y=2024" TargetMode="External"/><Relationship Id="rId300" Type="http://schemas.openxmlformats.org/officeDocument/2006/relationships/hyperlink" Target="https://kenpom.com/team.php?team=UC+San+Diego&amp;y=2024" TargetMode="External"/><Relationship Id="rId542" Type="http://schemas.openxmlformats.org/officeDocument/2006/relationships/hyperlink" Target="https://kenpom.com/team.php?team=Bowling+Green&amp;y=2024" TargetMode="External"/><Relationship Id="rId784" Type="http://schemas.openxmlformats.org/officeDocument/2006/relationships/hyperlink" Target="https://kenpom.com/team.php?team=New+Orleans&amp;y=2024" TargetMode="External"/><Relationship Id="rId541" Type="http://schemas.openxmlformats.org/officeDocument/2006/relationships/hyperlink" Target="https://kenpom.com/conf.php?c=SB&amp;y=2024" TargetMode="External"/><Relationship Id="rId783" Type="http://schemas.openxmlformats.org/officeDocument/2006/relationships/hyperlink" Target="https://kenpom.com/conf.php?c=CAA&amp;y=2024" TargetMode="External"/><Relationship Id="rId540" Type="http://schemas.openxmlformats.org/officeDocument/2006/relationships/hyperlink" Target="https://kenpom.com/team.php?team=Marshall&amp;y=2024" TargetMode="External"/><Relationship Id="rId782" Type="http://schemas.openxmlformats.org/officeDocument/2006/relationships/hyperlink" Target="https://kenpom.com/team.php?team=Hampton&amp;y=2024" TargetMode="External"/><Relationship Id="rId536" Type="http://schemas.openxmlformats.org/officeDocument/2006/relationships/hyperlink" Target="https://kenpom.com/team.php?team=North+Dakota&amp;y=2024" TargetMode="External"/><Relationship Id="rId778" Type="http://schemas.openxmlformats.org/officeDocument/2006/relationships/hyperlink" Target="https://kenpom.com/team.php?team=Cal+Poly&amp;y=2024" TargetMode="External"/><Relationship Id="rId535" Type="http://schemas.openxmlformats.org/officeDocument/2006/relationships/hyperlink" Target="https://kenpom.com/conf.php?c=BW&amp;y=2024" TargetMode="External"/><Relationship Id="rId777" Type="http://schemas.openxmlformats.org/officeDocument/2006/relationships/hyperlink" Target="https://kenpom.com/conf.php?c=SWAC&amp;y=2024" TargetMode="External"/><Relationship Id="rId534" Type="http://schemas.openxmlformats.org/officeDocument/2006/relationships/hyperlink" Target="https://kenpom.com/team.php?team=Cal+St.+Fullerton&amp;y=2024" TargetMode="External"/><Relationship Id="rId776" Type="http://schemas.openxmlformats.org/officeDocument/2006/relationships/hyperlink" Target="https://kenpom.com/team.php?team=Florida+A%26M&amp;y=2024" TargetMode="External"/><Relationship Id="rId533" Type="http://schemas.openxmlformats.org/officeDocument/2006/relationships/hyperlink" Target="https://kenpom.com/conf.php?c=Slnd&amp;y=2024" TargetMode="External"/><Relationship Id="rId775" Type="http://schemas.openxmlformats.org/officeDocument/2006/relationships/hyperlink" Target="https://kenpom.com/conf.php?c=MAAC&amp;y=2024" TargetMode="External"/><Relationship Id="rId539" Type="http://schemas.openxmlformats.org/officeDocument/2006/relationships/hyperlink" Target="https://kenpom.com/conf.php?c=MWC&amp;y=2024" TargetMode="External"/><Relationship Id="rId538" Type="http://schemas.openxmlformats.org/officeDocument/2006/relationships/hyperlink" Target="https://kenpom.com/team.php?team=Fresno+St.&amp;y=2024" TargetMode="External"/><Relationship Id="rId537" Type="http://schemas.openxmlformats.org/officeDocument/2006/relationships/hyperlink" Target="https://kenpom.com/conf.php?c=Sum&amp;y=2024" TargetMode="External"/><Relationship Id="rId779" Type="http://schemas.openxmlformats.org/officeDocument/2006/relationships/hyperlink" Target="https://kenpom.com/conf.php?c=BW&amp;y=2024" TargetMode="External"/><Relationship Id="rId770" Type="http://schemas.openxmlformats.org/officeDocument/2006/relationships/hyperlink" Target="https://kenpom.com/team.php?team=NJIT&amp;y=2024" TargetMode="External"/><Relationship Id="rId532" Type="http://schemas.openxmlformats.org/officeDocument/2006/relationships/hyperlink" Target="https://kenpom.com/team.php?team=Nicholls+St.&amp;y=2024" TargetMode="External"/><Relationship Id="rId774" Type="http://schemas.openxmlformats.org/officeDocument/2006/relationships/hyperlink" Target="https://kenpom.com/team.php?team=Manhattan&amp;y=2024" TargetMode="External"/><Relationship Id="rId531" Type="http://schemas.openxmlformats.org/officeDocument/2006/relationships/hyperlink" Target="https://kenpom.com/conf.php?c=BW&amp;y=2024" TargetMode="External"/><Relationship Id="rId773" Type="http://schemas.openxmlformats.org/officeDocument/2006/relationships/hyperlink" Target="https://kenpom.com/conf.php?c=Ivy&amp;y=2024" TargetMode="External"/><Relationship Id="rId530" Type="http://schemas.openxmlformats.org/officeDocument/2006/relationships/hyperlink" Target="https://kenpom.com/team.php?team=Cal+St.+Northridge&amp;y=2024" TargetMode="External"/><Relationship Id="rId772" Type="http://schemas.openxmlformats.org/officeDocument/2006/relationships/hyperlink" Target="https://kenpom.com/team.php?team=Dartmouth&amp;y=2024" TargetMode="External"/><Relationship Id="rId771" Type="http://schemas.openxmlformats.org/officeDocument/2006/relationships/hyperlink" Target="https://kenpom.com/conf.php?c=AE&amp;y=2024" TargetMode="External"/><Relationship Id="rId327" Type="http://schemas.openxmlformats.org/officeDocument/2006/relationships/hyperlink" Target="https://kenpom.com/conf.php?c=MAC&amp;y=2024" TargetMode="External"/><Relationship Id="rId569" Type="http://schemas.openxmlformats.org/officeDocument/2006/relationships/hyperlink" Target="https://kenpom.com/conf.php?c=AE&amp;y=2024" TargetMode="External"/><Relationship Id="rId326" Type="http://schemas.openxmlformats.org/officeDocument/2006/relationships/hyperlink" Target="https://kenpom.com/team.php?team=Ohio&amp;y=2024" TargetMode="External"/><Relationship Id="rId568" Type="http://schemas.openxmlformats.org/officeDocument/2006/relationships/hyperlink" Target="https://kenpom.com/team.php?team=New+Hampshire&amp;y=2024" TargetMode="External"/><Relationship Id="rId325" Type="http://schemas.openxmlformats.org/officeDocument/2006/relationships/hyperlink" Target="https://kenpom.com/conf.php?c=CUSA&amp;y=2024" TargetMode="External"/><Relationship Id="rId567" Type="http://schemas.openxmlformats.org/officeDocument/2006/relationships/hyperlink" Target="https://kenpom.com/conf.php?c=ASun&amp;y=2024" TargetMode="External"/><Relationship Id="rId324" Type="http://schemas.openxmlformats.org/officeDocument/2006/relationships/hyperlink" Target="https://kenpom.com/team.php?team=Sam+Houston+St.&amp;y=2024" TargetMode="External"/><Relationship Id="rId566" Type="http://schemas.openxmlformats.org/officeDocument/2006/relationships/hyperlink" Target="https://kenpom.com/team.php?team=Austin+Peay&amp;y=2024" TargetMode="External"/><Relationship Id="rId329" Type="http://schemas.openxmlformats.org/officeDocument/2006/relationships/hyperlink" Target="https://kenpom.com/conf.php?c=B12&amp;y=2024" TargetMode="External"/><Relationship Id="rId328" Type="http://schemas.openxmlformats.org/officeDocument/2006/relationships/hyperlink" Target="https://kenpom.com/team.php?team=West+Virginia&amp;y=2024" TargetMode="External"/><Relationship Id="rId561" Type="http://schemas.openxmlformats.org/officeDocument/2006/relationships/hyperlink" Target="https://kenpom.com/conf.php?c=WAC&amp;y=2024" TargetMode="External"/><Relationship Id="rId560" Type="http://schemas.openxmlformats.org/officeDocument/2006/relationships/hyperlink" Target="https://kenpom.com/team.php?team=Southern+Utah&amp;y=2024" TargetMode="External"/><Relationship Id="rId323" Type="http://schemas.openxmlformats.org/officeDocument/2006/relationships/hyperlink" Target="https://kenpom.com/conf.php?c=SC&amp;y=2024" TargetMode="External"/><Relationship Id="rId565" Type="http://schemas.openxmlformats.org/officeDocument/2006/relationships/hyperlink" Target="https://kenpom.com/conf.php?c=AE&amp;y=2024" TargetMode="External"/><Relationship Id="rId322" Type="http://schemas.openxmlformats.org/officeDocument/2006/relationships/hyperlink" Target="https://kenpom.com/team.php?team=Furman&amp;y=2024" TargetMode="External"/><Relationship Id="rId564" Type="http://schemas.openxmlformats.org/officeDocument/2006/relationships/hyperlink" Target="https://kenpom.com/team.php?team=Albany&amp;y=2024" TargetMode="External"/><Relationship Id="rId321" Type="http://schemas.openxmlformats.org/officeDocument/2006/relationships/hyperlink" Target="https://kenpom.com/conf.php?c=SC&amp;y=2024" TargetMode="External"/><Relationship Id="rId563" Type="http://schemas.openxmlformats.org/officeDocument/2006/relationships/hyperlink" Target="https://kenpom.com/conf.php?c=SB&amp;y=2024" TargetMode="External"/><Relationship Id="rId320" Type="http://schemas.openxmlformats.org/officeDocument/2006/relationships/hyperlink" Target="https://kenpom.com/team.php?team=Chattanooga&amp;y=2024" TargetMode="External"/><Relationship Id="rId562" Type="http://schemas.openxmlformats.org/officeDocument/2006/relationships/hyperlink" Target="https://kenpom.com/team.php?team=Southern+Miss&amp;y=2024" TargetMode="External"/><Relationship Id="rId316" Type="http://schemas.openxmlformats.org/officeDocument/2006/relationships/hyperlink" Target="https://kenpom.com/team.php?team=South+Dakota+St.&amp;y=2024" TargetMode="External"/><Relationship Id="rId558" Type="http://schemas.openxmlformats.org/officeDocument/2006/relationships/hyperlink" Target="https://kenpom.com/team.php?team=Florida+Gulf+Coast&amp;y=2024" TargetMode="External"/><Relationship Id="rId315" Type="http://schemas.openxmlformats.org/officeDocument/2006/relationships/hyperlink" Target="https://kenpom.com/conf.php?c=CUSA&amp;y=2024" TargetMode="External"/><Relationship Id="rId557" Type="http://schemas.openxmlformats.org/officeDocument/2006/relationships/hyperlink" Target="https://kenpom.com/index.php?y=2024&amp;s=RankNCSOS" TargetMode="External"/><Relationship Id="rId799" Type="http://schemas.openxmlformats.org/officeDocument/2006/relationships/hyperlink" Target="https://kenpom.com/conf.php?c=Pat&amp;y=2024" TargetMode="External"/><Relationship Id="rId314" Type="http://schemas.openxmlformats.org/officeDocument/2006/relationships/hyperlink" Target="https://kenpom.com/team.php?team=Liberty&amp;y=2024" TargetMode="External"/><Relationship Id="rId556" Type="http://schemas.openxmlformats.org/officeDocument/2006/relationships/hyperlink" Target="https://kenpom.com/index.php?y=2024&amp;s=RankSOSD" TargetMode="External"/><Relationship Id="rId798" Type="http://schemas.openxmlformats.org/officeDocument/2006/relationships/hyperlink" Target="https://kenpom.com/team.php?team=Holy+Cross&amp;y=2024" TargetMode="External"/><Relationship Id="rId313" Type="http://schemas.openxmlformats.org/officeDocument/2006/relationships/hyperlink" Target="https://kenpom.com/conf.php?c=Amer&amp;y=2024" TargetMode="External"/><Relationship Id="rId555" Type="http://schemas.openxmlformats.org/officeDocument/2006/relationships/hyperlink" Target="https://kenpom.com/index.php?y=2024&amp;s=RankSOSO" TargetMode="External"/><Relationship Id="rId797" Type="http://schemas.openxmlformats.org/officeDocument/2006/relationships/hyperlink" Target="https://kenpom.com/conf.php?c=MAC&amp;y=2024" TargetMode="External"/><Relationship Id="rId319" Type="http://schemas.openxmlformats.org/officeDocument/2006/relationships/hyperlink" Target="https://kenpom.com/conf.php?c=MAC&amp;y=2024" TargetMode="External"/><Relationship Id="rId318" Type="http://schemas.openxmlformats.org/officeDocument/2006/relationships/hyperlink" Target="https://kenpom.com/team.php?team=Toledo&amp;y=2024" TargetMode="External"/><Relationship Id="rId317" Type="http://schemas.openxmlformats.org/officeDocument/2006/relationships/hyperlink" Target="https://kenpom.com/conf.php?c=Sum&amp;y=2024" TargetMode="External"/><Relationship Id="rId559" Type="http://schemas.openxmlformats.org/officeDocument/2006/relationships/hyperlink" Target="https://kenpom.com/conf.php?c=ASun&amp;y=2024" TargetMode="External"/><Relationship Id="rId550" Type="http://schemas.openxmlformats.org/officeDocument/2006/relationships/hyperlink" Target="https://kenpom.com/index.php?y=2024&amp;s=RankAdjOE" TargetMode="External"/><Relationship Id="rId792" Type="http://schemas.openxmlformats.org/officeDocument/2006/relationships/hyperlink" Target="https://kenpom.com/team.php?team=North+Carolina+A%26T&amp;y=2024" TargetMode="External"/><Relationship Id="rId791" Type="http://schemas.openxmlformats.org/officeDocument/2006/relationships/hyperlink" Target="https://kenpom.com/conf.php?c=Slnd&amp;y=2024" TargetMode="External"/><Relationship Id="rId790" Type="http://schemas.openxmlformats.org/officeDocument/2006/relationships/hyperlink" Target="https://kenpom.com/team.php?team=Incarnate+Word&amp;y=2024" TargetMode="External"/><Relationship Id="rId312" Type="http://schemas.openxmlformats.org/officeDocument/2006/relationships/hyperlink" Target="https://kenpom.com/team.php?team=Tulane&amp;y=2024" TargetMode="External"/><Relationship Id="rId554" Type="http://schemas.openxmlformats.org/officeDocument/2006/relationships/hyperlink" Target="https://kenpom.com/index.php?y=2024&amp;s=RankSOS" TargetMode="External"/><Relationship Id="rId796" Type="http://schemas.openxmlformats.org/officeDocument/2006/relationships/hyperlink" Target="https://kenpom.com/team.php?team=Buffalo&amp;y=2024" TargetMode="External"/><Relationship Id="rId311" Type="http://schemas.openxmlformats.org/officeDocument/2006/relationships/hyperlink" Target="https://kenpom.com/conf.php?c=CUSA&amp;y=2024" TargetMode="External"/><Relationship Id="rId553" Type="http://schemas.openxmlformats.org/officeDocument/2006/relationships/hyperlink" Target="https://kenpom.com/index.php?y=2024&amp;s=RankLuck" TargetMode="External"/><Relationship Id="rId795" Type="http://schemas.openxmlformats.org/officeDocument/2006/relationships/hyperlink" Target="https://kenpom.com/conf.php?c=MEAC&amp;y=2024" TargetMode="External"/><Relationship Id="rId310" Type="http://schemas.openxmlformats.org/officeDocument/2006/relationships/hyperlink" Target="https://kenpom.com/team.php?team=Western+Kentucky&amp;y=2024" TargetMode="External"/><Relationship Id="rId552" Type="http://schemas.openxmlformats.org/officeDocument/2006/relationships/hyperlink" Target="https://kenpom.com/index.php?y=2024&amp;s=RankAdjTempo" TargetMode="External"/><Relationship Id="rId794" Type="http://schemas.openxmlformats.org/officeDocument/2006/relationships/hyperlink" Target="https://kenpom.com/team.php?team=Maryland+Eastern+Shore&amp;y=2024" TargetMode="External"/><Relationship Id="rId551" Type="http://schemas.openxmlformats.org/officeDocument/2006/relationships/hyperlink" Target="https://kenpom.com/index.php?y=2024&amp;s=RankAdjDE" TargetMode="External"/><Relationship Id="rId793" Type="http://schemas.openxmlformats.org/officeDocument/2006/relationships/hyperlink" Target="https://kenpom.com/conf.php?c=CAA&amp;y=2024" TargetMode="External"/><Relationship Id="rId297" Type="http://schemas.openxmlformats.org/officeDocument/2006/relationships/hyperlink" Target="https://kenpom.com/conf.php?c=B10&amp;y=2024" TargetMode="External"/><Relationship Id="rId296" Type="http://schemas.openxmlformats.org/officeDocument/2006/relationships/hyperlink" Target="https://kenpom.com/team.php?team=Michigan&amp;y=2024" TargetMode="External"/><Relationship Id="rId295" Type="http://schemas.openxmlformats.org/officeDocument/2006/relationships/hyperlink" Target="https://kenpom.com/conf.php?c=P12&amp;y=2024" TargetMode="External"/><Relationship Id="rId294" Type="http://schemas.openxmlformats.org/officeDocument/2006/relationships/hyperlink" Target="https://kenpom.com/team.php?team=Arizona+St.&amp;y=2024" TargetMode="External"/><Relationship Id="rId299" Type="http://schemas.openxmlformats.org/officeDocument/2006/relationships/hyperlink" Target="https://kenpom.com/conf.php?c=WAC&amp;y=2024" TargetMode="External"/><Relationship Id="rId298" Type="http://schemas.openxmlformats.org/officeDocument/2006/relationships/hyperlink" Target="https://kenpom.com/team.php?team=Tarleton+St.&amp;y=2024" TargetMode="External"/><Relationship Id="rId271" Type="http://schemas.openxmlformats.org/officeDocument/2006/relationships/hyperlink" Target="https://kenpom.com/index.php?y=2024&amp;s=TeamName" TargetMode="External"/><Relationship Id="rId270" Type="http://schemas.openxmlformats.org/officeDocument/2006/relationships/hyperlink" Target="https://kenpom.com/index.php?y=2024" TargetMode="External"/><Relationship Id="rId269" Type="http://schemas.openxmlformats.org/officeDocument/2006/relationships/hyperlink" Target="https://kenpom.com/conf.php?c=Amer&amp;y=2024" TargetMode="External"/><Relationship Id="rId264" Type="http://schemas.openxmlformats.org/officeDocument/2006/relationships/hyperlink" Target="https://kenpom.com/team.php?team=Notre+Dame&amp;y=2024" TargetMode="External"/><Relationship Id="rId263" Type="http://schemas.openxmlformats.org/officeDocument/2006/relationships/hyperlink" Target="https://kenpom.com/conf.php?c=B12&amp;y=2024" TargetMode="External"/><Relationship Id="rId262" Type="http://schemas.openxmlformats.org/officeDocument/2006/relationships/hyperlink" Target="https://kenpom.com/team.php?team=Oklahoma+St.&amp;y=2024" TargetMode="External"/><Relationship Id="rId261" Type="http://schemas.openxmlformats.org/officeDocument/2006/relationships/hyperlink" Target="https://kenpom.com/conf.php?c=OVC&amp;y=2024" TargetMode="External"/><Relationship Id="rId268" Type="http://schemas.openxmlformats.org/officeDocument/2006/relationships/hyperlink" Target="https://kenpom.com/team.php?team=Charlotte&amp;y=2024" TargetMode="External"/><Relationship Id="rId267" Type="http://schemas.openxmlformats.org/officeDocument/2006/relationships/hyperlink" Target="https://kenpom.com/conf.php?c=CAA&amp;y=2024" TargetMode="External"/><Relationship Id="rId266" Type="http://schemas.openxmlformats.org/officeDocument/2006/relationships/hyperlink" Target="https://kenpom.com/team.php?team=UNC+Wilmington&amp;y=2024" TargetMode="External"/><Relationship Id="rId265" Type="http://schemas.openxmlformats.org/officeDocument/2006/relationships/hyperlink" Target="https://kenpom.com/conf.php?c=ACC&amp;y=2024" TargetMode="External"/><Relationship Id="rId260" Type="http://schemas.openxmlformats.org/officeDocument/2006/relationships/hyperlink" Target="https://kenpom.com/team.php?team=Morehead+St.&amp;y=2024" TargetMode="External"/><Relationship Id="rId259" Type="http://schemas.openxmlformats.org/officeDocument/2006/relationships/hyperlink" Target="https://kenpom.com/conf.php?c=MVC&amp;y=2024" TargetMode="External"/><Relationship Id="rId258" Type="http://schemas.openxmlformats.org/officeDocument/2006/relationships/hyperlink" Target="https://kenpom.com/team.php?team=Belmont&amp;y=2024" TargetMode="External"/><Relationship Id="rId253" Type="http://schemas.openxmlformats.org/officeDocument/2006/relationships/hyperlink" Target="https://kenpom.com/conf.php?c=WAC&amp;y=2024" TargetMode="External"/><Relationship Id="rId495" Type="http://schemas.openxmlformats.org/officeDocument/2006/relationships/hyperlink" Target="https://kenpom.com/conf.php?c=MAAC&amp;y=2024" TargetMode="External"/><Relationship Id="rId252" Type="http://schemas.openxmlformats.org/officeDocument/2006/relationships/hyperlink" Target="https://kenpom.com/team.php?team=UT+Arlington&amp;y=2024" TargetMode="External"/><Relationship Id="rId494" Type="http://schemas.openxmlformats.org/officeDocument/2006/relationships/hyperlink" Target="https://kenpom.com/team.php?team=Marist&amp;y=2024" TargetMode="External"/><Relationship Id="rId251" Type="http://schemas.openxmlformats.org/officeDocument/2006/relationships/hyperlink" Target="https://kenpom.com/conf.php?c=MVC&amp;y=2024" TargetMode="External"/><Relationship Id="rId493" Type="http://schemas.openxmlformats.org/officeDocument/2006/relationships/hyperlink" Target="https://kenpom.com/conf.php?c=Sum&amp;y=2024" TargetMode="External"/><Relationship Id="rId250" Type="http://schemas.openxmlformats.org/officeDocument/2006/relationships/hyperlink" Target="https://kenpom.com/team.php?team=Northern+Iowa&amp;y=2024" TargetMode="External"/><Relationship Id="rId492" Type="http://schemas.openxmlformats.org/officeDocument/2006/relationships/hyperlink" Target="https://kenpom.com/team.php?team=UMKC&amp;y=2024" TargetMode="External"/><Relationship Id="rId257" Type="http://schemas.openxmlformats.org/officeDocument/2006/relationships/hyperlink" Target="https://kenpom.com/conf.php?c=BSth&amp;y=2024" TargetMode="External"/><Relationship Id="rId499" Type="http://schemas.openxmlformats.org/officeDocument/2006/relationships/hyperlink" Target="https://kenpom.com/conf.php?c=BW&amp;y=2024" TargetMode="External"/><Relationship Id="rId256" Type="http://schemas.openxmlformats.org/officeDocument/2006/relationships/hyperlink" Target="https://kenpom.com/team.php?team=High+Point&amp;y=2024" TargetMode="External"/><Relationship Id="rId498" Type="http://schemas.openxmlformats.org/officeDocument/2006/relationships/hyperlink" Target="https://kenpom.com/team.php?team=UC+Riverside&amp;y=2024" TargetMode="External"/><Relationship Id="rId255" Type="http://schemas.openxmlformats.org/officeDocument/2006/relationships/hyperlink" Target="https://kenpom.com/conf.php?c=CAA&amp;y=2024" TargetMode="External"/><Relationship Id="rId497" Type="http://schemas.openxmlformats.org/officeDocument/2006/relationships/hyperlink" Target="https://kenpom.com/conf.php?c=OVC&amp;y=2024" TargetMode="External"/><Relationship Id="rId254" Type="http://schemas.openxmlformats.org/officeDocument/2006/relationships/hyperlink" Target="https://kenpom.com/team.php?team=Hofstra&amp;y=2024" TargetMode="External"/><Relationship Id="rId496" Type="http://schemas.openxmlformats.org/officeDocument/2006/relationships/hyperlink" Target="https://kenpom.com/team.php?team=Tennessee+Martin&amp;y=2024" TargetMode="External"/><Relationship Id="rId293" Type="http://schemas.openxmlformats.org/officeDocument/2006/relationships/hyperlink" Target="https://kenpom.com/conf.php?c=CAA&amp;y=2024" TargetMode="External"/><Relationship Id="rId292" Type="http://schemas.openxmlformats.org/officeDocument/2006/relationships/hyperlink" Target="https://kenpom.com/team.php?team=Drexel&amp;y=2024" TargetMode="External"/><Relationship Id="rId291" Type="http://schemas.openxmlformats.org/officeDocument/2006/relationships/hyperlink" Target="https://kenpom.com/conf.php?c=A10&amp;y=2024" TargetMode="External"/><Relationship Id="rId290" Type="http://schemas.openxmlformats.org/officeDocument/2006/relationships/hyperlink" Target="https://kenpom.com/team.php?team=Davidson&amp;y=2024" TargetMode="External"/><Relationship Id="rId286" Type="http://schemas.openxmlformats.org/officeDocument/2006/relationships/hyperlink" Target="https://kenpom.com/team.php?team=Georgia+Tech&amp;y=2024" TargetMode="External"/><Relationship Id="rId285" Type="http://schemas.openxmlformats.org/officeDocument/2006/relationships/hyperlink" Target="https://kenpom.com/conf.php?c=MAC&amp;y=2024" TargetMode="External"/><Relationship Id="rId284" Type="http://schemas.openxmlformats.org/officeDocument/2006/relationships/hyperlink" Target="https://kenpom.com/team.php?team=Akron&amp;y=2024" TargetMode="External"/><Relationship Id="rId283" Type="http://schemas.openxmlformats.org/officeDocument/2006/relationships/hyperlink" Target="https://kenpom.com/conf.php?c=P12&amp;y=2024" TargetMode="External"/><Relationship Id="rId289" Type="http://schemas.openxmlformats.org/officeDocument/2006/relationships/hyperlink" Target="https://kenpom.com/conf.php?c=MVC&amp;y=2024" TargetMode="External"/><Relationship Id="rId288" Type="http://schemas.openxmlformats.org/officeDocument/2006/relationships/hyperlink" Target="https://kenpom.com/team.php?team=Southern+Illinois&amp;y=2024" TargetMode="External"/><Relationship Id="rId287" Type="http://schemas.openxmlformats.org/officeDocument/2006/relationships/hyperlink" Target="https://kenpom.com/conf.php?c=ACC&amp;y=2024" TargetMode="External"/><Relationship Id="rId282" Type="http://schemas.openxmlformats.org/officeDocument/2006/relationships/hyperlink" Target="https://kenpom.com/team.php?team=California&amp;y=2024" TargetMode="External"/><Relationship Id="rId281" Type="http://schemas.openxmlformats.org/officeDocument/2006/relationships/hyperlink" Target="https://kenpom.com/index.php?y=2024&amp;s=RankNCSOS" TargetMode="External"/><Relationship Id="rId280" Type="http://schemas.openxmlformats.org/officeDocument/2006/relationships/hyperlink" Target="https://kenpom.com/index.php?y=2024&amp;s=RankSOSD" TargetMode="External"/><Relationship Id="rId275" Type="http://schemas.openxmlformats.org/officeDocument/2006/relationships/hyperlink" Target="https://kenpom.com/index.php?y=2024&amp;s=RankAdjDE" TargetMode="External"/><Relationship Id="rId274" Type="http://schemas.openxmlformats.org/officeDocument/2006/relationships/hyperlink" Target="https://kenpom.com/index.php?y=2024&amp;s=RankAdjOE" TargetMode="External"/><Relationship Id="rId273" Type="http://schemas.openxmlformats.org/officeDocument/2006/relationships/hyperlink" Target="https://kenpom.com/index.php?y=2024" TargetMode="External"/><Relationship Id="rId272" Type="http://schemas.openxmlformats.org/officeDocument/2006/relationships/hyperlink" Target="https://kenpom.com/index.php?y=2024&amp;s=Wins" TargetMode="External"/><Relationship Id="rId279" Type="http://schemas.openxmlformats.org/officeDocument/2006/relationships/hyperlink" Target="https://kenpom.com/index.php?y=2024&amp;s=RankSOSO" TargetMode="External"/><Relationship Id="rId278" Type="http://schemas.openxmlformats.org/officeDocument/2006/relationships/hyperlink" Target="https://kenpom.com/index.php?y=2024&amp;s=RankSOS" TargetMode="External"/><Relationship Id="rId277" Type="http://schemas.openxmlformats.org/officeDocument/2006/relationships/hyperlink" Target="https://kenpom.com/index.php?y=2024&amp;s=RankLuck" TargetMode="External"/><Relationship Id="rId276" Type="http://schemas.openxmlformats.org/officeDocument/2006/relationships/hyperlink" Target="https://kenpom.com/index.php?y=2024&amp;s=RankAdjTempo" TargetMode="External"/><Relationship Id="rId629" Type="http://schemas.openxmlformats.org/officeDocument/2006/relationships/hyperlink" Target="https://kenpom.com/conf.php?c=Pat&amp;y=2024" TargetMode="External"/><Relationship Id="rId624" Type="http://schemas.openxmlformats.org/officeDocument/2006/relationships/hyperlink" Target="https://kenpom.com/team.php?team=UMBC&amp;y=2024" TargetMode="External"/><Relationship Id="rId623" Type="http://schemas.openxmlformats.org/officeDocument/2006/relationships/hyperlink" Target="https://kenpom.com/conf.php?c=ASun&amp;y=2024" TargetMode="External"/><Relationship Id="rId622" Type="http://schemas.openxmlformats.org/officeDocument/2006/relationships/hyperlink" Target="https://kenpom.com/team.php?team=Jacksonville&amp;y=2024" TargetMode="External"/><Relationship Id="rId621" Type="http://schemas.openxmlformats.org/officeDocument/2006/relationships/hyperlink" Target="https://kenpom.com/conf.php?c=MAAC&amp;y=2024" TargetMode="External"/><Relationship Id="rId628" Type="http://schemas.openxmlformats.org/officeDocument/2006/relationships/hyperlink" Target="https://kenpom.com/team.php?team=Bucknell&amp;y=2024" TargetMode="External"/><Relationship Id="rId627" Type="http://schemas.openxmlformats.org/officeDocument/2006/relationships/hyperlink" Target="https://kenpom.com/conf.php?c=MEAC&amp;y=2024" TargetMode="External"/><Relationship Id="rId626" Type="http://schemas.openxmlformats.org/officeDocument/2006/relationships/hyperlink" Target="https://kenpom.com/team.php?team=Howard&amp;y=2024" TargetMode="External"/><Relationship Id="rId625" Type="http://schemas.openxmlformats.org/officeDocument/2006/relationships/hyperlink" Target="https://kenpom.com/conf.php?c=AE&amp;y=2024" TargetMode="External"/><Relationship Id="rId620" Type="http://schemas.openxmlformats.org/officeDocument/2006/relationships/hyperlink" Target="https://kenpom.com/team.php?team=Niagara&amp;y=2024" TargetMode="External"/><Relationship Id="rId619" Type="http://schemas.openxmlformats.org/officeDocument/2006/relationships/hyperlink" Target="https://kenpom.com/conf.php?c=BSth&amp;y=2024" TargetMode="External"/><Relationship Id="rId618" Type="http://schemas.openxmlformats.org/officeDocument/2006/relationships/hyperlink" Target="https://kenpom.com/team.php?team=Presbyterian&amp;y=2024" TargetMode="External"/><Relationship Id="rId613" Type="http://schemas.openxmlformats.org/officeDocument/2006/relationships/hyperlink" Target="https://kenpom.com/conf.php?c=Sum&amp;y=2024" TargetMode="External"/><Relationship Id="rId612" Type="http://schemas.openxmlformats.org/officeDocument/2006/relationships/hyperlink" Target="https://kenpom.com/team.php?team=Denver&amp;y=2024" TargetMode="External"/><Relationship Id="rId611" Type="http://schemas.openxmlformats.org/officeDocument/2006/relationships/hyperlink" Target="https://kenpom.com/conf.php?c=SWAC&amp;y=2024" TargetMode="External"/><Relationship Id="rId610" Type="http://schemas.openxmlformats.org/officeDocument/2006/relationships/hyperlink" Target="https://kenpom.com/team.php?team=Texas+Southern&amp;y=2024" TargetMode="External"/><Relationship Id="rId617" Type="http://schemas.openxmlformats.org/officeDocument/2006/relationships/hyperlink" Target="https://kenpom.com/conf.php?c=OVC&amp;y=2024" TargetMode="External"/><Relationship Id="rId616" Type="http://schemas.openxmlformats.org/officeDocument/2006/relationships/hyperlink" Target="https://kenpom.com/team.php?team=Western+Illinois&amp;y=2024" TargetMode="External"/><Relationship Id="rId615" Type="http://schemas.openxmlformats.org/officeDocument/2006/relationships/hyperlink" Target="https://kenpom.com/conf.php?c=ASun&amp;y=2024" TargetMode="External"/><Relationship Id="rId614" Type="http://schemas.openxmlformats.org/officeDocument/2006/relationships/hyperlink" Target="https://kenpom.com/team.php?team=Queens&amp;y=2024" TargetMode="External"/><Relationship Id="rId409" Type="http://schemas.openxmlformats.org/officeDocument/2006/relationships/hyperlink" Target="https://kenpom.com/conf.php?c=CUSA&amp;y=2024" TargetMode="External"/><Relationship Id="rId404" Type="http://schemas.openxmlformats.org/officeDocument/2006/relationships/hyperlink" Target="https://kenpom.com/team.php?team=Winthrop&amp;y=2024" TargetMode="External"/><Relationship Id="rId646" Type="http://schemas.openxmlformats.org/officeDocument/2006/relationships/hyperlink" Target="https://kenpom.com/index.php?y=2024&amp;s=RankSOS" TargetMode="External"/><Relationship Id="rId403" Type="http://schemas.openxmlformats.org/officeDocument/2006/relationships/hyperlink" Target="https://kenpom.com/conf.php?c=MAAC&amp;y=2024" TargetMode="External"/><Relationship Id="rId645" Type="http://schemas.openxmlformats.org/officeDocument/2006/relationships/hyperlink" Target="https://kenpom.com/index.php?y=2024&amp;s=RankLuck" TargetMode="External"/><Relationship Id="rId402" Type="http://schemas.openxmlformats.org/officeDocument/2006/relationships/hyperlink" Target="https://kenpom.com/team.php?team=Fairfield&amp;y=2024" TargetMode="External"/><Relationship Id="rId644" Type="http://schemas.openxmlformats.org/officeDocument/2006/relationships/hyperlink" Target="https://kenpom.com/index.php?y=2024&amp;s=RankAdjTempo" TargetMode="External"/><Relationship Id="rId401" Type="http://schemas.openxmlformats.org/officeDocument/2006/relationships/hyperlink" Target="https://kenpom.com/conf.php?c=SC&amp;y=2024" TargetMode="External"/><Relationship Id="rId643" Type="http://schemas.openxmlformats.org/officeDocument/2006/relationships/hyperlink" Target="https://kenpom.com/index.php?y=2024&amp;s=RankAdjDE" TargetMode="External"/><Relationship Id="rId408" Type="http://schemas.openxmlformats.org/officeDocument/2006/relationships/hyperlink" Target="https://kenpom.com/team.php?team=UTEP&amp;y=2024" TargetMode="External"/><Relationship Id="rId407" Type="http://schemas.openxmlformats.org/officeDocument/2006/relationships/hyperlink" Target="https://kenpom.com/conf.php?c=BW&amp;y=2024" TargetMode="External"/><Relationship Id="rId649" Type="http://schemas.openxmlformats.org/officeDocument/2006/relationships/hyperlink" Target="https://kenpom.com/index.php?y=2024&amp;s=RankNCSOS" TargetMode="External"/><Relationship Id="rId406" Type="http://schemas.openxmlformats.org/officeDocument/2006/relationships/hyperlink" Target="https://kenpom.com/team.php?team=UC+Davis&amp;y=2024" TargetMode="External"/><Relationship Id="rId648" Type="http://schemas.openxmlformats.org/officeDocument/2006/relationships/hyperlink" Target="https://kenpom.com/index.php?y=2024&amp;s=RankSOSD" TargetMode="External"/><Relationship Id="rId405" Type="http://schemas.openxmlformats.org/officeDocument/2006/relationships/hyperlink" Target="https://kenpom.com/conf.php?c=BSth&amp;y=2024" TargetMode="External"/><Relationship Id="rId647" Type="http://schemas.openxmlformats.org/officeDocument/2006/relationships/hyperlink" Target="https://kenpom.com/index.php?y=2024&amp;s=RankSOSO" TargetMode="External"/><Relationship Id="rId400" Type="http://schemas.openxmlformats.org/officeDocument/2006/relationships/hyperlink" Target="https://kenpom.com/team.php?team=East+Tennessee+St.&amp;y=2024" TargetMode="External"/><Relationship Id="rId642" Type="http://schemas.openxmlformats.org/officeDocument/2006/relationships/hyperlink" Target="https://kenpom.com/index.php?y=2024&amp;s=RankAdjOE" TargetMode="External"/><Relationship Id="rId641" Type="http://schemas.openxmlformats.org/officeDocument/2006/relationships/hyperlink" Target="https://kenpom.com/index.php?y=2024" TargetMode="External"/><Relationship Id="rId640" Type="http://schemas.openxmlformats.org/officeDocument/2006/relationships/hyperlink" Target="https://kenpom.com/index.php?y=2024&amp;s=Wins" TargetMode="External"/><Relationship Id="rId635" Type="http://schemas.openxmlformats.org/officeDocument/2006/relationships/hyperlink" Target="https://kenpom.com/conf.php?c=Sum&amp;y=2024" TargetMode="External"/><Relationship Id="rId634" Type="http://schemas.openxmlformats.org/officeDocument/2006/relationships/hyperlink" Target="https://kenpom.com/team.php?team=North+Dakota+St.&amp;y=2024" TargetMode="External"/><Relationship Id="rId633" Type="http://schemas.openxmlformats.org/officeDocument/2006/relationships/hyperlink" Target="https://kenpom.com/conf.php?c=MAAC&amp;y=2024" TargetMode="External"/><Relationship Id="rId632" Type="http://schemas.openxmlformats.org/officeDocument/2006/relationships/hyperlink" Target="https://kenpom.com/team.php?team=Canisius&amp;y=2024" TargetMode="External"/><Relationship Id="rId639" Type="http://schemas.openxmlformats.org/officeDocument/2006/relationships/hyperlink" Target="https://kenpom.com/index.php?y=2024&amp;s=TeamName" TargetMode="External"/><Relationship Id="rId638" Type="http://schemas.openxmlformats.org/officeDocument/2006/relationships/hyperlink" Target="https://kenpom.com/index.php?y=2024" TargetMode="External"/><Relationship Id="rId637" Type="http://schemas.openxmlformats.org/officeDocument/2006/relationships/hyperlink" Target="https://kenpom.com/conf.php?c=SB&amp;y=2024" TargetMode="External"/><Relationship Id="rId636" Type="http://schemas.openxmlformats.org/officeDocument/2006/relationships/hyperlink" Target="https://kenpom.com/team.php?team=Georgia+Southern&amp;y=2024" TargetMode="External"/><Relationship Id="rId631" Type="http://schemas.openxmlformats.org/officeDocument/2006/relationships/hyperlink" Target="https://kenpom.com/conf.php?c=MAC&amp;y=2024" TargetMode="External"/><Relationship Id="rId630" Type="http://schemas.openxmlformats.org/officeDocument/2006/relationships/hyperlink" Target="https://kenpom.com/team.php?team=Central+Michigan&amp;y=2024" TargetMode="External"/><Relationship Id="rId829" Type="http://schemas.openxmlformats.org/officeDocument/2006/relationships/hyperlink" Target="https://kenpom.com/index.php?y=2024&amp;s=RankLuck" TargetMode="External"/><Relationship Id="rId828" Type="http://schemas.openxmlformats.org/officeDocument/2006/relationships/hyperlink" Target="https://kenpom.com/index.php?y=2024&amp;s=RankAdjTempo" TargetMode="External"/><Relationship Id="rId827" Type="http://schemas.openxmlformats.org/officeDocument/2006/relationships/hyperlink" Target="https://kenpom.com/index.php?y=2024&amp;s=RankAdjDE" TargetMode="External"/><Relationship Id="rId822" Type="http://schemas.openxmlformats.org/officeDocument/2006/relationships/hyperlink" Target="https://kenpom.com/index.php?y=2024" TargetMode="External"/><Relationship Id="rId821" Type="http://schemas.openxmlformats.org/officeDocument/2006/relationships/hyperlink" Target="https://kenpom.com/conf.php?c=Horz&amp;y=2024" TargetMode="External"/><Relationship Id="rId820" Type="http://schemas.openxmlformats.org/officeDocument/2006/relationships/hyperlink" Target="https://kenpom.com/team.php?team=IUPUI&amp;y=2024" TargetMode="External"/><Relationship Id="rId826" Type="http://schemas.openxmlformats.org/officeDocument/2006/relationships/hyperlink" Target="https://kenpom.com/index.php?y=2024&amp;s=RankAdjOE" TargetMode="External"/><Relationship Id="rId825" Type="http://schemas.openxmlformats.org/officeDocument/2006/relationships/hyperlink" Target="https://kenpom.com/index.php?y=2024" TargetMode="External"/><Relationship Id="rId824" Type="http://schemas.openxmlformats.org/officeDocument/2006/relationships/hyperlink" Target="https://kenpom.com/index.php?y=2024&amp;s=Wins" TargetMode="External"/><Relationship Id="rId823" Type="http://schemas.openxmlformats.org/officeDocument/2006/relationships/hyperlink" Target="https://kenpom.com/index.php?y=2024&amp;s=TeamName" TargetMode="External"/><Relationship Id="rId819" Type="http://schemas.openxmlformats.org/officeDocument/2006/relationships/hyperlink" Target="https://kenpom.com/conf.php?c=NEC&amp;y=2024" TargetMode="External"/><Relationship Id="rId818" Type="http://schemas.openxmlformats.org/officeDocument/2006/relationships/hyperlink" Target="https://kenpom.com/team.php?team=Stonehill&amp;y=2024" TargetMode="External"/><Relationship Id="rId817" Type="http://schemas.openxmlformats.org/officeDocument/2006/relationships/hyperlink" Target="https://kenpom.com/conf.php?c=WCC&amp;y=2024" TargetMode="External"/><Relationship Id="rId816" Type="http://schemas.openxmlformats.org/officeDocument/2006/relationships/hyperlink" Target="https://kenpom.com/team.php?team=Pacific&amp;y=2024" TargetMode="External"/><Relationship Id="rId811" Type="http://schemas.openxmlformats.org/officeDocument/2006/relationships/hyperlink" Target="https://kenpom.com/conf.php?c=Slnd&amp;y=2024" TargetMode="External"/><Relationship Id="rId810" Type="http://schemas.openxmlformats.org/officeDocument/2006/relationships/hyperlink" Target="https://kenpom.com/team.php?team=Houston+Christian&amp;y=2024" TargetMode="External"/><Relationship Id="rId815" Type="http://schemas.openxmlformats.org/officeDocument/2006/relationships/hyperlink" Target="https://kenpom.com/conf.php?c=MAAC&amp;y=2024" TargetMode="External"/><Relationship Id="rId814" Type="http://schemas.openxmlformats.org/officeDocument/2006/relationships/hyperlink" Target="https://kenpom.com/team.php?team=Siena&amp;y=2024" TargetMode="External"/><Relationship Id="rId813" Type="http://schemas.openxmlformats.org/officeDocument/2006/relationships/hyperlink" Target="https://kenpom.com/conf.php?c=OVC&amp;y=2024" TargetMode="External"/><Relationship Id="rId812" Type="http://schemas.openxmlformats.org/officeDocument/2006/relationships/hyperlink" Target="https://kenpom.com/team.php?team=Lindenwood&amp;y=2024" TargetMode="External"/><Relationship Id="rId609" Type="http://schemas.openxmlformats.org/officeDocument/2006/relationships/hyperlink" Target="https://kenpom.com/conf.php?c=MAC&amp;y=2024" TargetMode="External"/><Relationship Id="rId608" Type="http://schemas.openxmlformats.org/officeDocument/2006/relationships/hyperlink" Target="https://kenpom.com/team.php?team=Ball+St.&amp;y=2024" TargetMode="External"/><Relationship Id="rId607" Type="http://schemas.openxmlformats.org/officeDocument/2006/relationships/hyperlink" Target="https://kenpom.com/conf.php?c=ASun&amp;y=2024" TargetMode="External"/><Relationship Id="rId602" Type="http://schemas.openxmlformats.org/officeDocument/2006/relationships/hyperlink" Target="https://kenpom.com/team.php?team=Lehigh&amp;y=2024" TargetMode="External"/><Relationship Id="rId601" Type="http://schemas.openxmlformats.org/officeDocument/2006/relationships/hyperlink" Target="https://kenpom.com/conf.php?c=NEC&amp;y=2024" TargetMode="External"/><Relationship Id="rId600" Type="http://schemas.openxmlformats.org/officeDocument/2006/relationships/hyperlink" Target="https://kenpom.com/team.php?team=Central+Connecticut&amp;y=2024" TargetMode="External"/><Relationship Id="rId606" Type="http://schemas.openxmlformats.org/officeDocument/2006/relationships/hyperlink" Target="https://kenpom.com/team.php?team=Kennesaw+St.&amp;y=2024" TargetMode="External"/><Relationship Id="rId605" Type="http://schemas.openxmlformats.org/officeDocument/2006/relationships/hyperlink" Target="https://kenpom.com/conf.php?c=MWC&amp;y=2024" TargetMode="External"/><Relationship Id="rId604" Type="http://schemas.openxmlformats.org/officeDocument/2006/relationships/hyperlink" Target="https://kenpom.com/team.php?team=Air+Force&amp;y=2024" TargetMode="External"/><Relationship Id="rId603" Type="http://schemas.openxmlformats.org/officeDocument/2006/relationships/hyperlink" Target="https://kenpom.com/conf.php?c=Pat&amp;y=2024" TargetMode="External"/><Relationship Id="rId838" Type="http://schemas.openxmlformats.org/officeDocument/2006/relationships/drawing" Target="../drawings/drawing1.xml"/><Relationship Id="rId833" Type="http://schemas.openxmlformats.org/officeDocument/2006/relationships/hyperlink" Target="https://kenpom.com/index.php?y=2024&amp;s=RankNCSOS" TargetMode="External"/><Relationship Id="rId832" Type="http://schemas.openxmlformats.org/officeDocument/2006/relationships/hyperlink" Target="https://kenpom.com/index.php?y=2024&amp;s=RankSOSD" TargetMode="External"/><Relationship Id="rId831" Type="http://schemas.openxmlformats.org/officeDocument/2006/relationships/hyperlink" Target="https://kenpom.com/index.php?y=2024&amp;s=RankSOSO" TargetMode="External"/><Relationship Id="rId830" Type="http://schemas.openxmlformats.org/officeDocument/2006/relationships/hyperlink" Target="https://kenpom.com/index.php?y=2024&amp;s=RankSOS" TargetMode="External"/><Relationship Id="rId837" Type="http://schemas.openxmlformats.org/officeDocument/2006/relationships/hyperlink" Target="https://kenpom.com/conf.php?c=SWAC&amp;y=2024" TargetMode="External"/><Relationship Id="rId836" Type="http://schemas.openxmlformats.org/officeDocument/2006/relationships/hyperlink" Target="https://kenpom.com/team.php?team=Mississippi+Valley+St.&amp;y=2024" TargetMode="External"/><Relationship Id="rId835" Type="http://schemas.openxmlformats.org/officeDocument/2006/relationships/hyperlink" Target="https://kenpom.com/conf.php?c=MEAC&amp;y=2024" TargetMode="External"/><Relationship Id="rId834" Type="http://schemas.openxmlformats.org/officeDocument/2006/relationships/hyperlink" Target="https://kenpom.com/team.php?team=Coppin+St.&amp;y=2024" TargetMode="External"/><Relationship Id="rId228" Type="http://schemas.openxmlformats.org/officeDocument/2006/relationships/hyperlink" Target="https://kenpom.com/team.php?team=Rutgers&amp;y=2024" TargetMode="External"/><Relationship Id="rId227" Type="http://schemas.openxmlformats.org/officeDocument/2006/relationships/hyperlink" Target="https://kenpom.com/conf.php?c=A10&amp;y=2024" TargetMode="External"/><Relationship Id="rId469" Type="http://schemas.openxmlformats.org/officeDocument/2006/relationships/hyperlink" Target="https://kenpom.com/conf.php?c=BSky&amp;y=2024" TargetMode="External"/><Relationship Id="rId226" Type="http://schemas.openxmlformats.org/officeDocument/2006/relationships/hyperlink" Target="https://kenpom.com/team.php?team=Saint+Joseph%27s&amp;y=2024" TargetMode="External"/><Relationship Id="rId468" Type="http://schemas.openxmlformats.org/officeDocument/2006/relationships/hyperlink" Target="https://kenpom.com/team.php?team=Northern+Colorado&amp;y=2024" TargetMode="External"/><Relationship Id="rId225" Type="http://schemas.openxmlformats.org/officeDocument/2006/relationships/hyperlink" Target="https://kenpom.com/conf.php?c=P12&amp;y=2024" TargetMode="External"/><Relationship Id="rId467" Type="http://schemas.openxmlformats.org/officeDocument/2006/relationships/hyperlink" Target="https://kenpom.com/conf.php?c=MAAC&amp;y=2024" TargetMode="External"/><Relationship Id="rId229" Type="http://schemas.openxmlformats.org/officeDocument/2006/relationships/hyperlink" Target="https://kenpom.com/conf.php?c=B10&amp;y=2024" TargetMode="External"/><Relationship Id="rId220" Type="http://schemas.openxmlformats.org/officeDocument/2006/relationships/hyperlink" Target="https://kenpom.com/team.php?team=Miami+FL&amp;y=2024" TargetMode="External"/><Relationship Id="rId462" Type="http://schemas.openxmlformats.org/officeDocument/2006/relationships/hyperlink" Target="https://kenpom.com/index.php?y=2024&amp;s=RankSOS" TargetMode="External"/><Relationship Id="rId461" Type="http://schemas.openxmlformats.org/officeDocument/2006/relationships/hyperlink" Target="https://kenpom.com/index.php?y=2024&amp;s=RankLuck" TargetMode="External"/><Relationship Id="rId460" Type="http://schemas.openxmlformats.org/officeDocument/2006/relationships/hyperlink" Target="https://kenpom.com/index.php?y=2024&amp;s=RankAdjTempo" TargetMode="External"/><Relationship Id="rId224" Type="http://schemas.openxmlformats.org/officeDocument/2006/relationships/hyperlink" Target="https://kenpom.com/team.php?team=UCLA&amp;y=2024" TargetMode="External"/><Relationship Id="rId466" Type="http://schemas.openxmlformats.org/officeDocument/2006/relationships/hyperlink" Target="https://kenpom.com/team.php?team=Saint+Peter%27s&amp;y=2024" TargetMode="External"/><Relationship Id="rId223" Type="http://schemas.openxmlformats.org/officeDocument/2006/relationships/hyperlink" Target="https://kenpom.com/conf.php?c=A10&amp;y=2024" TargetMode="External"/><Relationship Id="rId465" Type="http://schemas.openxmlformats.org/officeDocument/2006/relationships/hyperlink" Target="https://kenpom.com/index.php?y=2024&amp;s=RankNCSOS" TargetMode="External"/><Relationship Id="rId222" Type="http://schemas.openxmlformats.org/officeDocument/2006/relationships/hyperlink" Target="https://kenpom.com/team.php?team=George+Mason&amp;y=2024" TargetMode="External"/><Relationship Id="rId464" Type="http://schemas.openxmlformats.org/officeDocument/2006/relationships/hyperlink" Target="https://kenpom.com/index.php?y=2024&amp;s=RankSOSD" TargetMode="External"/><Relationship Id="rId221" Type="http://schemas.openxmlformats.org/officeDocument/2006/relationships/hyperlink" Target="https://kenpom.com/conf.php?c=ACC&amp;y=2024" TargetMode="External"/><Relationship Id="rId463" Type="http://schemas.openxmlformats.org/officeDocument/2006/relationships/hyperlink" Target="https://kenpom.com/index.php?y=2024&amp;s=RankSOSO" TargetMode="External"/><Relationship Id="rId217" Type="http://schemas.openxmlformats.org/officeDocument/2006/relationships/hyperlink" Target="https://kenpom.com/conf.php?c=CUSA&amp;y=2024" TargetMode="External"/><Relationship Id="rId459" Type="http://schemas.openxmlformats.org/officeDocument/2006/relationships/hyperlink" Target="https://kenpom.com/index.php?y=2024&amp;s=RankAdjDE" TargetMode="External"/><Relationship Id="rId216" Type="http://schemas.openxmlformats.org/officeDocument/2006/relationships/hyperlink" Target="https://kenpom.com/team.php?team=Louisiana+Tech&amp;y=2024" TargetMode="External"/><Relationship Id="rId458" Type="http://schemas.openxmlformats.org/officeDocument/2006/relationships/hyperlink" Target="https://kenpom.com/index.php?y=2024&amp;s=RankAdjOE" TargetMode="External"/><Relationship Id="rId215" Type="http://schemas.openxmlformats.org/officeDocument/2006/relationships/hyperlink" Target="https://kenpom.com/conf.php?c=A10&amp;y=2024" TargetMode="External"/><Relationship Id="rId457" Type="http://schemas.openxmlformats.org/officeDocument/2006/relationships/hyperlink" Target="https://kenpom.com/index.php?y=2024" TargetMode="External"/><Relationship Id="rId699" Type="http://schemas.openxmlformats.org/officeDocument/2006/relationships/hyperlink" Target="https://kenpom.com/conf.php?c=MAC&amp;y=2024" TargetMode="External"/><Relationship Id="rId214" Type="http://schemas.openxmlformats.org/officeDocument/2006/relationships/hyperlink" Target="https://kenpom.com/team.php?team=Loyola+Chicago&amp;y=2024" TargetMode="External"/><Relationship Id="rId456" Type="http://schemas.openxmlformats.org/officeDocument/2006/relationships/hyperlink" Target="https://kenpom.com/index.php?y=2024&amp;s=Wins" TargetMode="External"/><Relationship Id="rId698" Type="http://schemas.openxmlformats.org/officeDocument/2006/relationships/hyperlink" Target="https://kenpom.com/team.php?team=Western+Michigan&amp;y=2024" TargetMode="External"/><Relationship Id="rId219" Type="http://schemas.openxmlformats.org/officeDocument/2006/relationships/hyperlink" Target="https://kenpom.com/conf.php?c=SEC&amp;y=2024" TargetMode="External"/><Relationship Id="rId218" Type="http://schemas.openxmlformats.org/officeDocument/2006/relationships/hyperlink" Target="https://kenpom.com/team.php?team=LSU&amp;y=2024" TargetMode="External"/><Relationship Id="rId451" Type="http://schemas.openxmlformats.org/officeDocument/2006/relationships/hyperlink" Target="https://kenpom.com/conf.php?c=A10&amp;y=2024" TargetMode="External"/><Relationship Id="rId693" Type="http://schemas.openxmlformats.org/officeDocument/2006/relationships/hyperlink" Target="https://kenpom.com/conf.php?c=NEC&amp;y=2024" TargetMode="External"/><Relationship Id="rId450" Type="http://schemas.openxmlformats.org/officeDocument/2006/relationships/hyperlink" Target="https://kenpom.com/team.php?team=Saint+Louis&amp;y=2024" TargetMode="External"/><Relationship Id="rId692" Type="http://schemas.openxmlformats.org/officeDocument/2006/relationships/hyperlink" Target="https://kenpom.com/team.php?team=Le+Moyne&amp;y=2024" TargetMode="External"/><Relationship Id="rId691" Type="http://schemas.openxmlformats.org/officeDocument/2006/relationships/hyperlink" Target="https://kenpom.com/conf.php?c=MEAC&amp;y=2024" TargetMode="External"/><Relationship Id="rId690" Type="http://schemas.openxmlformats.org/officeDocument/2006/relationships/hyperlink" Target="https://kenpom.com/team.php?team=South+Carolina+St.&amp;y=2024" TargetMode="External"/><Relationship Id="rId213" Type="http://schemas.openxmlformats.org/officeDocument/2006/relationships/hyperlink" Target="https://kenpom.com/conf.php?c=A10&amp;y=2024" TargetMode="External"/><Relationship Id="rId455" Type="http://schemas.openxmlformats.org/officeDocument/2006/relationships/hyperlink" Target="https://kenpom.com/index.php?y=2024&amp;s=TeamName" TargetMode="External"/><Relationship Id="rId697" Type="http://schemas.openxmlformats.org/officeDocument/2006/relationships/hyperlink" Target="https://kenpom.com/conf.php?c=BE&amp;y=2024" TargetMode="External"/><Relationship Id="rId212" Type="http://schemas.openxmlformats.org/officeDocument/2006/relationships/hyperlink" Target="https://kenpom.com/team.php?team=Massachusetts&amp;y=2024" TargetMode="External"/><Relationship Id="rId454" Type="http://schemas.openxmlformats.org/officeDocument/2006/relationships/hyperlink" Target="https://kenpom.com/index.php?y=2024" TargetMode="External"/><Relationship Id="rId696" Type="http://schemas.openxmlformats.org/officeDocument/2006/relationships/hyperlink" Target="https://kenpom.com/team.php?team=DePaul&amp;y=2024" TargetMode="External"/><Relationship Id="rId211" Type="http://schemas.openxmlformats.org/officeDocument/2006/relationships/hyperlink" Target="https://kenpom.com/conf.php?c=B10&amp;y=2024" TargetMode="External"/><Relationship Id="rId453" Type="http://schemas.openxmlformats.org/officeDocument/2006/relationships/hyperlink" Target="https://kenpom.com/conf.php?c=CUSA&amp;y=2024" TargetMode="External"/><Relationship Id="rId695" Type="http://schemas.openxmlformats.org/officeDocument/2006/relationships/hyperlink" Target="https://kenpom.com/conf.php?c=SWAC&amp;y=2024" TargetMode="External"/><Relationship Id="rId210" Type="http://schemas.openxmlformats.org/officeDocument/2006/relationships/hyperlink" Target="https://kenpom.com/team.php?team=Indiana&amp;y=2024" TargetMode="External"/><Relationship Id="rId452" Type="http://schemas.openxmlformats.org/officeDocument/2006/relationships/hyperlink" Target="https://kenpom.com/team.php?team=Jacksonville+St.&amp;y=2024" TargetMode="External"/><Relationship Id="rId694" Type="http://schemas.openxmlformats.org/officeDocument/2006/relationships/hyperlink" Target="https://kenpom.com/team.php?team=Bethune+Cookman&amp;y=2024" TargetMode="External"/><Relationship Id="rId491" Type="http://schemas.openxmlformats.org/officeDocument/2006/relationships/hyperlink" Target="https://kenpom.com/conf.php?c=Ivy&amp;y=2024" TargetMode="External"/><Relationship Id="rId490" Type="http://schemas.openxmlformats.org/officeDocument/2006/relationships/hyperlink" Target="https://kenpom.com/team.php?team=Penn&amp;y=2024" TargetMode="External"/><Relationship Id="rId249" Type="http://schemas.openxmlformats.org/officeDocument/2006/relationships/hyperlink" Target="https://kenpom.com/conf.php?c=SC&amp;y=2024" TargetMode="External"/><Relationship Id="rId248" Type="http://schemas.openxmlformats.org/officeDocument/2006/relationships/hyperlink" Target="https://kenpom.com/team.php?team=Western+Carolina&amp;y=2024" TargetMode="External"/><Relationship Id="rId247" Type="http://schemas.openxmlformats.org/officeDocument/2006/relationships/hyperlink" Target="https://kenpom.com/conf.php?c=WCC&amp;y=2024" TargetMode="External"/><Relationship Id="rId489" Type="http://schemas.openxmlformats.org/officeDocument/2006/relationships/hyperlink" Target="https://kenpom.com/conf.php?c=NEC&amp;y=2024" TargetMode="External"/><Relationship Id="rId242" Type="http://schemas.openxmlformats.org/officeDocument/2006/relationships/hyperlink" Target="https://kenpom.com/team.php?team=Seattle&amp;y=2024" TargetMode="External"/><Relationship Id="rId484" Type="http://schemas.openxmlformats.org/officeDocument/2006/relationships/hyperlink" Target="https://kenpom.com/team.php?team=Lamar&amp;y=2024" TargetMode="External"/><Relationship Id="rId241" Type="http://schemas.openxmlformats.org/officeDocument/2006/relationships/hyperlink" Target="https://kenpom.com/conf.php?c=Amer&amp;y=2024" TargetMode="External"/><Relationship Id="rId483" Type="http://schemas.openxmlformats.org/officeDocument/2006/relationships/hyperlink" Target="https://kenpom.com/conf.php?c=SC&amp;y=2024" TargetMode="External"/><Relationship Id="rId240" Type="http://schemas.openxmlformats.org/officeDocument/2006/relationships/hyperlink" Target="https://kenpom.com/team.php?team=UAB&amp;y=2024" TargetMode="External"/><Relationship Id="rId482" Type="http://schemas.openxmlformats.org/officeDocument/2006/relationships/hyperlink" Target="https://kenpom.com/team.php?team=Mercer&amp;y=2024" TargetMode="External"/><Relationship Id="rId481" Type="http://schemas.openxmlformats.org/officeDocument/2006/relationships/hyperlink" Target="https://kenpom.com/conf.php?c=MVC&amp;y=2024" TargetMode="External"/><Relationship Id="rId246" Type="http://schemas.openxmlformats.org/officeDocument/2006/relationships/hyperlink" Target="https://kenpom.com/team.php?team=Santa+Clara&amp;y=2024" TargetMode="External"/><Relationship Id="rId488" Type="http://schemas.openxmlformats.org/officeDocument/2006/relationships/hyperlink" Target="https://kenpom.com/team.php?team=Merrimack&amp;y=2024" TargetMode="External"/><Relationship Id="rId245" Type="http://schemas.openxmlformats.org/officeDocument/2006/relationships/hyperlink" Target="https://kenpom.com/conf.php?c=SEC&amp;y=2024" TargetMode="External"/><Relationship Id="rId487" Type="http://schemas.openxmlformats.org/officeDocument/2006/relationships/hyperlink" Target="https://kenpom.com/conf.php?c=ASun&amp;y=2024" TargetMode="External"/><Relationship Id="rId244" Type="http://schemas.openxmlformats.org/officeDocument/2006/relationships/hyperlink" Target="https://kenpom.com/team.php?team=Arkansas&amp;y=2024" TargetMode="External"/><Relationship Id="rId486" Type="http://schemas.openxmlformats.org/officeDocument/2006/relationships/hyperlink" Target="https://kenpom.com/team.php?team=Eastern+Kentucky&amp;y=2024" TargetMode="External"/><Relationship Id="rId243" Type="http://schemas.openxmlformats.org/officeDocument/2006/relationships/hyperlink" Target="https://kenpom.com/conf.php?c=WAC&amp;y=2024" TargetMode="External"/><Relationship Id="rId485" Type="http://schemas.openxmlformats.org/officeDocument/2006/relationships/hyperlink" Target="https://kenpom.com/conf.php?c=Slnd&amp;y=2024" TargetMode="External"/><Relationship Id="rId480" Type="http://schemas.openxmlformats.org/officeDocument/2006/relationships/hyperlink" Target="https://kenpom.com/team.php?team=Evansville&amp;y=2024" TargetMode="External"/><Relationship Id="rId239" Type="http://schemas.openxmlformats.org/officeDocument/2006/relationships/hyperlink" Target="https://kenpom.com/conf.php?c=P12&amp;y=2024" TargetMode="External"/><Relationship Id="rId238" Type="http://schemas.openxmlformats.org/officeDocument/2006/relationships/hyperlink" Target="https://kenpom.com/team.php?team=Stanford&amp;y=2024" TargetMode="External"/><Relationship Id="rId237" Type="http://schemas.openxmlformats.org/officeDocument/2006/relationships/hyperlink" Target="https://kenpom.com/conf.php?c=AE&amp;y=2024" TargetMode="External"/><Relationship Id="rId479" Type="http://schemas.openxmlformats.org/officeDocument/2006/relationships/hyperlink" Target="https://kenpom.com/conf.php?c=WAC&amp;y=2024" TargetMode="External"/><Relationship Id="rId236" Type="http://schemas.openxmlformats.org/officeDocument/2006/relationships/hyperlink" Target="https://kenpom.com/team.php?team=Vermont&amp;y=2024" TargetMode="External"/><Relationship Id="rId478" Type="http://schemas.openxmlformats.org/officeDocument/2006/relationships/hyperlink" Target="https://kenpom.com/team.php?team=Abilene+Christian&amp;y=2024" TargetMode="External"/><Relationship Id="rId231" Type="http://schemas.openxmlformats.org/officeDocument/2006/relationships/hyperlink" Target="https://kenpom.com/conf.php?c=CAA&amp;y=2024" TargetMode="External"/><Relationship Id="rId473" Type="http://schemas.openxmlformats.org/officeDocument/2006/relationships/hyperlink" Target="https://kenpom.com/conf.php?c=BSth&amp;y=2024" TargetMode="External"/><Relationship Id="rId230" Type="http://schemas.openxmlformats.org/officeDocument/2006/relationships/hyperlink" Target="https://kenpom.com/team.php?team=Charleston&amp;y=2024" TargetMode="External"/><Relationship Id="rId472" Type="http://schemas.openxmlformats.org/officeDocument/2006/relationships/hyperlink" Target="https://kenpom.com/team.php?team=Gardner+Webb&amp;y=2024" TargetMode="External"/><Relationship Id="rId471" Type="http://schemas.openxmlformats.org/officeDocument/2006/relationships/hyperlink" Target="https://kenpom.com/conf.php?c=A10&amp;y=2024" TargetMode="External"/><Relationship Id="rId470" Type="http://schemas.openxmlformats.org/officeDocument/2006/relationships/hyperlink" Target="https://kenpom.com/team.php?team=George+Washington&amp;y=2024" TargetMode="External"/><Relationship Id="rId235" Type="http://schemas.openxmlformats.org/officeDocument/2006/relationships/hyperlink" Target="https://kenpom.com/conf.php?c=Ivy&amp;y=2024" TargetMode="External"/><Relationship Id="rId477" Type="http://schemas.openxmlformats.org/officeDocument/2006/relationships/hyperlink" Target="https://kenpom.com/conf.php?c=A10&amp;y=2024" TargetMode="External"/><Relationship Id="rId234" Type="http://schemas.openxmlformats.org/officeDocument/2006/relationships/hyperlink" Target="https://kenpom.com/team.php?team=Cornell&amp;y=2024" TargetMode="External"/><Relationship Id="rId476" Type="http://schemas.openxmlformats.org/officeDocument/2006/relationships/hyperlink" Target="https://kenpom.com/team.php?team=Rhode+Island&amp;y=2024" TargetMode="External"/><Relationship Id="rId233" Type="http://schemas.openxmlformats.org/officeDocument/2006/relationships/hyperlink" Target="https://kenpom.com/conf.php?c=A10&amp;y=2024" TargetMode="External"/><Relationship Id="rId475" Type="http://schemas.openxmlformats.org/officeDocument/2006/relationships/hyperlink" Target="https://kenpom.com/conf.php?c=BW&amp;y=2024" TargetMode="External"/><Relationship Id="rId232" Type="http://schemas.openxmlformats.org/officeDocument/2006/relationships/hyperlink" Target="https://kenpom.com/team.php?team=St.+Bonaventure&amp;y=2024" TargetMode="External"/><Relationship Id="rId474" Type="http://schemas.openxmlformats.org/officeDocument/2006/relationships/hyperlink" Target="https://kenpom.com/team.php?team=UC+Santa+Barbara&amp;y=2024" TargetMode="External"/><Relationship Id="rId426" Type="http://schemas.openxmlformats.org/officeDocument/2006/relationships/hyperlink" Target="https://kenpom.com/team.php?team=Loyola+Marymount&amp;y=2024" TargetMode="External"/><Relationship Id="rId668" Type="http://schemas.openxmlformats.org/officeDocument/2006/relationships/hyperlink" Target="https://kenpom.com/team.php?team=New+Mexico+St.&amp;y=2024" TargetMode="External"/><Relationship Id="rId425" Type="http://schemas.openxmlformats.org/officeDocument/2006/relationships/hyperlink" Target="https://kenpom.com/conf.php?c=Horz&amp;y=2024" TargetMode="External"/><Relationship Id="rId667" Type="http://schemas.openxmlformats.org/officeDocument/2006/relationships/hyperlink" Target="https://kenpom.com/conf.php?c=MEAC&amp;y=2024" TargetMode="External"/><Relationship Id="rId424" Type="http://schemas.openxmlformats.org/officeDocument/2006/relationships/hyperlink" Target="https://kenpom.com/team.php?team=Northern+Kentucky&amp;y=2024" TargetMode="External"/><Relationship Id="rId666" Type="http://schemas.openxmlformats.org/officeDocument/2006/relationships/hyperlink" Target="https://kenpom.com/team.php?team=Delaware+St.&amp;y=2024" TargetMode="External"/><Relationship Id="rId423" Type="http://schemas.openxmlformats.org/officeDocument/2006/relationships/hyperlink" Target="https://kenpom.com/conf.php?c=ACC&amp;y=2024" TargetMode="External"/><Relationship Id="rId665" Type="http://schemas.openxmlformats.org/officeDocument/2006/relationships/hyperlink" Target="https://kenpom.com/conf.php?c=BSth&amp;y=2024" TargetMode="External"/><Relationship Id="rId429" Type="http://schemas.openxmlformats.org/officeDocument/2006/relationships/hyperlink" Target="https://kenpom.com/conf.php?c=A10&amp;y=2024" TargetMode="External"/><Relationship Id="rId428" Type="http://schemas.openxmlformats.org/officeDocument/2006/relationships/hyperlink" Target="https://kenpom.com/team.php?team=Fordham&amp;y=2024" TargetMode="External"/><Relationship Id="rId427" Type="http://schemas.openxmlformats.org/officeDocument/2006/relationships/hyperlink" Target="https://kenpom.com/conf.php?c=WCC&amp;y=2024" TargetMode="External"/><Relationship Id="rId669" Type="http://schemas.openxmlformats.org/officeDocument/2006/relationships/hyperlink" Target="https://kenpom.com/conf.php?c=CUSA&amp;y=2024" TargetMode="External"/><Relationship Id="rId660" Type="http://schemas.openxmlformats.org/officeDocument/2006/relationships/hyperlink" Target="https://kenpom.com/team.php?team=SIU+Edwardsville&amp;y=2024" TargetMode="External"/><Relationship Id="rId422" Type="http://schemas.openxmlformats.org/officeDocument/2006/relationships/hyperlink" Target="https://kenpom.com/team.php?team=Louisville&amp;y=2024" TargetMode="External"/><Relationship Id="rId664" Type="http://schemas.openxmlformats.org/officeDocument/2006/relationships/hyperlink" Target="https://kenpom.com/team.php?team=USC+Upstate&amp;y=2024" TargetMode="External"/><Relationship Id="rId421" Type="http://schemas.openxmlformats.org/officeDocument/2006/relationships/hyperlink" Target="https://kenpom.com/conf.php?c=Amer&amp;y=2024" TargetMode="External"/><Relationship Id="rId663" Type="http://schemas.openxmlformats.org/officeDocument/2006/relationships/hyperlink" Target="https://kenpom.com/conf.php?c=SB&amp;y=2024" TargetMode="External"/><Relationship Id="rId420" Type="http://schemas.openxmlformats.org/officeDocument/2006/relationships/hyperlink" Target="https://kenpom.com/team.php?team=Tulsa&amp;y=2024" TargetMode="External"/><Relationship Id="rId662" Type="http://schemas.openxmlformats.org/officeDocument/2006/relationships/hyperlink" Target="https://kenpom.com/team.php?team=Old+Dominion&amp;y=2024" TargetMode="External"/><Relationship Id="rId661" Type="http://schemas.openxmlformats.org/officeDocument/2006/relationships/hyperlink" Target="https://kenpom.com/conf.php?c=OVC&amp;y=2024" TargetMode="External"/><Relationship Id="rId415" Type="http://schemas.openxmlformats.org/officeDocument/2006/relationships/hyperlink" Target="https://kenpom.com/conf.php?c=Amer&amp;y=2024" TargetMode="External"/><Relationship Id="rId657" Type="http://schemas.openxmlformats.org/officeDocument/2006/relationships/hyperlink" Target="https://kenpom.com/conf.php?c=AE&amp;y=2024" TargetMode="External"/><Relationship Id="rId414" Type="http://schemas.openxmlformats.org/officeDocument/2006/relationships/hyperlink" Target="https://kenpom.com/team.php?team=Temple&amp;y=2024" TargetMode="External"/><Relationship Id="rId656" Type="http://schemas.openxmlformats.org/officeDocument/2006/relationships/hyperlink" Target="https://kenpom.com/team.php?team=Binghamton&amp;y=2024" TargetMode="External"/><Relationship Id="rId413" Type="http://schemas.openxmlformats.org/officeDocument/2006/relationships/hyperlink" Target="https://kenpom.com/conf.php?c=SB&amp;y=2024" TargetMode="External"/><Relationship Id="rId655" Type="http://schemas.openxmlformats.org/officeDocument/2006/relationships/hyperlink" Target="https://kenpom.com/conf.php?c=Sum&amp;y=2024" TargetMode="External"/><Relationship Id="rId412" Type="http://schemas.openxmlformats.org/officeDocument/2006/relationships/hyperlink" Target="https://kenpom.com/team.php?team=Texas+St.&amp;y=2024" TargetMode="External"/><Relationship Id="rId654" Type="http://schemas.openxmlformats.org/officeDocument/2006/relationships/hyperlink" Target="https://kenpom.com/team.php?team=Oral+Roberts&amp;y=2024" TargetMode="External"/><Relationship Id="rId419" Type="http://schemas.openxmlformats.org/officeDocument/2006/relationships/hyperlink" Target="https://kenpom.com/conf.php?c=SEC&amp;y=2024" TargetMode="External"/><Relationship Id="rId418" Type="http://schemas.openxmlformats.org/officeDocument/2006/relationships/hyperlink" Target="https://kenpom.com/team.php?team=Vanderbilt&amp;y=2024" TargetMode="External"/><Relationship Id="rId417" Type="http://schemas.openxmlformats.org/officeDocument/2006/relationships/hyperlink" Target="https://kenpom.com/conf.php?c=Slnd&amp;y=2024" TargetMode="External"/><Relationship Id="rId659" Type="http://schemas.openxmlformats.org/officeDocument/2006/relationships/hyperlink" Target="https://kenpom.com/conf.php?c=CUSA&amp;y=2024" TargetMode="External"/><Relationship Id="rId416" Type="http://schemas.openxmlformats.org/officeDocument/2006/relationships/hyperlink" Target="https://kenpom.com/team.php?team=Texas+A%26M+Corpus+Chris&amp;y=2024" TargetMode="External"/><Relationship Id="rId658" Type="http://schemas.openxmlformats.org/officeDocument/2006/relationships/hyperlink" Target="https://kenpom.com/team.php?team=FIU&amp;y=2024" TargetMode="External"/><Relationship Id="rId411" Type="http://schemas.openxmlformats.org/officeDocument/2006/relationships/hyperlink" Target="https://kenpom.com/conf.php?c=MVC&amp;y=2024" TargetMode="External"/><Relationship Id="rId653" Type="http://schemas.openxmlformats.org/officeDocument/2006/relationships/hyperlink" Target="https://kenpom.com/conf.php?c=CUSA&amp;y=2024" TargetMode="External"/><Relationship Id="rId410" Type="http://schemas.openxmlformats.org/officeDocument/2006/relationships/hyperlink" Target="https://kenpom.com/team.php?team=Illinois+St.&amp;y=2024" TargetMode="External"/><Relationship Id="rId652" Type="http://schemas.openxmlformats.org/officeDocument/2006/relationships/hyperlink" Target="https://kenpom.com/team.php?team=Middle+Tennessee&amp;y=2024" TargetMode="External"/><Relationship Id="rId651" Type="http://schemas.openxmlformats.org/officeDocument/2006/relationships/hyperlink" Target="https://kenpom.com/conf.php?c=WAC&amp;y=2024" TargetMode="External"/><Relationship Id="rId650" Type="http://schemas.openxmlformats.org/officeDocument/2006/relationships/hyperlink" Target="https://kenpom.com/team.php?team=Utah+Tech&amp;y=2024" TargetMode="External"/><Relationship Id="rId206" Type="http://schemas.openxmlformats.org/officeDocument/2006/relationships/hyperlink" Target="https://kenpom.com/team.php?team=Richmond&amp;y=2024" TargetMode="External"/><Relationship Id="rId448" Type="http://schemas.openxmlformats.org/officeDocument/2006/relationships/hyperlink" Target="https://kenpom.com/team.php?team=Monmouth&amp;y=2024" TargetMode="External"/><Relationship Id="rId205" Type="http://schemas.openxmlformats.org/officeDocument/2006/relationships/hyperlink" Target="https://kenpom.com/conf.php?c=A10&amp;y=2024" TargetMode="External"/><Relationship Id="rId447" Type="http://schemas.openxmlformats.org/officeDocument/2006/relationships/hyperlink" Target="https://kenpom.com/conf.php?c=Horz&amp;y=2024" TargetMode="External"/><Relationship Id="rId689" Type="http://schemas.openxmlformats.org/officeDocument/2006/relationships/hyperlink" Target="https://kenpom.com/conf.php?c=MVC&amp;y=2024" TargetMode="External"/><Relationship Id="rId204" Type="http://schemas.openxmlformats.org/officeDocument/2006/relationships/hyperlink" Target="https://kenpom.com/team.php?team=Duquesne&amp;y=2024" TargetMode="External"/><Relationship Id="rId446" Type="http://schemas.openxmlformats.org/officeDocument/2006/relationships/hyperlink" Target="https://kenpom.com/team.php?team=Cleveland+St.&amp;y=2024" TargetMode="External"/><Relationship Id="rId688" Type="http://schemas.openxmlformats.org/officeDocument/2006/relationships/hyperlink" Target="https://kenpom.com/team.php?team=Valparaiso&amp;y=2024" TargetMode="External"/><Relationship Id="rId203" Type="http://schemas.openxmlformats.org/officeDocument/2006/relationships/hyperlink" Target="https://kenpom.com/conf.php?c=Amer&amp;y=2024" TargetMode="External"/><Relationship Id="rId445" Type="http://schemas.openxmlformats.org/officeDocument/2006/relationships/hyperlink" Target="https://kenpom.com/conf.php?c=MVC&amp;y=2024" TargetMode="External"/><Relationship Id="rId687" Type="http://schemas.openxmlformats.org/officeDocument/2006/relationships/hyperlink" Target="https://kenpom.com/conf.php?c=WCC&amp;y=2024" TargetMode="External"/><Relationship Id="rId209" Type="http://schemas.openxmlformats.org/officeDocument/2006/relationships/hyperlink" Target="https://kenpom.com/conf.php?c=Ivy&amp;y=2024" TargetMode="External"/><Relationship Id="rId208" Type="http://schemas.openxmlformats.org/officeDocument/2006/relationships/hyperlink" Target="https://kenpom.com/team.php?team=Yale&amp;y=2024" TargetMode="External"/><Relationship Id="rId207" Type="http://schemas.openxmlformats.org/officeDocument/2006/relationships/hyperlink" Target="https://kenpom.com/conf.php?c=A10&amp;y=2024" TargetMode="External"/><Relationship Id="rId449" Type="http://schemas.openxmlformats.org/officeDocument/2006/relationships/hyperlink" Target="https://kenpom.com/conf.php?c=CAA&amp;y=2024" TargetMode="External"/><Relationship Id="rId440" Type="http://schemas.openxmlformats.org/officeDocument/2006/relationships/hyperlink" Target="https://kenpom.com/team.php?team=Little+Rock&amp;y=2024" TargetMode="External"/><Relationship Id="rId682" Type="http://schemas.openxmlformats.org/officeDocument/2006/relationships/hyperlink" Target="https://kenpom.com/team.php?team=Boston+University&amp;y=2024" TargetMode="External"/><Relationship Id="rId681" Type="http://schemas.openxmlformats.org/officeDocument/2006/relationships/hyperlink" Target="https://kenpom.com/conf.php?c=Pat&amp;y=2024" TargetMode="External"/><Relationship Id="rId680" Type="http://schemas.openxmlformats.org/officeDocument/2006/relationships/hyperlink" Target="https://kenpom.com/team.php?team=American&amp;y=2024" TargetMode="External"/><Relationship Id="rId202" Type="http://schemas.openxmlformats.org/officeDocument/2006/relationships/hyperlink" Target="https://kenpom.com/team.php?team=South+Florida&amp;y=2024" TargetMode="External"/><Relationship Id="rId444" Type="http://schemas.openxmlformats.org/officeDocument/2006/relationships/hyperlink" Target="https://kenpom.com/team.php?team=Illinois+Chicago&amp;y=2024" TargetMode="External"/><Relationship Id="rId686" Type="http://schemas.openxmlformats.org/officeDocument/2006/relationships/hyperlink" Target="https://kenpom.com/team.php?team=Portland&amp;y=2024" TargetMode="External"/><Relationship Id="rId201" Type="http://schemas.openxmlformats.org/officeDocument/2006/relationships/hyperlink" Target="https://kenpom.com/conf.php?c=SEC&amp;y=2024" TargetMode="External"/><Relationship Id="rId443" Type="http://schemas.openxmlformats.org/officeDocument/2006/relationships/hyperlink" Target="https://kenpom.com/conf.php?c=A10&amp;y=2024" TargetMode="External"/><Relationship Id="rId685" Type="http://schemas.openxmlformats.org/officeDocument/2006/relationships/hyperlink" Target="https://kenpom.com/conf.php?c=SB&amp;y=2024" TargetMode="External"/><Relationship Id="rId200" Type="http://schemas.openxmlformats.org/officeDocument/2006/relationships/hyperlink" Target="https://kenpom.com/team.php?team=Mississippi&amp;y=2024" TargetMode="External"/><Relationship Id="rId442" Type="http://schemas.openxmlformats.org/officeDocument/2006/relationships/hyperlink" Target="https://kenpom.com/team.php?team=La+Salle&amp;y=2024" TargetMode="External"/><Relationship Id="rId684" Type="http://schemas.openxmlformats.org/officeDocument/2006/relationships/hyperlink" Target="https://kenpom.com/team.php?team=Louisiana+Monroe&amp;y=2024" TargetMode="External"/><Relationship Id="rId441" Type="http://schemas.openxmlformats.org/officeDocument/2006/relationships/hyperlink" Target="https://kenpom.com/conf.php?c=OVC&amp;y=2024" TargetMode="External"/><Relationship Id="rId683" Type="http://schemas.openxmlformats.org/officeDocument/2006/relationships/hyperlink" Target="https://kenpom.com/conf.php?c=Pat&amp;y=2024" TargetMode="External"/><Relationship Id="rId437" Type="http://schemas.openxmlformats.org/officeDocument/2006/relationships/hyperlink" Target="https://kenpom.com/conf.php?c=BE&amp;y=2024" TargetMode="External"/><Relationship Id="rId679" Type="http://schemas.openxmlformats.org/officeDocument/2006/relationships/hyperlink" Target="https://kenpom.com/conf.php?c=ind&amp;y=2024" TargetMode="External"/><Relationship Id="rId436" Type="http://schemas.openxmlformats.org/officeDocument/2006/relationships/hyperlink" Target="https://kenpom.com/team.php?team=Georgetown&amp;y=2024" TargetMode="External"/><Relationship Id="rId678" Type="http://schemas.openxmlformats.org/officeDocument/2006/relationships/hyperlink" Target="https://kenpom.com/team.php?team=Chicago+St.&amp;y=2024" TargetMode="External"/><Relationship Id="rId435" Type="http://schemas.openxmlformats.org/officeDocument/2006/relationships/hyperlink" Target="https://kenpom.com/conf.php?c=Ivy&amp;y=2024" TargetMode="External"/><Relationship Id="rId677" Type="http://schemas.openxmlformats.org/officeDocument/2006/relationships/hyperlink" Target="https://kenpom.com/conf.php?c=SWAC&amp;y=2024" TargetMode="External"/><Relationship Id="rId434" Type="http://schemas.openxmlformats.org/officeDocument/2006/relationships/hyperlink" Target="https://kenpom.com/team.php?team=Brown&amp;y=2024" TargetMode="External"/><Relationship Id="rId676" Type="http://schemas.openxmlformats.org/officeDocument/2006/relationships/hyperlink" Target="https://kenpom.com/team.php?team=Alcorn+St.&amp;y=2024" TargetMode="External"/><Relationship Id="rId439" Type="http://schemas.openxmlformats.org/officeDocument/2006/relationships/hyperlink" Target="https://kenpom.com/conf.php?c=SC&amp;y=2024" TargetMode="External"/><Relationship Id="rId438" Type="http://schemas.openxmlformats.org/officeDocument/2006/relationships/hyperlink" Target="https://kenpom.com/team.php?team=Wofford&amp;y=2024" TargetMode="External"/><Relationship Id="rId671" Type="http://schemas.openxmlformats.org/officeDocument/2006/relationships/hyperlink" Target="https://kenpom.com/conf.php?c=OVC&amp;y=2024" TargetMode="External"/><Relationship Id="rId670" Type="http://schemas.openxmlformats.org/officeDocument/2006/relationships/hyperlink" Target="https://kenpom.com/team.php?team=Tennessee+St.&amp;y=2024" TargetMode="External"/><Relationship Id="rId433" Type="http://schemas.openxmlformats.org/officeDocument/2006/relationships/hyperlink" Target="https://kenpom.com/conf.php?c=WAC&amp;y=2024" TargetMode="External"/><Relationship Id="rId675" Type="http://schemas.openxmlformats.org/officeDocument/2006/relationships/hyperlink" Target="https://kenpom.com/conf.php?c=NEC&amp;y=2024" TargetMode="External"/><Relationship Id="rId432" Type="http://schemas.openxmlformats.org/officeDocument/2006/relationships/hyperlink" Target="https://kenpom.com/team.php?team=Cal+Baptist&amp;y=2024" TargetMode="External"/><Relationship Id="rId674" Type="http://schemas.openxmlformats.org/officeDocument/2006/relationships/hyperlink" Target="https://kenpom.com/team.php?team=Sacred+Heart&amp;y=2024" TargetMode="External"/><Relationship Id="rId431" Type="http://schemas.openxmlformats.org/officeDocument/2006/relationships/hyperlink" Target="https://kenpom.com/conf.php?c=Amer&amp;y=2024" TargetMode="External"/><Relationship Id="rId673" Type="http://schemas.openxmlformats.org/officeDocument/2006/relationships/hyperlink" Target="https://kenpom.com/conf.php?c=NEC&amp;y=2024" TargetMode="External"/><Relationship Id="rId430" Type="http://schemas.openxmlformats.org/officeDocument/2006/relationships/hyperlink" Target="https://kenpom.com/team.php?team=East+Carolina&amp;y=2024" TargetMode="External"/><Relationship Id="rId672" Type="http://schemas.openxmlformats.org/officeDocument/2006/relationships/hyperlink" Target="https://kenpom.com/team.php?team=Wagner&amp;y=20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2"/>
      <c r="E1" s="2"/>
      <c r="F1" s="3"/>
      <c r="J1" s="3"/>
      <c r="L1" s="3"/>
      <c r="N1" s="4" t="s">
        <v>0</v>
      </c>
      <c r="T1" s="4" t="s">
        <v>1</v>
      </c>
    </row>
    <row r="2">
      <c r="A2" s="5" t="s">
        <v>2</v>
      </c>
      <c r="B2" s="6" t="s">
        <v>3</v>
      </c>
      <c r="C2" s="7" t="s">
        <v>4</v>
      </c>
      <c r="D2" s="5" t="s">
        <v>5</v>
      </c>
      <c r="E2" s="8" t="s">
        <v>6</v>
      </c>
      <c r="F2" s="9" t="s">
        <v>7</v>
      </c>
      <c r="H2" s="8" t="s">
        <v>8</v>
      </c>
      <c r="I2" s="2"/>
      <c r="J2" s="10" t="s">
        <v>9</v>
      </c>
      <c r="L2" s="10" t="s">
        <v>10</v>
      </c>
      <c r="N2" s="11" t="s">
        <v>11</v>
      </c>
      <c r="O2" s="12"/>
      <c r="P2" s="11" t="s">
        <v>12</v>
      </c>
      <c r="Q2" s="13"/>
      <c r="R2" s="8" t="s">
        <v>13</v>
      </c>
      <c r="S2" s="2"/>
      <c r="T2" s="9" t="s">
        <v>14</v>
      </c>
    </row>
    <row r="3">
      <c r="A3" s="14">
        <v>1.0</v>
      </c>
      <c r="B3" s="15" t="s">
        <v>15</v>
      </c>
      <c r="C3" s="16" t="s">
        <v>16</v>
      </c>
      <c r="D3" s="14" t="s">
        <v>17</v>
      </c>
      <c r="E3" s="17">
        <f>+36.43</f>
        <v>36.43</v>
      </c>
      <c r="F3" s="18">
        <v>127.5</v>
      </c>
      <c r="G3" s="19">
        <v>1.0</v>
      </c>
      <c r="H3" s="14">
        <v>91.1</v>
      </c>
      <c r="I3" s="19">
        <v>4.0</v>
      </c>
      <c r="J3" s="18">
        <v>64.6</v>
      </c>
      <c r="K3" s="19">
        <v>330.0</v>
      </c>
      <c r="L3" s="20">
        <f>+0.037</f>
        <v>0.037</v>
      </c>
      <c r="M3" s="19">
        <v>95.0</v>
      </c>
      <c r="N3" s="20">
        <f>+12.42</f>
        <v>12.42</v>
      </c>
      <c r="O3" s="19">
        <v>12.0</v>
      </c>
      <c r="P3" s="14">
        <v>113.2</v>
      </c>
      <c r="Q3" s="19">
        <v>11.0</v>
      </c>
      <c r="R3" s="14">
        <v>100.8</v>
      </c>
      <c r="S3" s="19">
        <v>24.0</v>
      </c>
      <c r="T3" s="18">
        <v>-3.4</v>
      </c>
      <c r="U3" s="19">
        <v>283.0</v>
      </c>
    </row>
    <row r="4">
      <c r="A4" s="21">
        <v>2.0</v>
      </c>
      <c r="B4" s="15" t="s">
        <v>18</v>
      </c>
      <c r="C4" s="16" t="s">
        <v>19</v>
      </c>
      <c r="D4" s="21" t="s">
        <v>20</v>
      </c>
      <c r="E4" s="22">
        <f>+31.17</f>
        <v>31.17</v>
      </c>
      <c r="F4" s="23">
        <v>118.9</v>
      </c>
      <c r="G4" s="24">
        <v>19.0</v>
      </c>
      <c r="H4" s="21">
        <v>87.7</v>
      </c>
      <c r="I4" s="24">
        <v>2.0</v>
      </c>
      <c r="J4" s="23">
        <v>63.5</v>
      </c>
      <c r="K4" s="24">
        <v>349.0</v>
      </c>
      <c r="L4" s="25">
        <f>+0.042</f>
        <v>0.042</v>
      </c>
      <c r="M4" s="24">
        <v>86.0</v>
      </c>
      <c r="N4" s="25">
        <f>+11.57</f>
        <v>11.57</v>
      </c>
      <c r="O4" s="24">
        <v>23.0</v>
      </c>
      <c r="P4" s="21">
        <v>111.9</v>
      </c>
      <c r="Q4" s="24">
        <v>37.0</v>
      </c>
      <c r="R4" s="21">
        <v>100.3</v>
      </c>
      <c r="S4" s="24">
        <v>13.0</v>
      </c>
      <c r="T4" s="23">
        <v>-1.02</v>
      </c>
      <c r="U4" s="24">
        <v>226.0</v>
      </c>
    </row>
    <row r="5">
      <c r="A5" s="26">
        <v>3.0</v>
      </c>
      <c r="B5" s="15" t="s">
        <v>21</v>
      </c>
      <c r="C5" s="16" t="s">
        <v>22</v>
      </c>
      <c r="D5" s="26" t="s">
        <v>23</v>
      </c>
      <c r="E5" s="27">
        <f>+30.62</f>
        <v>30.62</v>
      </c>
      <c r="F5" s="28">
        <v>125.2</v>
      </c>
      <c r="G5" s="29">
        <v>4.0</v>
      </c>
      <c r="H5" s="26">
        <v>94.6</v>
      </c>
      <c r="I5" s="29">
        <v>12.0</v>
      </c>
      <c r="J5" s="28">
        <v>67.0</v>
      </c>
      <c r="K5" s="29">
        <v>218.0</v>
      </c>
      <c r="L5" s="30">
        <f>+0.048</f>
        <v>0.048</v>
      </c>
      <c r="M5" s="29">
        <v>70.0</v>
      </c>
      <c r="N5" s="30">
        <f>+14.65</f>
        <v>14.65</v>
      </c>
      <c r="O5" s="29">
        <v>2.0</v>
      </c>
      <c r="P5" s="26">
        <v>114.4</v>
      </c>
      <c r="Q5" s="29">
        <v>3.0</v>
      </c>
      <c r="R5" s="26">
        <v>99.8</v>
      </c>
      <c r="S5" s="29">
        <v>4.0</v>
      </c>
      <c r="T5" s="30">
        <f>+10.58</f>
        <v>10.58</v>
      </c>
      <c r="U5" s="29">
        <v>9.0</v>
      </c>
    </row>
    <row r="6">
      <c r="A6" s="21">
        <v>4.0</v>
      </c>
      <c r="B6" s="15" t="s">
        <v>24</v>
      </c>
      <c r="C6" s="16" t="s">
        <v>25</v>
      </c>
      <c r="D6" s="21" t="s">
        <v>26</v>
      </c>
      <c r="E6" s="22">
        <f>+27.99</f>
        <v>27.99</v>
      </c>
      <c r="F6" s="23">
        <v>120.4</v>
      </c>
      <c r="G6" s="24">
        <v>10.0</v>
      </c>
      <c r="H6" s="21">
        <v>92.4</v>
      </c>
      <c r="I6" s="24">
        <v>6.0</v>
      </c>
      <c r="J6" s="23">
        <v>70.0</v>
      </c>
      <c r="K6" s="24">
        <v>59.0</v>
      </c>
      <c r="L6" s="23">
        <v>-0.08</v>
      </c>
      <c r="M6" s="24">
        <v>338.0</v>
      </c>
      <c r="N6" s="25">
        <f>+9.49</f>
        <v>9.49</v>
      </c>
      <c r="O6" s="24">
        <v>60.0</v>
      </c>
      <c r="P6" s="21">
        <v>111.9</v>
      </c>
      <c r="Q6" s="24">
        <v>38.0</v>
      </c>
      <c r="R6" s="21">
        <v>102.4</v>
      </c>
      <c r="S6" s="24">
        <v>72.0</v>
      </c>
      <c r="T6" s="25">
        <f>+1.47</f>
        <v>1.47</v>
      </c>
      <c r="U6" s="24">
        <v>147.0</v>
      </c>
    </row>
    <row r="7">
      <c r="A7" s="26">
        <v>5.0</v>
      </c>
      <c r="B7" s="15" t="s">
        <v>27</v>
      </c>
      <c r="C7" s="16" t="s">
        <v>28</v>
      </c>
      <c r="D7" s="26" t="s">
        <v>29</v>
      </c>
      <c r="E7" s="27">
        <f>+26.61</f>
        <v>26.61</v>
      </c>
      <c r="F7" s="28">
        <v>116.8</v>
      </c>
      <c r="G7" s="29">
        <v>28.0</v>
      </c>
      <c r="H7" s="26">
        <v>90.2</v>
      </c>
      <c r="I7" s="29">
        <v>3.0</v>
      </c>
      <c r="J7" s="28">
        <v>69.3</v>
      </c>
      <c r="K7" s="29">
        <v>80.0</v>
      </c>
      <c r="L7" s="28">
        <v>-0.026</v>
      </c>
      <c r="M7" s="29">
        <v>257.0</v>
      </c>
      <c r="N7" s="30">
        <f>+13.35</f>
        <v>13.35</v>
      </c>
      <c r="O7" s="29">
        <v>8.0</v>
      </c>
      <c r="P7" s="26">
        <v>114.6</v>
      </c>
      <c r="Q7" s="29">
        <v>2.0</v>
      </c>
      <c r="R7" s="26">
        <v>101.2</v>
      </c>
      <c r="S7" s="29">
        <v>40.0</v>
      </c>
      <c r="T7" s="30">
        <f>+8.97</f>
        <v>8.97</v>
      </c>
      <c r="U7" s="29">
        <v>19.0</v>
      </c>
    </row>
    <row r="8">
      <c r="A8" s="21">
        <v>6.0</v>
      </c>
      <c r="B8" s="15" t="s">
        <v>30</v>
      </c>
      <c r="C8" s="16" t="s">
        <v>31</v>
      </c>
      <c r="D8" s="21" t="s">
        <v>29</v>
      </c>
      <c r="E8" s="22">
        <f>+26.55</f>
        <v>26.55</v>
      </c>
      <c r="F8" s="23">
        <v>120.2</v>
      </c>
      <c r="G8" s="24">
        <v>11.0</v>
      </c>
      <c r="H8" s="21">
        <v>93.7</v>
      </c>
      <c r="I8" s="24">
        <v>10.0</v>
      </c>
      <c r="J8" s="23">
        <v>72.2</v>
      </c>
      <c r="K8" s="24">
        <v>16.0</v>
      </c>
      <c r="L8" s="23">
        <v>-0.047</v>
      </c>
      <c r="M8" s="24">
        <v>295.0</v>
      </c>
      <c r="N8" s="25">
        <f>+11.12</f>
        <v>11.12</v>
      </c>
      <c r="O8" s="24">
        <v>33.0</v>
      </c>
      <c r="P8" s="21">
        <v>112.2</v>
      </c>
      <c r="Q8" s="24">
        <v>33.0</v>
      </c>
      <c r="R8" s="21">
        <v>101.1</v>
      </c>
      <c r="S8" s="24">
        <v>34.0</v>
      </c>
      <c r="T8" s="25">
        <f>+10.47</f>
        <v>10.47</v>
      </c>
      <c r="U8" s="24">
        <v>12.0</v>
      </c>
    </row>
    <row r="9">
      <c r="A9" s="26">
        <v>7.0</v>
      </c>
      <c r="B9" s="15" t="s">
        <v>32</v>
      </c>
      <c r="C9" s="16" t="s">
        <v>33</v>
      </c>
      <c r="D9" s="26" t="s">
        <v>29</v>
      </c>
      <c r="E9" s="27">
        <f t="shared" ref="E9:E10" si="1">+26.47</f>
        <v>26.47</v>
      </c>
      <c r="F9" s="28">
        <v>121.6</v>
      </c>
      <c r="G9" s="29">
        <v>8.0</v>
      </c>
      <c r="H9" s="26">
        <v>95.2</v>
      </c>
      <c r="I9" s="29">
        <v>16.0</v>
      </c>
      <c r="J9" s="28">
        <v>66.4</v>
      </c>
      <c r="K9" s="29">
        <v>253.0</v>
      </c>
      <c r="L9" s="28">
        <v>-0.064</v>
      </c>
      <c r="M9" s="29">
        <v>322.0</v>
      </c>
      <c r="N9" s="30">
        <f>+10.07</f>
        <v>10.07</v>
      </c>
      <c r="O9" s="29">
        <v>46.0</v>
      </c>
      <c r="P9" s="26">
        <v>111.1</v>
      </c>
      <c r="Q9" s="29">
        <v>59.0</v>
      </c>
      <c r="R9" s="26">
        <v>101.1</v>
      </c>
      <c r="S9" s="29">
        <v>32.0</v>
      </c>
      <c r="T9" s="28">
        <v>-0.04</v>
      </c>
      <c r="U9" s="29">
        <v>199.0</v>
      </c>
    </row>
    <row r="10">
      <c r="A10" s="21">
        <v>8.0</v>
      </c>
      <c r="B10" s="15" t="s">
        <v>34</v>
      </c>
      <c r="C10" s="16" t="s">
        <v>35</v>
      </c>
      <c r="D10" s="21" t="s">
        <v>36</v>
      </c>
      <c r="E10" s="22">
        <f t="shared" si="1"/>
        <v>26.47</v>
      </c>
      <c r="F10" s="23">
        <v>113.9</v>
      </c>
      <c r="G10" s="24">
        <v>52.0</v>
      </c>
      <c r="H10" s="21">
        <v>87.5</v>
      </c>
      <c r="I10" s="24">
        <v>1.0</v>
      </c>
      <c r="J10" s="23">
        <v>67.2</v>
      </c>
      <c r="K10" s="24">
        <v>201.0</v>
      </c>
      <c r="L10" s="25">
        <f>+0.002</f>
        <v>0.002</v>
      </c>
      <c r="M10" s="24">
        <v>179.0</v>
      </c>
      <c r="N10" s="25">
        <f>+10.43</f>
        <v>10.43</v>
      </c>
      <c r="O10" s="24">
        <v>40.0</v>
      </c>
      <c r="P10" s="21">
        <v>111.3</v>
      </c>
      <c r="Q10" s="24">
        <v>56.0</v>
      </c>
      <c r="R10" s="21">
        <v>100.8</v>
      </c>
      <c r="S10" s="24">
        <v>26.0</v>
      </c>
      <c r="T10" s="23">
        <v>-7.05</v>
      </c>
      <c r="U10" s="24">
        <v>345.0</v>
      </c>
    </row>
    <row r="11">
      <c r="A11" s="26">
        <v>9.0</v>
      </c>
      <c r="B11" s="15" t="s">
        <v>37</v>
      </c>
      <c r="C11" s="16" t="s">
        <v>38</v>
      </c>
      <c r="D11" s="26" t="s">
        <v>36</v>
      </c>
      <c r="E11" s="27">
        <f>+26.19</f>
        <v>26.19</v>
      </c>
      <c r="F11" s="28">
        <v>119.7</v>
      </c>
      <c r="G11" s="29">
        <v>15.0</v>
      </c>
      <c r="H11" s="26">
        <v>93.5</v>
      </c>
      <c r="I11" s="29">
        <v>8.0</v>
      </c>
      <c r="J11" s="28">
        <v>70.6</v>
      </c>
      <c r="K11" s="29">
        <v>41.0</v>
      </c>
      <c r="L11" s="28">
        <v>-0.038</v>
      </c>
      <c r="M11" s="29">
        <v>281.0</v>
      </c>
      <c r="N11" s="30">
        <f>+12.17</f>
        <v>12.17</v>
      </c>
      <c r="O11" s="29">
        <v>13.0</v>
      </c>
      <c r="P11" s="26">
        <v>112.6</v>
      </c>
      <c r="Q11" s="29">
        <v>22.0</v>
      </c>
      <c r="R11" s="26">
        <v>100.5</v>
      </c>
      <c r="S11" s="29">
        <v>16.0</v>
      </c>
      <c r="T11" s="30">
        <f>+6.99</f>
        <v>6.99</v>
      </c>
      <c r="U11" s="29">
        <v>35.0</v>
      </c>
    </row>
    <row r="12">
      <c r="A12" s="31">
        <v>10.0</v>
      </c>
      <c r="B12" s="32" t="s">
        <v>39</v>
      </c>
      <c r="C12" s="33" t="s">
        <v>40</v>
      </c>
      <c r="D12" s="31" t="s">
        <v>41</v>
      </c>
      <c r="E12" s="34">
        <f>+24.53</f>
        <v>24.53</v>
      </c>
      <c r="F12" s="35">
        <v>125.5</v>
      </c>
      <c r="G12" s="36">
        <v>3.0</v>
      </c>
      <c r="H12" s="31">
        <v>101.0</v>
      </c>
      <c r="I12" s="36">
        <v>80.0</v>
      </c>
      <c r="J12" s="35">
        <v>69.8</v>
      </c>
      <c r="K12" s="36">
        <v>66.0</v>
      </c>
      <c r="L12" s="35">
        <v>-0.004</v>
      </c>
      <c r="M12" s="36">
        <v>194.0</v>
      </c>
      <c r="N12" s="37">
        <f>+11.92</f>
        <v>11.92</v>
      </c>
      <c r="O12" s="36">
        <v>17.0</v>
      </c>
      <c r="P12" s="31">
        <v>111.8</v>
      </c>
      <c r="Q12" s="36">
        <v>40.0</v>
      </c>
      <c r="R12" s="31">
        <v>99.9</v>
      </c>
      <c r="S12" s="36">
        <v>7.0</v>
      </c>
      <c r="T12" s="35">
        <v>-2.33</v>
      </c>
      <c r="U12" s="36">
        <v>260.0</v>
      </c>
    </row>
    <row r="13">
      <c r="A13" s="26">
        <v>11.0</v>
      </c>
      <c r="B13" s="15" t="s">
        <v>42</v>
      </c>
      <c r="C13" s="16" t="s">
        <v>43</v>
      </c>
      <c r="D13" s="26" t="s">
        <v>44</v>
      </c>
      <c r="E13" s="27">
        <f>+24.22</f>
        <v>24.22</v>
      </c>
      <c r="F13" s="28">
        <v>120.9</v>
      </c>
      <c r="G13" s="29">
        <v>9.0</v>
      </c>
      <c r="H13" s="26">
        <v>96.7</v>
      </c>
      <c r="I13" s="29">
        <v>24.0</v>
      </c>
      <c r="J13" s="28">
        <v>66.8</v>
      </c>
      <c r="K13" s="29">
        <v>229.0</v>
      </c>
      <c r="L13" s="28">
        <v>-0.018</v>
      </c>
      <c r="M13" s="29">
        <v>235.0</v>
      </c>
      <c r="N13" s="30">
        <f>+11.96</f>
        <v>11.96</v>
      </c>
      <c r="O13" s="29">
        <v>16.0</v>
      </c>
      <c r="P13" s="26">
        <v>112.3</v>
      </c>
      <c r="Q13" s="29">
        <v>31.0</v>
      </c>
      <c r="R13" s="26">
        <v>100.4</v>
      </c>
      <c r="S13" s="29">
        <v>15.0</v>
      </c>
      <c r="T13" s="30">
        <f>+4.99</f>
        <v>4.99</v>
      </c>
      <c r="U13" s="29">
        <v>67.0</v>
      </c>
    </row>
    <row r="14">
      <c r="A14" s="21">
        <v>12.0</v>
      </c>
      <c r="B14" s="15" t="s">
        <v>45</v>
      </c>
      <c r="C14" s="16" t="s">
        <v>46</v>
      </c>
      <c r="D14" s="21" t="s">
        <v>26</v>
      </c>
      <c r="E14" s="22">
        <f>+23.17</f>
        <v>23.17</v>
      </c>
      <c r="F14" s="23">
        <v>122.6</v>
      </c>
      <c r="G14" s="24">
        <v>5.0</v>
      </c>
      <c r="H14" s="21">
        <v>99.4</v>
      </c>
      <c r="I14" s="24">
        <v>51.0</v>
      </c>
      <c r="J14" s="23">
        <v>68.9</v>
      </c>
      <c r="K14" s="24">
        <v>102.0</v>
      </c>
      <c r="L14" s="23">
        <v>-0.051</v>
      </c>
      <c r="M14" s="24">
        <v>300.0</v>
      </c>
      <c r="N14" s="25">
        <f>+5.21</f>
        <v>5.21</v>
      </c>
      <c r="O14" s="24">
        <v>96.0</v>
      </c>
      <c r="P14" s="21">
        <v>109.3</v>
      </c>
      <c r="Q14" s="24">
        <v>95.0</v>
      </c>
      <c r="R14" s="21">
        <v>104.1</v>
      </c>
      <c r="S14" s="24">
        <v>100.0</v>
      </c>
      <c r="T14" s="25">
        <f>+7.7</f>
        <v>7.7</v>
      </c>
      <c r="U14" s="24">
        <v>26.0</v>
      </c>
    </row>
    <row r="15">
      <c r="A15" s="26">
        <v>13.0</v>
      </c>
      <c r="B15" s="15" t="s">
        <v>47</v>
      </c>
      <c r="C15" s="16" t="s">
        <v>48</v>
      </c>
      <c r="D15" s="26" t="s">
        <v>49</v>
      </c>
      <c r="E15" s="27">
        <f>+23.02</f>
        <v>23.02</v>
      </c>
      <c r="F15" s="28">
        <v>118.2</v>
      </c>
      <c r="G15" s="29">
        <v>21.0</v>
      </c>
      <c r="H15" s="26">
        <v>95.2</v>
      </c>
      <c r="I15" s="29">
        <v>17.0</v>
      </c>
      <c r="J15" s="28">
        <v>69.1</v>
      </c>
      <c r="K15" s="29">
        <v>92.0</v>
      </c>
      <c r="L15" s="30">
        <f>+0.035</f>
        <v>0.035</v>
      </c>
      <c r="M15" s="29">
        <v>101.0</v>
      </c>
      <c r="N15" s="30">
        <f>+13.6</f>
        <v>13.6</v>
      </c>
      <c r="O15" s="29">
        <v>6.0</v>
      </c>
      <c r="P15" s="26">
        <v>113.4</v>
      </c>
      <c r="Q15" s="29">
        <v>7.0</v>
      </c>
      <c r="R15" s="26">
        <v>99.8</v>
      </c>
      <c r="S15" s="29">
        <v>5.0</v>
      </c>
      <c r="T15" s="30">
        <f>+8.21</f>
        <v>8.21</v>
      </c>
      <c r="U15" s="29">
        <v>23.0</v>
      </c>
    </row>
    <row r="16">
      <c r="A16" s="21">
        <v>14.0</v>
      </c>
      <c r="B16" s="15" t="s">
        <v>50</v>
      </c>
      <c r="C16" s="16" t="s">
        <v>51</v>
      </c>
      <c r="D16" s="21" t="s">
        <v>52</v>
      </c>
      <c r="E16" s="22">
        <f>+22.96</f>
        <v>22.96</v>
      </c>
      <c r="F16" s="23">
        <v>126.0</v>
      </c>
      <c r="G16" s="24">
        <v>2.0</v>
      </c>
      <c r="H16" s="21">
        <v>103.0</v>
      </c>
      <c r="I16" s="24">
        <v>111.0</v>
      </c>
      <c r="J16" s="23">
        <v>72.6</v>
      </c>
      <c r="K16" s="24">
        <v>14.0</v>
      </c>
      <c r="L16" s="23">
        <v>-0.001</v>
      </c>
      <c r="M16" s="24">
        <v>187.0</v>
      </c>
      <c r="N16" s="25">
        <f>+14.71</f>
        <v>14.71</v>
      </c>
      <c r="O16" s="24">
        <v>1.0</v>
      </c>
      <c r="P16" s="21">
        <v>115.1</v>
      </c>
      <c r="Q16" s="24">
        <v>1.0</v>
      </c>
      <c r="R16" s="21">
        <v>100.4</v>
      </c>
      <c r="S16" s="24">
        <v>14.0</v>
      </c>
      <c r="T16" s="25">
        <f>+9.46</f>
        <v>9.46</v>
      </c>
      <c r="U16" s="24">
        <v>16.0</v>
      </c>
    </row>
    <row r="17">
      <c r="A17" s="26">
        <v>15.0</v>
      </c>
      <c r="B17" s="15" t="s">
        <v>53</v>
      </c>
      <c r="C17" s="16" t="s">
        <v>54</v>
      </c>
      <c r="D17" s="26" t="s">
        <v>55</v>
      </c>
      <c r="E17" s="27">
        <f>+21.9</f>
        <v>21.9</v>
      </c>
      <c r="F17" s="28">
        <v>122.4</v>
      </c>
      <c r="G17" s="29">
        <v>6.0</v>
      </c>
      <c r="H17" s="26">
        <v>100.5</v>
      </c>
      <c r="I17" s="29">
        <v>72.0</v>
      </c>
      <c r="J17" s="28">
        <v>65.8</v>
      </c>
      <c r="K17" s="29">
        <v>282.0</v>
      </c>
      <c r="L17" s="28">
        <v>-0.016</v>
      </c>
      <c r="M17" s="29">
        <v>227.0</v>
      </c>
      <c r="N17" s="30">
        <f>+13.44</f>
        <v>13.44</v>
      </c>
      <c r="O17" s="29">
        <v>7.0</v>
      </c>
      <c r="P17" s="26">
        <v>112.4</v>
      </c>
      <c r="Q17" s="29">
        <v>28.0</v>
      </c>
      <c r="R17" s="26">
        <v>99.0</v>
      </c>
      <c r="S17" s="29">
        <v>1.0</v>
      </c>
      <c r="T17" s="30">
        <f>+3.36</f>
        <v>3.36</v>
      </c>
      <c r="U17" s="29">
        <v>93.0</v>
      </c>
    </row>
    <row r="18">
      <c r="A18" s="21">
        <v>16.0</v>
      </c>
      <c r="B18" s="15" t="s">
        <v>56</v>
      </c>
      <c r="C18" s="16" t="s">
        <v>57</v>
      </c>
      <c r="D18" s="21" t="s">
        <v>58</v>
      </c>
      <c r="E18" s="22">
        <f>+20.58</f>
        <v>20.58</v>
      </c>
      <c r="F18" s="23">
        <v>114.3</v>
      </c>
      <c r="G18" s="24">
        <v>49.0</v>
      </c>
      <c r="H18" s="21">
        <v>93.7</v>
      </c>
      <c r="I18" s="24">
        <v>9.0</v>
      </c>
      <c r="J18" s="23">
        <v>65.3</v>
      </c>
      <c r="K18" s="24">
        <v>309.0</v>
      </c>
      <c r="L18" s="23">
        <v>-0.1</v>
      </c>
      <c r="M18" s="24">
        <v>354.0</v>
      </c>
      <c r="N18" s="25">
        <f>+13.03</f>
        <v>13.03</v>
      </c>
      <c r="O18" s="24">
        <v>11.0</v>
      </c>
      <c r="P18" s="21">
        <v>114.2</v>
      </c>
      <c r="Q18" s="24">
        <v>5.0</v>
      </c>
      <c r="R18" s="21">
        <v>101.1</v>
      </c>
      <c r="S18" s="24">
        <v>35.0</v>
      </c>
      <c r="T18" s="25">
        <f>+4.62</f>
        <v>4.62</v>
      </c>
      <c r="U18" s="24">
        <v>74.0</v>
      </c>
    </row>
    <row r="19">
      <c r="A19" s="26">
        <v>17.0</v>
      </c>
      <c r="B19" s="15" t="s">
        <v>59</v>
      </c>
      <c r="C19" s="16" t="s">
        <v>60</v>
      </c>
      <c r="D19" s="26" t="s">
        <v>61</v>
      </c>
      <c r="E19" s="27">
        <f>+20.06</f>
        <v>20.06</v>
      </c>
      <c r="F19" s="28">
        <v>119.2</v>
      </c>
      <c r="G19" s="29">
        <v>17.0</v>
      </c>
      <c r="H19" s="26">
        <v>99.2</v>
      </c>
      <c r="I19" s="29">
        <v>46.0</v>
      </c>
      <c r="J19" s="28">
        <v>65.5</v>
      </c>
      <c r="K19" s="29">
        <v>304.0</v>
      </c>
      <c r="L19" s="28">
        <v>-0.036</v>
      </c>
      <c r="M19" s="29">
        <v>273.0</v>
      </c>
      <c r="N19" s="30">
        <f>+14.04</f>
        <v>14.04</v>
      </c>
      <c r="O19" s="29">
        <v>3.0</v>
      </c>
      <c r="P19" s="26">
        <v>113.2</v>
      </c>
      <c r="Q19" s="29">
        <v>9.0</v>
      </c>
      <c r="R19" s="26">
        <v>99.2</v>
      </c>
      <c r="S19" s="29">
        <v>2.0</v>
      </c>
      <c r="T19" s="30">
        <f>+6.22</f>
        <v>6.22</v>
      </c>
      <c r="U19" s="29">
        <v>44.0</v>
      </c>
    </row>
    <row r="20">
      <c r="A20" s="21">
        <v>18.0</v>
      </c>
      <c r="B20" s="15" t="s">
        <v>62</v>
      </c>
      <c r="C20" s="16" t="s">
        <v>63</v>
      </c>
      <c r="D20" s="21" t="s">
        <v>64</v>
      </c>
      <c r="E20" s="22">
        <f>+19.96</f>
        <v>19.96</v>
      </c>
      <c r="F20" s="23">
        <v>119.8</v>
      </c>
      <c r="G20" s="24">
        <v>14.0</v>
      </c>
      <c r="H20" s="21">
        <v>99.9</v>
      </c>
      <c r="I20" s="24">
        <v>60.0</v>
      </c>
      <c r="J20" s="23">
        <v>69.2</v>
      </c>
      <c r="K20" s="24">
        <v>84.0</v>
      </c>
      <c r="L20" s="23">
        <v>-0.048</v>
      </c>
      <c r="M20" s="24">
        <v>296.0</v>
      </c>
      <c r="N20" s="25">
        <f>+9.21</f>
        <v>9.21</v>
      </c>
      <c r="O20" s="24">
        <v>68.0</v>
      </c>
      <c r="P20" s="21">
        <v>110.1</v>
      </c>
      <c r="Q20" s="24">
        <v>84.0</v>
      </c>
      <c r="R20" s="21">
        <v>100.9</v>
      </c>
      <c r="S20" s="24">
        <v>30.0</v>
      </c>
      <c r="T20" s="23">
        <v>-5.67</v>
      </c>
      <c r="U20" s="24">
        <v>329.0</v>
      </c>
    </row>
    <row r="21">
      <c r="A21" s="26">
        <v>19.0</v>
      </c>
      <c r="B21" s="15" t="s">
        <v>65</v>
      </c>
      <c r="C21" s="16" t="s">
        <v>66</v>
      </c>
      <c r="D21" s="26" t="s">
        <v>67</v>
      </c>
      <c r="E21" s="27">
        <f>+19.44</f>
        <v>19.44</v>
      </c>
      <c r="F21" s="28">
        <v>117.7</v>
      </c>
      <c r="G21" s="29">
        <v>23.0</v>
      </c>
      <c r="H21" s="26">
        <v>98.3</v>
      </c>
      <c r="I21" s="29">
        <v>35.0</v>
      </c>
      <c r="J21" s="28">
        <v>66.4</v>
      </c>
      <c r="K21" s="29">
        <v>256.0</v>
      </c>
      <c r="L21" s="28">
        <v>-0.018</v>
      </c>
      <c r="M21" s="29">
        <v>238.0</v>
      </c>
      <c r="N21" s="30">
        <f>+12.09</f>
        <v>12.09</v>
      </c>
      <c r="O21" s="29">
        <v>14.0</v>
      </c>
      <c r="P21" s="26">
        <v>113.5</v>
      </c>
      <c r="Q21" s="29">
        <v>6.0</v>
      </c>
      <c r="R21" s="26">
        <v>101.4</v>
      </c>
      <c r="S21" s="29">
        <v>47.0</v>
      </c>
      <c r="T21" s="30">
        <f>+4.91</f>
        <v>4.91</v>
      </c>
      <c r="U21" s="29">
        <v>69.0</v>
      </c>
    </row>
    <row r="22">
      <c r="A22" s="31">
        <v>20.0</v>
      </c>
      <c r="B22" s="32" t="s">
        <v>68</v>
      </c>
      <c r="C22" s="33" t="s">
        <v>69</v>
      </c>
      <c r="D22" s="31" t="s">
        <v>70</v>
      </c>
      <c r="E22" s="34">
        <f>+19.43</f>
        <v>19.43</v>
      </c>
      <c r="F22" s="35">
        <v>114.5</v>
      </c>
      <c r="G22" s="36">
        <v>46.0</v>
      </c>
      <c r="H22" s="31">
        <v>95.0</v>
      </c>
      <c r="I22" s="36">
        <v>15.0</v>
      </c>
      <c r="J22" s="35">
        <v>62.5</v>
      </c>
      <c r="K22" s="36">
        <v>357.0</v>
      </c>
      <c r="L22" s="37">
        <f>+0.008</f>
        <v>0.008</v>
      </c>
      <c r="M22" s="36">
        <v>167.0</v>
      </c>
      <c r="N22" s="37">
        <f>+3.54</f>
        <v>3.54</v>
      </c>
      <c r="O22" s="36">
        <v>103.0</v>
      </c>
      <c r="P22" s="31">
        <v>108.5</v>
      </c>
      <c r="Q22" s="36">
        <v>103.0</v>
      </c>
      <c r="R22" s="31">
        <v>104.9</v>
      </c>
      <c r="S22" s="36">
        <v>125.0</v>
      </c>
      <c r="T22" s="37">
        <f>+5.2</f>
        <v>5.2</v>
      </c>
      <c r="U22" s="36">
        <v>61.0</v>
      </c>
    </row>
    <row r="23">
      <c r="A23" s="26">
        <v>21.0</v>
      </c>
      <c r="B23" s="15" t="s">
        <v>71</v>
      </c>
      <c r="C23" s="16" t="s">
        <v>72</v>
      </c>
      <c r="D23" s="26" t="s">
        <v>73</v>
      </c>
      <c r="E23" s="27">
        <f>+19.41</f>
        <v>19.41</v>
      </c>
      <c r="F23" s="28">
        <v>119.0</v>
      </c>
      <c r="G23" s="29">
        <v>18.0</v>
      </c>
      <c r="H23" s="26">
        <v>99.6</v>
      </c>
      <c r="I23" s="29">
        <v>57.0</v>
      </c>
      <c r="J23" s="28">
        <v>69.3</v>
      </c>
      <c r="K23" s="29">
        <v>78.0</v>
      </c>
      <c r="L23" s="28">
        <v>-0.068</v>
      </c>
      <c r="M23" s="29">
        <v>325.0</v>
      </c>
      <c r="N23" s="30">
        <f>+11.19</f>
        <v>11.19</v>
      </c>
      <c r="O23" s="29">
        <v>30.0</v>
      </c>
      <c r="P23" s="26">
        <v>112.5</v>
      </c>
      <c r="Q23" s="29">
        <v>26.0</v>
      </c>
      <c r="R23" s="26">
        <v>101.3</v>
      </c>
      <c r="S23" s="29">
        <v>44.0</v>
      </c>
      <c r="T23" s="30">
        <f>+1.64</f>
        <v>1.64</v>
      </c>
      <c r="U23" s="29">
        <v>139.0</v>
      </c>
    </row>
    <row r="24">
      <c r="A24" s="21">
        <v>22.0</v>
      </c>
      <c r="B24" s="15" t="s">
        <v>74</v>
      </c>
      <c r="C24" s="16" t="s">
        <v>75</v>
      </c>
      <c r="D24" s="21" t="s">
        <v>76</v>
      </c>
      <c r="E24" s="22">
        <f>+19.36</f>
        <v>19.36</v>
      </c>
      <c r="F24" s="23">
        <v>113.4</v>
      </c>
      <c r="G24" s="24">
        <v>62.0</v>
      </c>
      <c r="H24" s="21">
        <v>94.0</v>
      </c>
      <c r="I24" s="24">
        <v>11.0</v>
      </c>
      <c r="J24" s="23">
        <v>66.2</v>
      </c>
      <c r="K24" s="24">
        <v>267.0</v>
      </c>
      <c r="L24" s="25">
        <f>+0.008</f>
        <v>0.008</v>
      </c>
      <c r="M24" s="24">
        <v>166.0</v>
      </c>
      <c r="N24" s="25">
        <f>+11.16</f>
        <v>11.16</v>
      </c>
      <c r="O24" s="24">
        <v>31.0</v>
      </c>
      <c r="P24" s="21">
        <v>112.8</v>
      </c>
      <c r="Q24" s="24">
        <v>16.0</v>
      </c>
      <c r="R24" s="21">
        <v>101.7</v>
      </c>
      <c r="S24" s="24">
        <v>61.0</v>
      </c>
      <c r="T24" s="25">
        <f>+10.56</f>
        <v>10.56</v>
      </c>
      <c r="U24" s="24">
        <v>11.0</v>
      </c>
    </row>
    <row r="25">
      <c r="A25" s="26">
        <v>23.0</v>
      </c>
      <c r="B25" s="15" t="s">
        <v>77</v>
      </c>
      <c r="C25" s="16" t="s">
        <v>78</v>
      </c>
      <c r="D25" s="26" t="s">
        <v>79</v>
      </c>
      <c r="E25" s="27">
        <f>+19.29</f>
        <v>19.29</v>
      </c>
      <c r="F25" s="28">
        <v>122.2</v>
      </c>
      <c r="G25" s="29">
        <v>7.0</v>
      </c>
      <c r="H25" s="26">
        <v>102.9</v>
      </c>
      <c r="I25" s="29">
        <v>109.0</v>
      </c>
      <c r="J25" s="28">
        <v>72.7</v>
      </c>
      <c r="K25" s="29">
        <v>12.0</v>
      </c>
      <c r="L25" s="28">
        <v>-0.04</v>
      </c>
      <c r="M25" s="29">
        <v>286.0</v>
      </c>
      <c r="N25" s="30">
        <f>+8.94</f>
        <v>8.94</v>
      </c>
      <c r="O25" s="29">
        <v>76.0</v>
      </c>
      <c r="P25" s="26">
        <v>111.4</v>
      </c>
      <c r="Q25" s="29">
        <v>48.0</v>
      </c>
      <c r="R25" s="26">
        <v>102.5</v>
      </c>
      <c r="S25" s="29">
        <v>79.0</v>
      </c>
      <c r="T25" s="28">
        <v>-0.17</v>
      </c>
      <c r="U25" s="29">
        <v>203.0</v>
      </c>
    </row>
    <row r="26">
      <c r="A26" s="21">
        <v>24.0</v>
      </c>
      <c r="B26" s="15" t="s">
        <v>80</v>
      </c>
      <c r="C26" s="16" t="s">
        <v>81</v>
      </c>
      <c r="D26" s="21" t="s">
        <v>76</v>
      </c>
      <c r="E26" s="22">
        <f>+19.03</f>
        <v>19.03</v>
      </c>
      <c r="F26" s="23">
        <v>118.4</v>
      </c>
      <c r="G26" s="24">
        <v>20.0</v>
      </c>
      <c r="H26" s="21">
        <v>99.3</v>
      </c>
      <c r="I26" s="24">
        <v>49.0</v>
      </c>
      <c r="J26" s="23">
        <v>67.6</v>
      </c>
      <c r="K26" s="24">
        <v>169.0</v>
      </c>
      <c r="L26" s="25">
        <f>+0.014</f>
        <v>0.014</v>
      </c>
      <c r="M26" s="24">
        <v>150.0</v>
      </c>
      <c r="N26" s="25">
        <f>+9.34</f>
        <v>9.34</v>
      </c>
      <c r="O26" s="24">
        <v>63.0</v>
      </c>
      <c r="P26" s="21">
        <v>110.9</v>
      </c>
      <c r="Q26" s="24">
        <v>65.0</v>
      </c>
      <c r="R26" s="21">
        <v>101.6</v>
      </c>
      <c r="S26" s="24">
        <v>57.0</v>
      </c>
      <c r="T26" s="23">
        <v>-1.47</v>
      </c>
      <c r="U26" s="24">
        <v>241.0</v>
      </c>
    </row>
    <row r="27">
      <c r="A27" s="26">
        <v>25.0</v>
      </c>
      <c r="B27" s="15" t="s">
        <v>82</v>
      </c>
      <c r="C27" s="16" t="s">
        <v>83</v>
      </c>
      <c r="D27" s="26" t="s">
        <v>84</v>
      </c>
      <c r="E27" s="27">
        <f>+18.77</f>
        <v>18.77</v>
      </c>
      <c r="F27" s="28">
        <v>116.5</v>
      </c>
      <c r="G27" s="29">
        <v>31.0</v>
      </c>
      <c r="H27" s="26">
        <v>97.7</v>
      </c>
      <c r="I27" s="29">
        <v>30.0</v>
      </c>
      <c r="J27" s="28">
        <v>67.4</v>
      </c>
      <c r="K27" s="29">
        <v>186.0</v>
      </c>
      <c r="L27" s="28">
        <v>-0.042</v>
      </c>
      <c r="M27" s="29">
        <v>288.0</v>
      </c>
      <c r="N27" s="30">
        <f>+10.91</f>
        <v>10.91</v>
      </c>
      <c r="O27" s="29">
        <v>35.0</v>
      </c>
      <c r="P27" s="26">
        <v>111.4</v>
      </c>
      <c r="Q27" s="29">
        <v>51.0</v>
      </c>
      <c r="R27" s="26">
        <v>100.5</v>
      </c>
      <c r="S27" s="29">
        <v>18.0</v>
      </c>
      <c r="T27" s="28">
        <v>-3.13</v>
      </c>
      <c r="U27" s="29">
        <v>275.0</v>
      </c>
    </row>
    <row r="28">
      <c r="A28" s="21">
        <v>26.0</v>
      </c>
      <c r="B28" s="15" t="s">
        <v>85</v>
      </c>
      <c r="C28" s="16" t="s">
        <v>86</v>
      </c>
      <c r="D28" s="21" t="s">
        <v>67</v>
      </c>
      <c r="E28" s="22">
        <f>+18.19</f>
        <v>18.19</v>
      </c>
      <c r="F28" s="23">
        <v>120.0</v>
      </c>
      <c r="G28" s="24">
        <v>12.0</v>
      </c>
      <c r="H28" s="21">
        <v>101.8</v>
      </c>
      <c r="I28" s="24">
        <v>94.0</v>
      </c>
      <c r="J28" s="23">
        <v>72.0</v>
      </c>
      <c r="K28" s="24">
        <v>17.0</v>
      </c>
      <c r="L28" s="23">
        <v>-0.021</v>
      </c>
      <c r="M28" s="24">
        <v>246.0</v>
      </c>
      <c r="N28" s="25">
        <f>+11</f>
        <v>11</v>
      </c>
      <c r="O28" s="24">
        <v>34.0</v>
      </c>
      <c r="P28" s="21">
        <v>112.5</v>
      </c>
      <c r="Q28" s="24">
        <v>25.0</v>
      </c>
      <c r="R28" s="21">
        <v>101.5</v>
      </c>
      <c r="S28" s="24">
        <v>52.0</v>
      </c>
      <c r="T28" s="25">
        <f>+2.02</f>
        <v>2.02</v>
      </c>
      <c r="U28" s="24">
        <v>128.0</v>
      </c>
    </row>
    <row r="29">
      <c r="A29" s="26">
        <v>27.0</v>
      </c>
      <c r="B29" s="15" t="s">
        <v>87</v>
      </c>
      <c r="C29" s="16" t="s">
        <v>88</v>
      </c>
      <c r="D29" s="26" t="s">
        <v>64</v>
      </c>
      <c r="E29" s="27">
        <f>+17.94</f>
        <v>17.94</v>
      </c>
      <c r="F29" s="28">
        <v>113.5</v>
      </c>
      <c r="G29" s="29">
        <v>59.0</v>
      </c>
      <c r="H29" s="26">
        <v>95.6</v>
      </c>
      <c r="I29" s="29">
        <v>20.0</v>
      </c>
      <c r="J29" s="28">
        <v>69.2</v>
      </c>
      <c r="K29" s="29">
        <v>88.0</v>
      </c>
      <c r="L29" s="30">
        <f>+0.058</f>
        <v>0.058</v>
      </c>
      <c r="M29" s="29">
        <v>52.0</v>
      </c>
      <c r="N29" s="30">
        <f>+13.61</f>
        <v>13.61</v>
      </c>
      <c r="O29" s="29">
        <v>5.0</v>
      </c>
      <c r="P29" s="26">
        <v>113.0</v>
      </c>
      <c r="Q29" s="29">
        <v>13.0</v>
      </c>
      <c r="R29" s="26">
        <v>99.3</v>
      </c>
      <c r="S29" s="29">
        <v>3.0</v>
      </c>
      <c r="T29" s="30">
        <f>+5.2</f>
        <v>5.2</v>
      </c>
      <c r="U29" s="29">
        <v>62.0</v>
      </c>
    </row>
    <row r="30">
      <c r="A30" s="21">
        <v>28.0</v>
      </c>
      <c r="B30" s="15" t="s">
        <v>89</v>
      </c>
      <c r="C30" s="16" t="s">
        <v>90</v>
      </c>
      <c r="D30" s="21" t="s">
        <v>91</v>
      </c>
      <c r="E30" s="22">
        <f>+17.89</f>
        <v>17.89</v>
      </c>
      <c r="F30" s="23">
        <v>117.7</v>
      </c>
      <c r="G30" s="24">
        <v>25.0</v>
      </c>
      <c r="H30" s="21">
        <v>99.8</v>
      </c>
      <c r="I30" s="24">
        <v>59.0</v>
      </c>
      <c r="J30" s="23">
        <v>68.5</v>
      </c>
      <c r="K30" s="24">
        <v>128.0</v>
      </c>
      <c r="L30" s="23">
        <v>-0.1</v>
      </c>
      <c r="M30" s="24">
        <v>355.0</v>
      </c>
      <c r="N30" s="25">
        <f>+9</f>
        <v>9</v>
      </c>
      <c r="O30" s="24">
        <v>74.0</v>
      </c>
      <c r="P30" s="21">
        <v>110.0</v>
      </c>
      <c r="Q30" s="24">
        <v>86.0</v>
      </c>
      <c r="R30" s="21">
        <v>101.0</v>
      </c>
      <c r="S30" s="24">
        <v>31.0</v>
      </c>
      <c r="T30" s="23">
        <v>-1.85</v>
      </c>
      <c r="U30" s="24">
        <v>250.0</v>
      </c>
    </row>
    <row r="31">
      <c r="A31" s="26">
        <v>29.0</v>
      </c>
      <c r="B31" s="15" t="s">
        <v>92</v>
      </c>
      <c r="C31" s="16" t="s">
        <v>93</v>
      </c>
      <c r="D31" s="26" t="s">
        <v>94</v>
      </c>
      <c r="E31" s="27">
        <f>+17.8</f>
        <v>17.8</v>
      </c>
      <c r="F31" s="28">
        <v>114.4</v>
      </c>
      <c r="G31" s="29">
        <v>47.0</v>
      </c>
      <c r="H31" s="26">
        <v>96.6</v>
      </c>
      <c r="I31" s="29">
        <v>23.0</v>
      </c>
      <c r="J31" s="28">
        <v>72.8</v>
      </c>
      <c r="K31" s="29">
        <v>9.0</v>
      </c>
      <c r="L31" s="28">
        <v>-0.013</v>
      </c>
      <c r="M31" s="29">
        <v>220.0</v>
      </c>
      <c r="N31" s="30">
        <f>+7.04</f>
        <v>7.04</v>
      </c>
      <c r="O31" s="29">
        <v>85.0</v>
      </c>
      <c r="P31" s="26">
        <v>110.2</v>
      </c>
      <c r="Q31" s="29">
        <v>83.0</v>
      </c>
      <c r="R31" s="26">
        <v>103.2</v>
      </c>
      <c r="S31" s="29">
        <v>88.0</v>
      </c>
      <c r="T31" s="28">
        <v>-0.5</v>
      </c>
      <c r="U31" s="29">
        <v>210.0</v>
      </c>
    </row>
    <row r="32">
      <c r="A32" s="31">
        <v>30.0</v>
      </c>
      <c r="B32" s="32" t="s">
        <v>95</v>
      </c>
      <c r="C32" s="33" t="s">
        <v>96</v>
      </c>
      <c r="D32" s="31" t="s">
        <v>64</v>
      </c>
      <c r="E32" s="34">
        <f>+17.55</f>
        <v>17.55</v>
      </c>
      <c r="F32" s="35">
        <v>116.2</v>
      </c>
      <c r="G32" s="36">
        <v>32.0</v>
      </c>
      <c r="H32" s="31">
        <v>98.7</v>
      </c>
      <c r="I32" s="36">
        <v>43.0</v>
      </c>
      <c r="J32" s="35">
        <v>69.0</v>
      </c>
      <c r="K32" s="36">
        <v>95.0</v>
      </c>
      <c r="L32" s="37">
        <f>+0.01</f>
        <v>0.01</v>
      </c>
      <c r="M32" s="36">
        <v>161.0</v>
      </c>
      <c r="N32" s="37">
        <f>+9.39</f>
        <v>9.39</v>
      </c>
      <c r="O32" s="36">
        <v>62.0</v>
      </c>
      <c r="P32" s="31">
        <v>110.9</v>
      </c>
      <c r="Q32" s="36">
        <v>64.0</v>
      </c>
      <c r="R32" s="31">
        <v>101.6</v>
      </c>
      <c r="S32" s="36">
        <v>56.0</v>
      </c>
      <c r="T32" s="35">
        <v>-5.41</v>
      </c>
      <c r="U32" s="36">
        <v>322.0</v>
      </c>
    </row>
    <row r="33">
      <c r="A33" s="26">
        <v>31.0</v>
      </c>
      <c r="B33" s="15" t="s">
        <v>97</v>
      </c>
      <c r="C33" s="16" t="s">
        <v>98</v>
      </c>
      <c r="D33" s="26" t="s">
        <v>64</v>
      </c>
      <c r="E33" s="27">
        <f>+17.32</f>
        <v>17.32</v>
      </c>
      <c r="F33" s="28">
        <v>117.4</v>
      </c>
      <c r="G33" s="29">
        <v>27.0</v>
      </c>
      <c r="H33" s="26">
        <v>100.1</v>
      </c>
      <c r="I33" s="29">
        <v>65.0</v>
      </c>
      <c r="J33" s="28">
        <v>66.8</v>
      </c>
      <c r="K33" s="29">
        <v>232.0</v>
      </c>
      <c r="L33" s="30">
        <f>+0.034</f>
        <v>0.034</v>
      </c>
      <c r="M33" s="29">
        <v>102.0</v>
      </c>
      <c r="N33" s="30">
        <f>+10.24</f>
        <v>10.24</v>
      </c>
      <c r="O33" s="29">
        <v>44.0</v>
      </c>
      <c r="P33" s="26">
        <v>111.1</v>
      </c>
      <c r="Q33" s="29">
        <v>58.0</v>
      </c>
      <c r="R33" s="26">
        <v>100.9</v>
      </c>
      <c r="S33" s="29">
        <v>28.0</v>
      </c>
      <c r="T33" s="28">
        <v>-2.63</v>
      </c>
      <c r="U33" s="29">
        <v>266.0</v>
      </c>
    </row>
    <row r="34">
      <c r="A34" s="21">
        <v>32.0</v>
      </c>
      <c r="B34" s="15" t="s">
        <v>99</v>
      </c>
      <c r="C34" s="16" t="s">
        <v>100</v>
      </c>
      <c r="D34" s="21" t="s">
        <v>101</v>
      </c>
      <c r="E34" s="22">
        <f>+17.3</f>
        <v>17.3</v>
      </c>
      <c r="F34" s="23">
        <v>117.7</v>
      </c>
      <c r="G34" s="24">
        <v>24.0</v>
      </c>
      <c r="H34" s="21">
        <v>100.4</v>
      </c>
      <c r="I34" s="24">
        <v>67.0</v>
      </c>
      <c r="J34" s="23">
        <v>64.5</v>
      </c>
      <c r="K34" s="24">
        <v>334.0</v>
      </c>
      <c r="L34" s="25">
        <f>+0.007</f>
        <v>0.007</v>
      </c>
      <c r="M34" s="24">
        <v>170.0</v>
      </c>
      <c r="N34" s="25">
        <f>+6.88</f>
        <v>6.88</v>
      </c>
      <c r="O34" s="24">
        <v>86.0</v>
      </c>
      <c r="P34" s="21">
        <v>109.3</v>
      </c>
      <c r="Q34" s="24">
        <v>94.0</v>
      </c>
      <c r="R34" s="21">
        <v>102.4</v>
      </c>
      <c r="S34" s="24">
        <v>74.0</v>
      </c>
      <c r="T34" s="25">
        <f>+6.97</f>
        <v>6.97</v>
      </c>
      <c r="U34" s="24">
        <v>36.0</v>
      </c>
    </row>
    <row r="35">
      <c r="A35" s="26">
        <v>33.0</v>
      </c>
      <c r="B35" s="15" t="s">
        <v>102</v>
      </c>
      <c r="C35" s="16" t="s">
        <v>103</v>
      </c>
      <c r="D35" s="26" t="s">
        <v>104</v>
      </c>
      <c r="E35" s="27">
        <f>+17.18</f>
        <v>17.18</v>
      </c>
      <c r="F35" s="28">
        <v>116.5</v>
      </c>
      <c r="G35" s="29">
        <v>30.0</v>
      </c>
      <c r="H35" s="26">
        <v>99.3</v>
      </c>
      <c r="I35" s="29">
        <v>48.0</v>
      </c>
      <c r="J35" s="28">
        <v>65.6</v>
      </c>
      <c r="K35" s="29">
        <v>295.0</v>
      </c>
      <c r="L35" s="30">
        <f>+0.005</f>
        <v>0.005</v>
      </c>
      <c r="M35" s="29">
        <v>171.0</v>
      </c>
      <c r="N35" s="30">
        <f>+8.43</f>
        <v>8.43</v>
      </c>
      <c r="O35" s="29">
        <v>79.0</v>
      </c>
      <c r="P35" s="26">
        <v>110.9</v>
      </c>
      <c r="Q35" s="29">
        <v>67.0</v>
      </c>
      <c r="R35" s="26">
        <v>102.4</v>
      </c>
      <c r="S35" s="29">
        <v>76.0</v>
      </c>
      <c r="T35" s="28">
        <v>-6.46</v>
      </c>
      <c r="U35" s="29">
        <v>340.0</v>
      </c>
    </row>
    <row r="36">
      <c r="A36" s="21">
        <v>34.0</v>
      </c>
      <c r="B36" s="15" t="s">
        <v>105</v>
      </c>
      <c r="C36" s="16" t="s">
        <v>106</v>
      </c>
      <c r="D36" s="21" t="s">
        <v>91</v>
      </c>
      <c r="E36" s="22">
        <f>+17.07</f>
        <v>17.07</v>
      </c>
      <c r="F36" s="23">
        <v>113.0</v>
      </c>
      <c r="G36" s="24">
        <v>73.0</v>
      </c>
      <c r="H36" s="21">
        <v>95.9</v>
      </c>
      <c r="I36" s="24">
        <v>22.0</v>
      </c>
      <c r="J36" s="23">
        <v>67.1</v>
      </c>
      <c r="K36" s="24">
        <v>210.0</v>
      </c>
      <c r="L36" s="23">
        <v>-0.037</v>
      </c>
      <c r="M36" s="24">
        <v>278.0</v>
      </c>
      <c r="N36" s="25">
        <f>+11.36</f>
        <v>11.36</v>
      </c>
      <c r="O36" s="24">
        <v>26.0</v>
      </c>
      <c r="P36" s="21">
        <v>112.7</v>
      </c>
      <c r="Q36" s="24">
        <v>20.0</v>
      </c>
      <c r="R36" s="21">
        <v>101.3</v>
      </c>
      <c r="S36" s="24">
        <v>43.0</v>
      </c>
      <c r="T36" s="25">
        <f>+0.68</f>
        <v>0.68</v>
      </c>
      <c r="U36" s="24">
        <v>168.0</v>
      </c>
    </row>
    <row r="37">
      <c r="A37" s="26">
        <v>35.0</v>
      </c>
      <c r="B37" s="15" t="s">
        <v>107</v>
      </c>
      <c r="C37" s="16" t="s">
        <v>108</v>
      </c>
      <c r="D37" s="26" t="s">
        <v>109</v>
      </c>
      <c r="E37" s="27">
        <f t="shared" ref="E37:E38" si="2">+17.02</f>
        <v>17.02</v>
      </c>
      <c r="F37" s="28">
        <v>117.5</v>
      </c>
      <c r="G37" s="29">
        <v>26.0</v>
      </c>
      <c r="H37" s="26">
        <v>100.5</v>
      </c>
      <c r="I37" s="29">
        <v>68.0</v>
      </c>
      <c r="J37" s="28">
        <v>66.6</v>
      </c>
      <c r="K37" s="29">
        <v>246.0</v>
      </c>
      <c r="L37" s="28">
        <v>-0.033</v>
      </c>
      <c r="M37" s="29">
        <v>268.0</v>
      </c>
      <c r="N37" s="30">
        <f>+12.06</f>
        <v>12.06</v>
      </c>
      <c r="O37" s="29">
        <v>15.0</v>
      </c>
      <c r="P37" s="26">
        <v>112.9</v>
      </c>
      <c r="Q37" s="29">
        <v>14.0</v>
      </c>
      <c r="R37" s="26">
        <v>100.9</v>
      </c>
      <c r="S37" s="29">
        <v>27.0</v>
      </c>
      <c r="T37" s="30">
        <f>+5.1</f>
        <v>5.1</v>
      </c>
      <c r="U37" s="29">
        <v>64.0</v>
      </c>
    </row>
    <row r="38">
      <c r="A38" s="21">
        <v>36.0</v>
      </c>
      <c r="B38" s="15" t="s">
        <v>110</v>
      </c>
      <c r="C38" s="16" t="s">
        <v>111</v>
      </c>
      <c r="D38" s="21" t="s">
        <v>112</v>
      </c>
      <c r="E38" s="22">
        <f t="shared" si="2"/>
        <v>17.02</v>
      </c>
      <c r="F38" s="23">
        <v>114.0</v>
      </c>
      <c r="G38" s="24">
        <v>51.0</v>
      </c>
      <c r="H38" s="21">
        <v>97.0</v>
      </c>
      <c r="I38" s="24">
        <v>27.0</v>
      </c>
      <c r="J38" s="23">
        <v>66.1</v>
      </c>
      <c r="K38" s="24">
        <v>269.0</v>
      </c>
      <c r="L38" s="23">
        <v>-0.026</v>
      </c>
      <c r="M38" s="24">
        <v>259.0</v>
      </c>
      <c r="N38" s="25">
        <f>+9.3</f>
        <v>9.3</v>
      </c>
      <c r="O38" s="24">
        <v>65.0</v>
      </c>
      <c r="P38" s="21">
        <v>111.9</v>
      </c>
      <c r="Q38" s="24">
        <v>36.0</v>
      </c>
      <c r="R38" s="21">
        <v>102.6</v>
      </c>
      <c r="S38" s="24">
        <v>83.0</v>
      </c>
      <c r="T38" s="25">
        <f>+5.84</f>
        <v>5.84</v>
      </c>
      <c r="U38" s="24">
        <v>51.0</v>
      </c>
    </row>
    <row r="39">
      <c r="A39" s="26">
        <v>37.0</v>
      </c>
      <c r="B39" s="15" t="s">
        <v>113</v>
      </c>
      <c r="C39" s="16" t="s">
        <v>114</v>
      </c>
      <c r="D39" s="26" t="s">
        <v>115</v>
      </c>
      <c r="E39" s="27">
        <f>+16.78</f>
        <v>16.78</v>
      </c>
      <c r="F39" s="28">
        <v>111.4</v>
      </c>
      <c r="G39" s="29">
        <v>87.0</v>
      </c>
      <c r="H39" s="26">
        <v>94.6</v>
      </c>
      <c r="I39" s="29">
        <v>13.0</v>
      </c>
      <c r="J39" s="28">
        <v>63.6</v>
      </c>
      <c r="K39" s="29">
        <v>347.0</v>
      </c>
      <c r="L39" s="28">
        <v>-0.093</v>
      </c>
      <c r="M39" s="29">
        <v>351.0</v>
      </c>
      <c r="N39" s="30">
        <f>+11.59</f>
        <v>11.59</v>
      </c>
      <c r="O39" s="29">
        <v>22.0</v>
      </c>
      <c r="P39" s="26">
        <v>112.7</v>
      </c>
      <c r="Q39" s="29">
        <v>18.0</v>
      </c>
      <c r="R39" s="26">
        <v>101.1</v>
      </c>
      <c r="S39" s="29">
        <v>33.0</v>
      </c>
      <c r="T39" s="30">
        <f>+5.89</f>
        <v>5.89</v>
      </c>
      <c r="U39" s="29">
        <v>50.0</v>
      </c>
    </row>
    <row r="40">
      <c r="A40" s="21">
        <v>38.0</v>
      </c>
      <c r="B40" s="15" t="s">
        <v>116</v>
      </c>
      <c r="C40" s="16" t="s">
        <v>117</v>
      </c>
      <c r="D40" s="21" t="s">
        <v>118</v>
      </c>
      <c r="E40" s="22">
        <f>+16.69</f>
        <v>16.69</v>
      </c>
      <c r="F40" s="23">
        <v>119.9</v>
      </c>
      <c r="G40" s="24">
        <v>13.0</v>
      </c>
      <c r="H40" s="21">
        <v>103.2</v>
      </c>
      <c r="I40" s="24">
        <v>114.0</v>
      </c>
      <c r="J40" s="23">
        <v>70.9</v>
      </c>
      <c r="K40" s="24">
        <v>35.0</v>
      </c>
      <c r="L40" s="25">
        <f>+0.032</f>
        <v>0.032</v>
      </c>
      <c r="M40" s="24">
        <v>110.0</v>
      </c>
      <c r="N40" s="25">
        <f>+3.07</f>
        <v>3.07</v>
      </c>
      <c r="O40" s="24">
        <v>109.0</v>
      </c>
      <c r="P40" s="21">
        <v>107.7</v>
      </c>
      <c r="Q40" s="24">
        <v>117.0</v>
      </c>
      <c r="R40" s="21">
        <v>104.7</v>
      </c>
      <c r="S40" s="24">
        <v>119.0</v>
      </c>
      <c r="T40" s="23">
        <v>-4.4</v>
      </c>
      <c r="U40" s="24">
        <v>305.0</v>
      </c>
    </row>
    <row r="41">
      <c r="A41" s="26">
        <v>39.0</v>
      </c>
      <c r="B41" s="15" t="s">
        <v>119</v>
      </c>
      <c r="C41" s="16" t="s">
        <v>120</v>
      </c>
      <c r="D41" s="26" t="s">
        <v>121</v>
      </c>
      <c r="E41" s="27">
        <f>+16.47</f>
        <v>16.47</v>
      </c>
      <c r="F41" s="28">
        <v>112.0</v>
      </c>
      <c r="G41" s="29">
        <v>79.0</v>
      </c>
      <c r="H41" s="26">
        <v>95.5</v>
      </c>
      <c r="I41" s="29">
        <v>19.0</v>
      </c>
      <c r="J41" s="28">
        <v>67.5</v>
      </c>
      <c r="K41" s="29">
        <v>181.0</v>
      </c>
      <c r="L41" s="28">
        <v>-0.073</v>
      </c>
      <c r="M41" s="29">
        <v>333.0</v>
      </c>
      <c r="N41" s="30">
        <f>+9.25</f>
        <v>9.25</v>
      </c>
      <c r="O41" s="29">
        <v>67.0</v>
      </c>
      <c r="P41" s="26">
        <v>110.8</v>
      </c>
      <c r="Q41" s="29">
        <v>69.0</v>
      </c>
      <c r="R41" s="26">
        <v>101.5</v>
      </c>
      <c r="S41" s="29">
        <v>53.0</v>
      </c>
      <c r="T41" s="28">
        <v>-4.17</v>
      </c>
      <c r="U41" s="29">
        <v>297.0</v>
      </c>
    </row>
    <row r="42">
      <c r="A42" s="31">
        <v>40.0</v>
      </c>
      <c r="B42" s="32" t="s">
        <v>122</v>
      </c>
      <c r="C42" s="33" t="s">
        <v>123</v>
      </c>
      <c r="D42" s="31" t="s">
        <v>70</v>
      </c>
      <c r="E42" s="34">
        <f>+16.41</f>
        <v>16.41</v>
      </c>
      <c r="F42" s="35">
        <v>115.0</v>
      </c>
      <c r="G42" s="36">
        <v>41.0</v>
      </c>
      <c r="H42" s="31">
        <v>98.6</v>
      </c>
      <c r="I42" s="36">
        <v>42.0</v>
      </c>
      <c r="J42" s="35">
        <v>66.8</v>
      </c>
      <c r="K42" s="36">
        <v>235.0</v>
      </c>
      <c r="L42" s="37">
        <f>+0.043</f>
        <v>0.043</v>
      </c>
      <c r="M42" s="36">
        <v>84.0</v>
      </c>
      <c r="N42" s="37">
        <f>+5.79</f>
        <v>5.79</v>
      </c>
      <c r="O42" s="36">
        <v>90.0</v>
      </c>
      <c r="P42" s="31">
        <v>109.7</v>
      </c>
      <c r="Q42" s="36">
        <v>89.0</v>
      </c>
      <c r="R42" s="31">
        <v>103.9</v>
      </c>
      <c r="S42" s="36">
        <v>95.0</v>
      </c>
      <c r="T42" s="35">
        <v>-1.43</v>
      </c>
      <c r="U42" s="36">
        <v>239.0</v>
      </c>
    </row>
    <row r="43">
      <c r="A43" s="1"/>
      <c r="B43" s="1"/>
      <c r="C43" s="1"/>
      <c r="D43" s="2"/>
      <c r="E43" s="2"/>
      <c r="F43" s="3"/>
      <c r="J43" s="3"/>
      <c r="L43" s="3"/>
      <c r="N43" s="4" t="s">
        <v>0</v>
      </c>
      <c r="T43" s="4" t="s">
        <v>1</v>
      </c>
    </row>
    <row r="44">
      <c r="A44" s="5" t="s">
        <v>124</v>
      </c>
      <c r="B44" s="6" t="s">
        <v>125</v>
      </c>
      <c r="C44" s="7" t="s">
        <v>4</v>
      </c>
      <c r="D44" s="5" t="s">
        <v>126</v>
      </c>
      <c r="E44" s="5" t="s">
        <v>127</v>
      </c>
      <c r="F44" s="10" t="s">
        <v>128</v>
      </c>
      <c r="H44" s="5" t="s">
        <v>129</v>
      </c>
      <c r="I44" s="2"/>
      <c r="J44" s="10" t="s">
        <v>130</v>
      </c>
      <c r="L44" s="10" t="s">
        <v>131</v>
      </c>
      <c r="N44" s="10" t="s">
        <v>132</v>
      </c>
      <c r="P44" s="5" t="s">
        <v>133</v>
      </c>
      <c r="Q44" s="2"/>
      <c r="R44" s="5" t="s">
        <v>134</v>
      </c>
      <c r="S44" s="2"/>
      <c r="T44" s="10" t="s">
        <v>135</v>
      </c>
    </row>
    <row r="45">
      <c r="A45" s="26">
        <v>41.0</v>
      </c>
      <c r="B45" s="15" t="s">
        <v>136</v>
      </c>
      <c r="C45" s="16" t="s">
        <v>137</v>
      </c>
      <c r="D45" s="26" t="s">
        <v>138</v>
      </c>
      <c r="E45" s="27">
        <f>+16.41</f>
        <v>16.41</v>
      </c>
      <c r="F45" s="28">
        <v>115.9</v>
      </c>
      <c r="G45" s="29">
        <v>35.0</v>
      </c>
      <c r="H45" s="26">
        <v>99.5</v>
      </c>
      <c r="I45" s="29">
        <v>54.0</v>
      </c>
      <c r="J45" s="28">
        <v>64.2</v>
      </c>
      <c r="K45" s="29">
        <v>338.0</v>
      </c>
      <c r="L45" s="30">
        <f>+0.015</f>
        <v>0.015</v>
      </c>
      <c r="M45" s="29">
        <v>148.0</v>
      </c>
      <c r="N45" s="30">
        <f>+10.71</f>
        <v>10.71</v>
      </c>
      <c r="O45" s="29">
        <v>37.0</v>
      </c>
      <c r="P45" s="26">
        <v>112.4</v>
      </c>
      <c r="Q45" s="29">
        <v>29.0</v>
      </c>
      <c r="R45" s="26">
        <v>101.7</v>
      </c>
      <c r="S45" s="29">
        <v>62.0</v>
      </c>
      <c r="T45" s="28">
        <v>-7.35</v>
      </c>
      <c r="U45" s="29">
        <v>352.0</v>
      </c>
    </row>
    <row r="46">
      <c r="A46" s="21">
        <v>42.0</v>
      </c>
      <c r="B46" s="15" t="s">
        <v>139</v>
      </c>
      <c r="C46" s="16" t="s">
        <v>140</v>
      </c>
      <c r="D46" s="21" t="s">
        <v>44</v>
      </c>
      <c r="E46" s="22">
        <f>+16.33</f>
        <v>16.33</v>
      </c>
      <c r="F46" s="23">
        <v>113.2</v>
      </c>
      <c r="G46" s="24">
        <v>66.0</v>
      </c>
      <c r="H46" s="21">
        <v>96.9</v>
      </c>
      <c r="I46" s="24">
        <v>26.0</v>
      </c>
      <c r="J46" s="23">
        <v>64.8</v>
      </c>
      <c r="K46" s="24">
        <v>322.0</v>
      </c>
      <c r="L46" s="25">
        <f>+0.024</f>
        <v>0.024</v>
      </c>
      <c r="M46" s="24">
        <v>121.0</v>
      </c>
      <c r="N46" s="25">
        <f>+7.91</f>
        <v>7.91</v>
      </c>
      <c r="O46" s="24">
        <v>84.0</v>
      </c>
      <c r="P46" s="21">
        <v>110.3</v>
      </c>
      <c r="Q46" s="24">
        <v>81.0</v>
      </c>
      <c r="R46" s="21">
        <v>102.4</v>
      </c>
      <c r="S46" s="24">
        <v>75.0</v>
      </c>
      <c r="T46" s="23">
        <v>-5.27</v>
      </c>
      <c r="U46" s="24">
        <v>317.0</v>
      </c>
    </row>
    <row r="47">
      <c r="A47" s="26">
        <v>43.0</v>
      </c>
      <c r="B47" s="15" t="s">
        <v>141</v>
      </c>
      <c r="C47" s="16" t="s">
        <v>142</v>
      </c>
      <c r="D47" s="26" t="s">
        <v>84</v>
      </c>
      <c r="E47" s="27">
        <f>+16.04</f>
        <v>16.04</v>
      </c>
      <c r="F47" s="28">
        <v>114.7</v>
      </c>
      <c r="G47" s="29">
        <v>43.0</v>
      </c>
      <c r="H47" s="26">
        <v>98.7</v>
      </c>
      <c r="I47" s="29">
        <v>44.0</v>
      </c>
      <c r="J47" s="28">
        <v>69.8</v>
      </c>
      <c r="K47" s="29">
        <v>64.0</v>
      </c>
      <c r="L47" s="28">
        <v>-0.049</v>
      </c>
      <c r="M47" s="29">
        <v>298.0</v>
      </c>
      <c r="N47" s="30">
        <f>+9.71</f>
        <v>9.71</v>
      </c>
      <c r="O47" s="29">
        <v>55.0</v>
      </c>
      <c r="P47" s="26">
        <v>110.6</v>
      </c>
      <c r="Q47" s="29">
        <v>74.0</v>
      </c>
      <c r="R47" s="26">
        <v>100.9</v>
      </c>
      <c r="S47" s="29">
        <v>29.0</v>
      </c>
      <c r="T47" s="28">
        <v>-8.39</v>
      </c>
      <c r="U47" s="29">
        <v>357.0</v>
      </c>
    </row>
    <row r="48">
      <c r="A48" s="21">
        <v>44.0</v>
      </c>
      <c r="B48" s="15" t="s">
        <v>143</v>
      </c>
      <c r="C48" s="16" t="s">
        <v>144</v>
      </c>
      <c r="D48" s="21" t="s">
        <v>104</v>
      </c>
      <c r="E48" s="22">
        <f>+15.97</f>
        <v>15.97</v>
      </c>
      <c r="F48" s="23">
        <v>113.4</v>
      </c>
      <c r="G48" s="24">
        <v>63.0</v>
      </c>
      <c r="H48" s="21">
        <v>97.4</v>
      </c>
      <c r="I48" s="24">
        <v>29.0</v>
      </c>
      <c r="J48" s="23">
        <v>66.6</v>
      </c>
      <c r="K48" s="24">
        <v>243.0</v>
      </c>
      <c r="L48" s="23">
        <v>-0.002</v>
      </c>
      <c r="M48" s="24">
        <v>191.0</v>
      </c>
      <c r="N48" s="25">
        <f>+9.55</f>
        <v>9.55</v>
      </c>
      <c r="O48" s="24">
        <v>58.0</v>
      </c>
      <c r="P48" s="21">
        <v>111.1</v>
      </c>
      <c r="Q48" s="24">
        <v>61.0</v>
      </c>
      <c r="R48" s="21">
        <v>101.5</v>
      </c>
      <c r="S48" s="24">
        <v>54.0</v>
      </c>
      <c r="T48" s="25">
        <f>+8.08</f>
        <v>8.08</v>
      </c>
      <c r="U48" s="24">
        <v>24.0</v>
      </c>
    </row>
    <row r="49">
      <c r="A49" s="26">
        <v>45.0</v>
      </c>
      <c r="B49" s="15" t="s">
        <v>145</v>
      </c>
      <c r="C49" s="16" t="s">
        <v>146</v>
      </c>
      <c r="D49" s="26" t="s">
        <v>147</v>
      </c>
      <c r="E49" s="27">
        <f>+15.9</f>
        <v>15.9</v>
      </c>
      <c r="F49" s="28">
        <v>114.3</v>
      </c>
      <c r="G49" s="29">
        <v>48.0</v>
      </c>
      <c r="H49" s="26">
        <v>98.4</v>
      </c>
      <c r="I49" s="29">
        <v>38.0</v>
      </c>
      <c r="J49" s="28">
        <v>68.0</v>
      </c>
      <c r="K49" s="29">
        <v>150.0</v>
      </c>
      <c r="L49" s="30">
        <f>+0.014</f>
        <v>0.014</v>
      </c>
      <c r="M49" s="29">
        <v>151.0</v>
      </c>
      <c r="N49" s="30">
        <f>+11.33</f>
        <v>11.33</v>
      </c>
      <c r="O49" s="29">
        <v>27.0</v>
      </c>
      <c r="P49" s="26">
        <v>112.2</v>
      </c>
      <c r="Q49" s="29">
        <v>35.0</v>
      </c>
      <c r="R49" s="26">
        <v>100.8</v>
      </c>
      <c r="S49" s="29">
        <v>25.0</v>
      </c>
      <c r="T49" s="28">
        <v>-4.99</v>
      </c>
      <c r="U49" s="29">
        <v>313.0</v>
      </c>
    </row>
    <row r="50">
      <c r="A50" s="21">
        <v>46.0</v>
      </c>
      <c r="B50" s="15" t="s">
        <v>148</v>
      </c>
      <c r="C50" s="16" t="s">
        <v>149</v>
      </c>
      <c r="D50" s="21" t="s">
        <v>150</v>
      </c>
      <c r="E50" s="22">
        <f>+15.77</f>
        <v>15.77</v>
      </c>
      <c r="F50" s="23">
        <v>114.1</v>
      </c>
      <c r="G50" s="24">
        <v>50.0</v>
      </c>
      <c r="H50" s="21">
        <v>98.4</v>
      </c>
      <c r="I50" s="24">
        <v>36.0</v>
      </c>
      <c r="J50" s="23">
        <v>67.1</v>
      </c>
      <c r="K50" s="24">
        <v>207.0</v>
      </c>
      <c r="L50" s="23">
        <v>-0.024</v>
      </c>
      <c r="M50" s="24">
        <v>253.0</v>
      </c>
      <c r="N50" s="25">
        <f>+9.96</f>
        <v>9.96</v>
      </c>
      <c r="O50" s="24">
        <v>47.0</v>
      </c>
      <c r="P50" s="21">
        <v>110.4</v>
      </c>
      <c r="Q50" s="24">
        <v>78.0</v>
      </c>
      <c r="R50" s="21">
        <v>100.5</v>
      </c>
      <c r="S50" s="24">
        <v>17.0</v>
      </c>
      <c r="T50" s="23">
        <v>-5.38</v>
      </c>
      <c r="U50" s="24">
        <v>320.0</v>
      </c>
    </row>
    <row r="51">
      <c r="A51" s="26">
        <v>47.0</v>
      </c>
      <c r="B51" s="15" t="s">
        <v>151</v>
      </c>
      <c r="C51" s="16" t="s">
        <v>152</v>
      </c>
      <c r="D51" s="26" t="s">
        <v>153</v>
      </c>
      <c r="E51" s="27">
        <f>+15.74</f>
        <v>15.74</v>
      </c>
      <c r="F51" s="28">
        <v>117.8</v>
      </c>
      <c r="G51" s="29">
        <v>22.0</v>
      </c>
      <c r="H51" s="26">
        <v>102.1</v>
      </c>
      <c r="I51" s="29">
        <v>96.0</v>
      </c>
      <c r="J51" s="28">
        <v>68.3</v>
      </c>
      <c r="K51" s="29">
        <v>133.0</v>
      </c>
      <c r="L51" s="28">
        <v>-0.015</v>
      </c>
      <c r="M51" s="29">
        <v>226.0</v>
      </c>
      <c r="N51" s="30">
        <f>+5.56</f>
        <v>5.56</v>
      </c>
      <c r="O51" s="29">
        <v>93.0</v>
      </c>
      <c r="P51" s="26">
        <v>109.6</v>
      </c>
      <c r="Q51" s="29">
        <v>91.0</v>
      </c>
      <c r="R51" s="26">
        <v>104.1</v>
      </c>
      <c r="S51" s="29">
        <v>99.0</v>
      </c>
      <c r="T51" s="30">
        <f>+6.63</f>
        <v>6.63</v>
      </c>
      <c r="U51" s="29">
        <v>40.0</v>
      </c>
    </row>
    <row r="52">
      <c r="A52" s="21">
        <v>48.0</v>
      </c>
      <c r="B52" s="15" t="s">
        <v>154</v>
      </c>
      <c r="C52" s="16" t="s">
        <v>155</v>
      </c>
      <c r="D52" s="21" t="s">
        <v>121</v>
      </c>
      <c r="E52" s="22">
        <f>+15.41</f>
        <v>15.41</v>
      </c>
      <c r="F52" s="23">
        <v>114.6</v>
      </c>
      <c r="G52" s="24">
        <v>45.0</v>
      </c>
      <c r="H52" s="21">
        <v>99.2</v>
      </c>
      <c r="I52" s="24">
        <v>47.0</v>
      </c>
      <c r="J52" s="23">
        <v>70.0</v>
      </c>
      <c r="K52" s="24">
        <v>57.0</v>
      </c>
      <c r="L52" s="23">
        <v>-0.024</v>
      </c>
      <c r="M52" s="24">
        <v>254.0</v>
      </c>
      <c r="N52" s="25">
        <f>+10.29</f>
        <v>10.29</v>
      </c>
      <c r="O52" s="24">
        <v>42.0</v>
      </c>
      <c r="P52" s="21">
        <v>111.7</v>
      </c>
      <c r="Q52" s="24">
        <v>42.0</v>
      </c>
      <c r="R52" s="21">
        <v>101.4</v>
      </c>
      <c r="S52" s="24">
        <v>48.0</v>
      </c>
      <c r="T52" s="25">
        <f>+5.52</f>
        <v>5.52</v>
      </c>
      <c r="U52" s="24">
        <v>55.0</v>
      </c>
    </row>
    <row r="53">
      <c r="A53" s="26">
        <v>49.0</v>
      </c>
      <c r="B53" s="15" t="s">
        <v>156</v>
      </c>
      <c r="C53" s="16" t="s">
        <v>157</v>
      </c>
      <c r="D53" s="26" t="s">
        <v>61</v>
      </c>
      <c r="E53" s="27">
        <f>+15.19</f>
        <v>15.19</v>
      </c>
      <c r="F53" s="28">
        <v>115.2</v>
      </c>
      <c r="G53" s="29">
        <v>39.0</v>
      </c>
      <c r="H53" s="26">
        <v>100.0</v>
      </c>
      <c r="I53" s="29">
        <v>63.0</v>
      </c>
      <c r="J53" s="28">
        <v>66.5</v>
      </c>
      <c r="K53" s="29">
        <v>251.0</v>
      </c>
      <c r="L53" s="28">
        <v>-0.024</v>
      </c>
      <c r="M53" s="29">
        <v>255.0</v>
      </c>
      <c r="N53" s="30">
        <f>+9.68</f>
        <v>9.68</v>
      </c>
      <c r="O53" s="29">
        <v>56.0</v>
      </c>
      <c r="P53" s="26">
        <v>111.6</v>
      </c>
      <c r="Q53" s="29">
        <v>46.0</v>
      </c>
      <c r="R53" s="26">
        <v>101.9</v>
      </c>
      <c r="S53" s="29">
        <v>67.0</v>
      </c>
      <c r="T53" s="28">
        <v>-1.94</v>
      </c>
      <c r="U53" s="29">
        <v>254.0</v>
      </c>
    </row>
    <row r="54">
      <c r="A54" s="31">
        <v>50.0</v>
      </c>
      <c r="B54" s="32" t="s">
        <v>158</v>
      </c>
      <c r="C54" s="33" t="s">
        <v>159</v>
      </c>
      <c r="D54" s="31" t="s">
        <v>52</v>
      </c>
      <c r="E54" s="34">
        <f>+15.03</f>
        <v>15.03</v>
      </c>
      <c r="F54" s="35">
        <v>113.1</v>
      </c>
      <c r="G54" s="36">
        <v>70.0</v>
      </c>
      <c r="H54" s="31">
        <v>98.1</v>
      </c>
      <c r="I54" s="36">
        <v>33.0</v>
      </c>
      <c r="J54" s="35">
        <v>66.8</v>
      </c>
      <c r="K54" s="36">
        <v>231.0</v>
      </c>
      <c r="L54" s="37">
        <f>+0.087</f>
        <v>0.087</v>
      </c>
      <c r="M54" s="36">
        <v>20.0</v>
      </c>
      <c r="N54" s="37">
        <f>+10.1</f>
        <v>10.1</v>
      </c>
      <c r="O54" s="36">
        <v>45.0</v>
      </c>
      <c r="P54" s="31">
        <v>111.8</v>
      </c>
      <c r="Q54" s="36">
        <v>39.0</v>
      </c>
      <c r="R54" s="31">
        <v>101.7</v>
      </c>
      <c r="S54" s="36">
        <v>63.0</v>
      </c>
      <c r="T54" s="35">
        <v>-1.47</v>
      </c>
      <c r="U54" s="36">
        <v>242.0</v>
      </c>
    </row>
    <row r="55">
      <c r="A55" s="26">
        <v>51.0</v>
      </c>
      <c r="B55" s="15" t="s">
        <v>160</v>
      </c>
      <c r="C55" s="16" t="s">
        <v>161</v>
      </c>
      <c r="D55" s="26" t="s">
        <v>162</v>
      </c>
      <c r="E55" s="27">
        <f>+14.89</f>
        <v>14.89</v>
      </c>
      <c r="F55" s="28">
        <v>116.0</v>
      </c>
      <c r="G55" s="29">
        <v>34.0</v>
      </c>
      <c r="H55" s="26">
        <v>101.1</v>
      </c>
      <c r="I55" s="29">
        <v>82.0</v>
      </c>
      <c r="J55" s="28">
        <v>68.9</v>
      </c>
      <c r="K55" s="29">
        <v>99.0</v>
      </c>
      <c r="L55" s="30">
        <f>+0.128</f>
        <v>0.128</v>
      </c>
      <c r="M55" s="29">
        <v>8.0</v>
      </c>
      <c r="N55" s="30">
        <f>+6.83</f>
        <v>6.83</v>
      </c>
      <c r="O55" s="29">
        <v>87.0</v>
      </c>
      <c r="P55" s="26">
        <v>109.8</v>
      </c>
      <c r="Q55" s="29">
        <v>88.0</v>
      </c>
      <c r="R55" s="26">
        <v>103.0</v>
      </c>
      <c r="S55" s="29">
        <v>86.0</v>
      </c>
      <c r="T55" s="30">
        <f>+1.78</f>
        <v>1.78</v>
      </c>
      <c r="U55" s="29">
        <v>135.0</v>
      </c>
    </row>
    <row r="56">
      <c r="A56" s="21">
        <v>52.0</v>
      </c>
      <c r="B56" s="15" t="s">
        <v>163</v>
      </c>
      <c r="C56" s="16" t="s">
        <v>164</v>
      </c>
      <c r="D56" s="21" t="s">
        <v>165</v>
      </c>
      <c r="E56" s="22">
        <f>+14.84</f>
        <v>14.84</v>
      </c>
      <c r="F56" s="23">
        <v>112.9</v>
      </c>
      <c r="G56" s="24">
        <v>74.0</v>
      </c>
      <c r="H56" s="21">
        <v>98.1</v>
      </c>
      <c r="I56" s="24">
        <v>32.0</v>
      </c>
      <c r="J56" s="23">
        <v>68.5</v>
      </c>
      <c r="K56" s="24">
        <v>126.0</v>
      </c>
      <c r="L56" s="25">
        <f>+0.023</f>
        <v>0.023</v>
      </c>
      <c r="M56" s="24">
        <v>125.0</v>
      </c>
      <c r="N56" s="25">
        <f>+0.17</f>
        <v>0.17</v>
      </c>
      <c r="O56" s="24">
        <v>157.0</v>
      </c>
      <c r="P56" s="21">
        <v>105.2</v>
      </c>
      <c r="Q56" s="24">
        <v>217.0</v>
      </c>
      <c r="R56" s="21">
        <v>105.1</v>
      </c>
      <c r="S56" s="24">
        <v>130.0</v>
      </c>
      <c r="T56" s="23">
        <v>-1.67</v>
      </c>
      <c r="U56" s="24">
        <v>247.0</v>
      </c>
    </row>
    <row r="57">
      <c r="A57" s="26">
        <v>53.0</v>
      </c>
      <c r="B57" s="15" t="s">
        <v>166</v>
      </c>
      <c r="C57" s="16" t="s">
        <v>167</v>
      </c>
      <c r="D57" s="26" t="s">
        <v>162</v>
      </c>
      <c r="E57" s="27">
        <f>+14.53</f>
        <v>14.53</v>
      </c>
      <c r="F57" s="28">
        <v>115.1</v>
      </c>
      <c r="G57" s="29">
        <v>40.0</v>
      </c>
      <c r="H57" s="26">
        <v>100.5</v>
      </c>
      <c r="I57" s="29">
        <v>73.0</v>
      </c>
      <c r="J57" s="28">
        <v>68.0</v>
      </c>
      <c r="K57" s="29">
        <v>148.0</v>
      </c>
      <c r="L57" s="30">
        <f>+0.051</f>
        <v>0.051</v>
      </c>
      <c r="M57" s="29">
        <v>62.0</v>
      </c>
      <c r="N57" s="30">
        <f>+2.95</f>
        <v>2.95</v>
      </c>
      <c r="O57" s="29">
        <v>113.0</v>
      </c>
      <c r="P57" s="26">
        <v>108.0</v>
      </c>
      <c r="Q57" s="29">
        <v>109.0</v>
      </c>
      <c r="R57" s="26">
        <v>105.0</v>
      </c>
      <c r="S57" s="29">
        <v>128.0</v>
      </c>
      <c r="T57" s="28">
        <v>-1.34</v>
      </c>
      <c r="U57" s="29">
        <v>236.0</v>
      </c>
    </row>
    <row r="58">
      <c r="A58" s="21">
        <v>54.0</v>
      </c>
      <c r="B58" s="15" t="s">
        <v>168</v>
      </c>
      <c r="C58" s="16" t="s">
        <v>169</v>
      </c>
      <c r="D58" s="21" t="s">
        <v>70</v>
      </c>
      <c r="E58" s="22">
        <f>+14.4</f>
        <v>14.4</v>
      </c>
      <c r="F58" s="23">
        <v>114.9</v>
      </c>
      <c r="G58" s="24">
        <v>42.0</v>
      </c>
      <c r="H58" s="21">
        <v>100.5</v>
      </c>
      <c r="I58" s="24">
        <v>71.0</v>
      </c>
      <c r="J58" s="23">
        <v>63.2</v>
      </c>
      <c r="K58" s="24">
        <v>351.0</v>
      </c>
      <c r="L58" s="25">
        <f>+0.144</f>
        <v>0.144</v>
      </c>
      <c r="M58" s="24">
        <v>4.0</v>
      </c>
      <c r="N58" s="25">
        <f>+7.94</f>
        <v>7.94</v>
      </c>
      <c r="O58" s="24">
        <v>83.0</v>
      </c>
      <c r="P58" s="21">
        <v>110.5</v>
      </c>
      <c r="Q58" s="24">
        <v>76.0</v>
      </c>
      <c r="R58" s="21">
        <v>102.6</v>
      </c>
      <c r="S58" s="24">
        <v>82.0</v>
      </c>
      <c r="T58" s="23">
        <v>-5.83</v>
      </c>
      <c r="U58" s="24">
        <v>332.0</v>
      </c>
    </row>
    <row r="59">
      <c r="A59" s="26">
        <v>55.0</v>
      </c>
      <c r="B59" s="15" t="s">
        <v>170</v>
      </c>
      <c r="C59" s="16" t="s">
        <v>171</v>
      </c>
      <c r="D59" s="26" t="s">
        <v>67</v>
      </c>
      <c r="E59" s="27">
        <f>+14.19</f>
        <v>14.19</v>
      </c>
      <c r="F59" s="28">
        <v>114.7</v>
      </c>
      <c r="G59" s="29">
        <v>44.0</v>
      </c>
      <c r="H59" s="26">
        <v>100.5</v>
      </c>
      <c r="I59" s="29">
        <v>70.0</v>
      </c>
      <c r="J59" s="28">
        <v>67.3</v>
      </c>
      <c r="K59" s="29">
        <v>195.0</v>
      </c>
      <c r="L59" s="30">
        <f>+0.045</f>
        <v>0.045</v>
      </c>
      <c r="M59" s="29">
        <v>76.0</v>
      </c>
      <c r="N59" s="30">
        <f>+9.88</f>
        <v>9.88</v>
      </c>
      <c r="O59" s="29">
        <v>51.0</v>
      </c>
      <c r="P59" s="26">
        <v>111.3</v>
      </c>
      <c r="Q59" s="29">
        <v>53.0</v>
      </c>
      <c r="R59" s="26">
        <v>101.5</v>
      </c>
      <c r="S59" s="29">
        <v>50.0</v>
      </c>
      <c r="T59" s="28">
        <v>-0.11</v>
      </c>
      <c r="U59" s="29">
        <v>201.0</v>
      </c>
    </row>
    <row r="60">
      <c r="A60" s="21">
        <v>56.0</v>
      </c>
      <c r="B60" s="15" t="s">
        <v>172</v>
      </c>
      <c r="C60" s="16" t="s">
        <v>173</v>
      </c>
      <c r="D60" s="21" t="s">
        <v>174</v>
      </c>
      <c r="E60" s="22">
        <f>+14.17</f>
        <v>14.17</v>
      </c>
      <c r="F60" s="23">
        <v>113.2</v>
      </c>
      <c r="G60" s="24">
        <v>69.0</v>
      </c>
      <c r="H60" s="21">
        <v>99.0</v>
      </c>
      <c r="I60" s="24">
        <v>45.0</v>
      </c>
      <c r="J60" s="23">
        <v>71.2</v>
      </c>
      <c r="K60" s="24">
        <v>31.0</v>
      </c>
      <c r="L60" s="23">
        <v>-0.06</v>
      </c>
      <c r="M60" s="24">
        <v>318.0</v>
      </c>
      <c r="N60" s="25">
        <f>+13.22</f>
        <v>13.22</v>
      </c>
      <c r="O60" s="24">
        <v>9.0</v>
      </c>
      <c r="P60" s="21">
        <v>113.3</v>
      </c>
      <c r="Q60" s="24">
        <v>8.0</v>
      </c>
      <c r="R60" s="21">
        <v>100.1</v>
      </c>
      <c r="S60" s="24">
        <v>8.0</v>
      </c>
      <c r="T60" s="25">
        <f>+4.87</f>
        <v>4.87</v>
      </c>
      <c r="U60" s="24">
        <v>70.0</v>
      </c>
    </row>
    <row r="61">
      <c r="A61" s="26">
        <v>57.0</v>
      </c>
      <c r="B61" s="15" t="s">
        <v>175</v>
      </c>
      <c r="C61" s="16" t="s">
        <v>176</v>
      </c>
      <c r="D61" s="26" t="s">
        <v>177</v>
      </c>
      <c r="E61" s="27">
        <f>+14.15</f>
        <v>14.15</v>
      </c>
      <c r="F61" s="28">
        <v>119.6</v>
      </c>
      <c r="G61" s="29">
        <v>16.0</v>
      </c>
      <c r="H61" s="26">
        <v>105.4</v>
      </c>
      <c r="I61" s="29">
        <v>157.0</v>
      </c>
      <c r="J61" s="28">
        <v>71.8</v>
      </c>
      <c r="K61" s="29">
        <v>19.0</v>
      </c>
      <c r="L61" s="28">
        <v>-0.021</v>
      </c>
      <c r="M61" s="29">
        <v>247.0</v>
      </c>
      <c r="N61" s="30">
        <f>+11.88</f>
        <v>11.88</v>
      </c>
      <c r="O61" s="29">
        <v>18.0</v>
      </c>
      <c r="P61" s="26">
        <v>112.6</v>
      </c>
      <c r="Q61" s="29">
        <v>21.0</v>
      </c>
      <c r="R61" s="26">
        <v>100.8</v>
      </c>
      <c r="S61" s="29">
        <v>22.0</v>
      </c>
      <c r="T61" s="28">
        <v>-1.15</v>
      </c>
      <c r="U61" s="29">
        <v>231.0</v>
      </c>
    </row>
    <row r="62">
      <c r="A62" s="21">
        <v>58.0</v>
      </c>
      <c r="B62" s="15" t="s">
        <v>178</v>
      </c>
      <c r="C62" s="16" t="s">
        <v>179</v>
      </c>
      <c r="D62" s="21" t="s">
        <v>177</v>
      </c>
      <c r="E62" s="22">
        <f>+14.08</f>
        <v>14.08</v>
      </c>
      <c r="F62" s="23">
        <v>115.8</v>
      </c>
      <c r="G62" s="24">
        <v>37.0</v>
      </c>
      <c r="H62" s="21">
        <v>101.7</v>
      </c>
      <c r="I62" s="24">
        <v>92.0</v>
      </c>
      <c r="J62" s="23">
        <v>68.0</v>
      </c>
      <c r="K62" s="24">
        <v>151.0</v>
      </c>
      <c r="L62" s="23">
        <v>-0.041</v>
      </c>
      <c r="M62" s="24">
        <v>287.0</v>
      </c>
      <c r="N62" s="25">
        <f>+9.9</f>
        <v>9.9</v>
      </c>
      <c r="O62" s="24">
        <v>50.0</v>
      </c>
      <c r="P62" s="21">
        <v>110.7</v>
      </c>
      <c r="Q62" s="24">
        <v>73.0</v>
      </c>
      <c r="R62" s="21">
        <v>100.8</v>
      </c>
      <c r="S62" s="24">
        <v>23.0</v>
      </c>
      <c r="T62" s="25">
        <f>+2.51</f>
        <v>2.51</v>
      </c>
      <c r="U62" s="24">
        <v>117.0</v>
      </c>
    </row>
    <row r="63">
      <c r="A63" s="26">
        <v>59.0</v>
      </c>
      <c r="B63" s="15" t="s">
        <v>180</v>
      </c>
      <c r="C63" s="16" t="s">
        <v>181</v>
      </c>
      <c r="D63" s="26" t="s">
        <v>91</v>
      </c>
      <c r="E63" s="27">
        <f>+13.7</f>
        <v>13.7</v>
      </c>
      <c r="F63" s="28">
        <v>109.1</v>
      </c>
      <c r="G63" s="29">
        <v>125.0</v>
      </c>
      <c r="H63" s="26">
        <v>95.4</v>
      </c>
      <c r="I63" s="29">
        <v>18.0</v>
      </c>
      <c r="J63" s="28">
        <v>67.6</v>
      </c>
      <c r="K63" s="29">
        <v>171.0</v>
      </c>
      <c r="L63" s="30">
        <f>+0.01</f>
        <v>0.01</v>
      </c>
      <c r="M63" s="29">
        <v>160.0</v>
      </c>
      <c r="N63" s="30">
        <f>+10.26</f>
        <v>10.26</v>
      </c>
      <c r="O63" s="29">
        <v>43.0</v>
      </c>
      <c r="P63" s="26">
        <v>112.3</v>
      </c>
      <c r="Q63" s="29">
        <v>32.0</v>
      </c>
      <c r="R63" s="26">
        <v>102.1</v>
      </c>
      <c r="S63" s="29">
        <v>70.0</v>
      </c>
      <c r="T63" s="28">
        <v>-2.06</v>
      </c>
      <c r="U63" s="29">
        <v>255.0</v>
      </c>
    </row>
    <row r="64">
      <c r="A64" s="31">
        <v>60.0</v>
      </c>
      <c r="B64" s="32" t="s">
        <v>182</v>
      </c>
      <c r="C64" s="33" t="s">
        <v>183</v>
      </c>
      <c r="D64" s="31" t="s">
        <v>184</v>
      </c>
      <c r="E64" s="34">
        <f>+12.95</f>
        <v>12.95</v>
      </c>
      <c r="F64" s="35">
        <v>115.3</v>
      </c>
      <c r="G64" s="36">
        <v>38.0</v>
      </c>
      <c r="H64" s="31">
        <v>102.3</v>
      </c>
      <c r="I64" s="36">
        <v>100.0</v>
      </c>
      <c r="J64" s="35">
        <v>71.2</v>
      </c>
      <c r="K64" s="36">
        <v>30.0</v>
      </c>
      <c r="L64" s="35">
        <v>-0.081</v>
      </c>
      <c r="M64" s="36">
        <v>340.0</v>
      </c>
      <c r="N64" s="37">
        <f>+9.48</f>
        <v>9.48</v>
      </c>
      <c r="O64" s="36">
        <v>61.0</v>
      </c>
      <c r="P64" s="31">
        <v>111.0</v>
      </c>
      <c r="Q64" s="36">
        <v>62.0</v>
      </c>
      <c r="R64" s="31">
        <v>101.5</v>
      </c>
      <c r="S64" s="36">
        <v>55.0</v>
      </c>
      <c r="T64" s="37">
        <f>+5.96</f>
        <v>5.96</v>
      </c>
      <c r="U64" s="36">
        <v>48.0</v>
      </c>
    </row>
    <row r="65">
      <c r="A65" s="26">
        <v>61.0</v>
      </c>
      <c r="B65" s="15" t="s">
        <v>185</v>
      </c>
      <c r="C65" s="16" t="s">
        <v>186</v>
      </c>
      <c r="D65" s="26" t="s">
        <v>187</v>
      </c>
      <c r="E65" s="27">
        <f>+12.6</f>
        <v>12.6</v>
      </c>
      <c r="F65" s="28">
        <v>113.2</v>
      </c>
      <c r="G65" s="29">
        <v>67.0</v>
      </c>
      <c r="H65" s="26">
        <v>100.6</v>
      </c>
      <c r="I65" s="29">
        <v>76.0</v>
      </c>
      <c r="J65" s="28">
        <v>68.6</v>
      </c>
      <c r="K65" s="29">
        <v>120.0</v>
      </c>
      <c r="L65" s="28">
        <v>-0.027</v>
      </c>
      <c r="M65" s="29">
        <v>261.0</v>
      </c>
      <c r="N65" s="30">
        <f>+11.83</f>
        <v>11.83</v>
      </c>
      <c r="O65" s="29">
        <v>20.0</v>
      </c>
      <c r="P65" s="26">
        <v>112.5</v>
      </c>
      <c r="Q65" s="29">
        <v>24.0</v>
      </c>
      <c r="R65" s="26">
        <v>100.7</v>
      </c>
      <c r="S65" s="29">
        <v>20.0</v>
      </c>
      <c r="T65" s="30">
        <f>+2.05</f>
        <v>2.05</v>
      </c>
      <c r="U65" s="29">
        <v>127.0</v>
      </c>
    </row>
    <row r="66">
      <c r="A66" s="21">
        <v>62.0</v>
      </c>
      <c r="B66" s="15" t="s">
        <v>188</v>
      </c>
      <c r="C66" s="16" t="s">
        <v>189</v>
      </c>
      <c r="D66" s="21" t="s">
        <v>190</v>
      </c>
      <c r="E66" s="22">
        <f>+12.51</f>
        <v>12.51</v>
      </c>
      <c r="F66" s="23">
        <v>107.3</v>
      </c>
      <c r="G66" s="24">
        <v>155.0</v>
      </c>
      <c r="H66" s="21">
        <v>94.7</v>
      </c>
      <c r="I66" s="24">
        <v>14.0</v>
      </c>
      <c r="J66" s="23">
        <v>65.5</v>
      </c>
      <c r="K66" s="24">
        <v>302.0</v>
      </c>
      <c r="L66" s="23">
        <v>-0.093</v>
      </c>
      <c r="M66" s="24">
        <v>349.0</v>
      </c>
      <c r="N66" s="25">
        <f>+9.81</f>
        <v>9.81</v>
      </c>
      <c r="O66" s="24">
        <v>53.0</v>
      </c>
      <c r="P66" s="21">
        <v>111.3</v>
      </c>
      <c r="Q66" s="24">
        <v>55.0</v>
      </c>
      <c r="R66" s="21">
        <v>101.5</v>
      </c>
      <c r="S66" s="24">
        <v>49.0</v>
      </c>
      <c r="T66" s="23">
        <v>-4.94</v>
      </c>
      <c r="U66" s="24">
        <v>312.0</v>
      </c>
    </row>
    <row r="67">
      <c r="A67" s="26">
        <v>63.0</v>
      </c>
      <c r="B67" s="15" t="s">
        <v>191</v>
      </c>
      <c r="C67" s="16" t="s">
        <v>192</v>
      </c>
      <c r="D67" s="26" t="s">
        <v>193</v>
      </c>
      <c r="E67" s="27">
        <f>+12.42</f>
        <v>12.42</v>
      </c>
      <c r="F67" s="28">
        <v>113.0</v>
      </c>
      <c r="G67" s="29">
        <v>72.0</v>
      </c>
      <c r="H67" s="26">
        <v>100.6</v>
      </c>
      <c r="I67" s="29">
        <v>74.0</v>
      </c>
      <c r="J67" s="28">
        <v>69.7</v>
      </c>
      <c r="K67" s="29">
        <v>70.0</v>
      </c>
      <c r="L67" s="30">
        <f>+0.093</f>
        <v>0.093</v>
      </c>
      <c r="M67" s="29">
        <v>18.0</v>
      </c>
      <c r="N67" s="28">
        <v>-3.41</v>
      </c>
      <c r="O67" s="29">
        <v>261.0</v>
      </c>
      <c r="P67" s="26">
        <v>104.1</v>
      </c>
      <c r="Q67" s="29">
        <v>276.0</v>
      </c>
      <c r="R67" s="26">
        <v>107.5</v>
      </c>
      <c r="S67" s="29">
        <v>246.0</v>
      </c>
      <c r="T67" s="28">
        <v>-6.82</v>
      </c>
      <c r="U67" s="29">
        <v>343.0</v>
      </c>
    </row>
    <row r="68">
      <c r="A68" s="21">
        <v>64.0</v>
      </c>
      <c r="B68" s="15" t="s">
        <v>194</v>
      </c>
      <c r="C68" s="16" t="s">
        <v>195</v>
      </c>
      <c r="D68" s="21" t="s">
        <v>196</v>
      </c>
      <c r="E68" s="22">
        <f>+12.18</f>
        <v>12.18</v>
      </c>
      <c r="F68" s="23">
        <v>112.1</v>
      </c>
      <c r="G68" s="24">
        <v>76.0</v>
      </c>
      <c r="H68" s="21">
        <v>100.0</v>
      </c>
      <c r="I68" s="24">
        <v>62.0</v>
      </c>
      <c r="J68" s="23">
        <v>66.4</v>
      </c>
      <c r="K68" s="24">
        <v>254.0</v>
      </c>
      <c r="L68" s="23">
        <v>-0.036</v>
      </c>
      <c r="M68" s="24">
        <v>274.0</v>
      </c>
      <c r="N68" s="25">
        <f>+4.07</f>
        <v>4.07</v>
      </c>
      <c r="O68" s="24">
        <v>102.0</v>
      </c>
      <c r="P68" s="21">
        <v>107.7</v>
      </c>
      <c r="Q68" s="24">
        <v>116.0</v>
      </c>
      <c r="R68" s="21">
        <v>103.7</v>
      </c>
      <c r="S68" s="24">
        <v>92.0</v>
      </c>
      <c r="T68" s="25">
        <f>+2.72</f>
        <v>2.72</v>
      </c>
      <c r="U68" s="24">
        <v>112.0</v>
      </c>
    </row>
    <row r="69">
      <c r="A69" s="26">
        <v>65.0</v>
      </c>
      <c r="B69" s="15" t="s">
        <v>197</v>
      </c>
      <c r="C69" s="16" t="s">
        <v>198</v>
      </c>
      <c r="D69" s="26" t="s">
        <v>64</v>
      </c>
      <c r="E69" s="27">
        <f>+12.05</f>
        <v>12.05</v>
      </c>
      <c r="F69" s="28">
        <v>110.5</v>
      </c>
      <c r="G69" s="29">
        <v>100.0</v>
      </c>
      <c r="H69" s="26">
        <v>98.4</v>
      </c>
      <c r="I69" s="29">
        <v>37.0</v>
      </c>
      <c r="J69" s="28">
        <v>67.4</v>
      </c>
      <c r="K69" s="29">
        <v>193.0</v>
      </c>
      <c r="L69" s="28">
        <v>-0.055</v>
      </c>
      <c r="M69" s="29">
        <v>308.0</v>
      </c>
      <c r="N69" s="30">
        <f>+0.17</f>
        <v>0.17</v>
      </c>
      <c r="O69" s="29">
        <v>156.0</v>
      </c>
      <c r="P69" s="26">
        <v>106.7</v>
      </c>
      <c r="Q69" s="29">
        <v>150.0</v>
      </c>
      <c r="R69" s="26">
        <v>106.6</v>
      </c>
      <c r="S69" s="29">
        <v>189.0</v>
      </c>
      <c r="T69" s="28">
        <v>-2.51</v>
      </c>
      <c r="U69" s="29">
        <v>263.0</v>
      </c>
    </row>
    <row r="70">
      <c r="A70" s="21">
        <v>66.0</v>
      </c>
      <c r="B70" s="15" t="s">
        <v>199</v>
      </c>
      <c r="C70" s="16" t="s">
        <v>200</v>
      </c>
      <c r="D70" s="21" t="s">
        <v>201</v>
      </c>
      <c r="E70" s="22">
        <f>+11.83</f>
        <v>11.83</v>
      </c>
      <c r="F70" s="23">
        <v>107.5</v>
      </c>
      <c r="G70" s="24">
        <v>148.0</v>
      </c>
      <c r="H70" s="21">
        <v>95.6</v>
      </c>
      <c r="I70" s="24">
        <v>21.0</v>
      </c>
      <c r="J70" s="23">
        <v>68.7</v>
      </c>
      <c r="K70" s="24">
        <v>112.0</v>
      </c>
      <c r="L70" s="23">
        <v>-0.072</v>
      </c>
      <c r="M70" s="24">
        <v>331.0</v>
      </c>
      <c r="N70" s="25">
        <f>+9.02</f>
        <v>9.02</v>
      </c>
      <c r="O70" s="24">
        <v>73.0</v>
      </c>
      <c r="P70" s="21">
        <v>110.8</v>
      </c>
      <c r="Q70" s="24">
        <v>68.0</v>
      </c>
      <c r="R70" s="21">
        <v>101.8</v>
      </c>
      <c r="S70" s="24">
        <v>65.0</v>
      </c>
      <c r="T70" s="23">
        <v>-5.96</v>
      </c>
      <c r="U70" s="24">
        <v>334.0</v>
      </c>
    </row>
    <row r="71">
      <c r="A71" s="26">
        <v>67.0</v>
      </c>
      <c r="B71" s="15" t="s">
        <v>202</v>
      </c>
      <c r="C71" s="16" t="s">
        <v>203</v>
      </c>
      <c r="D71" s="26" t="s">
        <v>204</v>
      </c>
      <c r="E71" s="27">
        <f t="shared" ref="E71:E72" si="3">+11.8</f>
        <v>11.8</v>
      </c>
      <c r="F71" s="28">
        <v>113.4</v>
      </c>
      <c r="G71" s="29">
        <v>64.0</v>
      </c>
      <c r="H71" s="26">
        <v>101.5</v>
      </c>
      <c r="I71" s="29">
        <v>89.0</v>
      </c>
      <c r="J71" s="28">
        <v>65.9</v>
      </c>
      <c r="K71" s="29">
        <v>277.0</v>
      </c>
      <c r="L71" s="30">
        <f>+0.032</f>
        <v>0.032</v>
      </c>
      <c r="M71" s="29">
        <v>109.0</v>
      </c>
      <c r="N71" s="28">
        <v>-6.38</v>
      </c>
      <c r="O71" s="29">
        <v>329.0</v>
      </c>
      <c r="P71" s="26">
        <v>102.6</v>
      </c>
      <c r="Q71" s="29">
        <v>314.0</v>
      </c>
      <c r="R71" s="26">
        <v>109.0</v>
      </c>
      <c r="S71" s="29">
        <v>331.0</v>
      </c>
      <c r="T71" s="30">
        <f>+4.47</f>
        <v>4.47</v>
      </c>
      <c r="U71" s="29">
        <v>76.0</v>
      </c>
    </row>
    <row r="72">
      <c r="A72" s="21">
        <v>68.0</v>
      </c>
      <c r="B72" s="15" t="s">
        <v>205</v>
      </c>
      <c r="C72" s="16" t="s">
        <v>206</v>
      </c>
      <c r="D72" s="21" t="s">
        <v>64</v>
      </c>
      <c r="E72" s="22">
        <f t="shared" si="3"/>
        <v>11.8</v>
      </c>
      <c r="F72" s="23">
        <v>105.1</v>
      </c>
      <c r="G72" s="24">
        <v>200.0</v>
      </c>
      <c r="H72" s="21">
        <v>93.3</v>
      </c>
      <c r="I72" s="24">
        <v>7.0</v>
      </c>
      <c r="J72" s="23">
        <v>60.1</v>
      </c>
      <c r="K72" s="24">
        <v>362.0</v>
      </c>
      <c r="L72" s="25">
        <f>+0.108</f>
        <v>0.108</v>
      </c>
      <c r="M72" s="24">
        <v>12.0</v>
      </c>
      <c r="N72" s="25">
        <f>+9.07</f>
        <v>9.07</v>
      </c>
      <c r="O72" s="24">
        <v>71.0</v>
      </c>
      <c r="P72" s="21">
        <v>111.6</v>
      </c>
      <c r="Q72" s="24">
        <v>47.0</v>
      </c>
      <c r="R72" s="21">
        <v>102.5</v>
      </c>
      <c r="S72" s="24">
        <v>78.0</v>
      </c>
      <c r="T72" s="23">
        <v>-1.09</v>
      </c>
      <c r="U72" s="24">
        <v>229.0</v>
      </c>
    </row>
    <row r="73">
      <c r="A73" s="26">
        <v>69.0</v>
      </c>
      <c r="B73" s="15" t="s">
        <v>207</v>
      </c>
      <c r="C73" s="16" t="s">
        <v>208</v>
      </c>
      <c r="D73" s="26" t="s">
        <v>209</v>
      </c>
      <c r="E73" s="27">
        <f>+11.58</f>
        <v>11.58</v>
      </c>
      <c r="F73" s="28">
        <v>116.7</v>
      </c>
      <c r="G73" s="29">
        <v>29.0</v>
      </c>
      <c r="H73" s="26">
        <v>105.1</v>
      </c>
      <c r="I73" s="29">
        <v>150.0</v>
      </c>
      <c r="J73" s="28">
        <v>65.5</v>
      </c>
      <c r="K73" s="29">
        <v>301.0</v>
      </c>
      <c r="L73" s="30">
        <f>+0.027</f>
        <v>0.027</v>
      </c>
      <c r="M73" s="29">
        <v>117.0</v>
      </c>
      <c r="N73" s="30">
        <f>+0.54</f>
        <v>0.54</v>
      </c>
      <c r="O73" s="29">
        <v>149.0</v>
      </c>
      <c r="P73" s="26">
        <v>106.4</v>
      </c>
      <c r="Q73" s="29">
        <v>166.0</v>
      </c>
      <c r="R73" s="26">
        <v>105.8</v>
      </c>
      <c r="S73" s="29">
        <v>159.0</v>
      </c>
      <c r="T73" s="30">
        <f>+3.14</f>
        <v>3.14</v>
      </c>
      <c r="U73" s="29">
        <v>97.0</v>
      </c>
    </row>
    <row r="74">
      <c r="A74" s="31">
        <v>70.0</v>
      </c>
      <c r="B74" s="32" t="s">
        <v>210</v>
      </c>
      <c r="C74" s="33" t="s">
        <v>211</v>
      </c>
      <c r="D74" s="31" t="s">
        <v>177</v>
      </c>
      <c r="E74" s="34">
        <f>+11.52</f>
        <v>11.52</v>
      </c>
      <c r="F74" s="35">
        <v>108.3</v>
      </c>
      <c r="G74" s="36">
        <v>139.0</v>
      </c>
      <c r="H74" s="31">
        <v>96.8</v>
      </c>
      <c r="I74" s="36">
        <v>25.0</v>
      </c>
      <c r="J74" s="35">
        <v>67.7</v>
      </c>
      <c r="K74" s="36">
        <v>166.0</v>
      </c>
      <c r="L74" s="37">
        <f>+0.028</f>
        <v>0.028</v>
      </c>
      <c r="M74" s="36">
        <v>113.0</v>
      </c>
      <c r="N74" s="37">
        <f>+11.49</f>
        <v>11.49</v>
      </c>
      <c r="O74" s="36">
        <v>24.0</v>
      </c>
      <c r="P74" s="31">
        <v>111.8</v>
      </c>
      <c r="Q74" s="36">
        <v>41.0</v>
      </c>
      <c r="R74" s="31">
        <v>100.3</v>
      </c>
      <c r="S74" s="36">
        <v>12.0</v>
      </c>
      <c r="T74" s="37">
        <f>+0.06</f>
        <v>0.06</v>
      </c>
      <c r="U74" s="36">
        <v>197.0</v>
      </c>
    </row>
    <row r="75">
      <c r="A75" s="26">
        <v>71.0</v>
      </c>
      <c r="B75" s="15" t="s">
        <v>212</v>
      </c>
      <c r="C75" s="16" t="s">
        <v>213</v>
      </c>
      <c r="D75" s="26" t="s">
        <v>214</v>
      </c>
      <c r="E75" s="27">
        <f>+11.44</f>
        <v>11.44</v>
      </c>
      <c r="F75" s="28">
        <v>113.9</v>
      </c>
      <c r="G75" s="29">
        <v>55.0</v>
      </c>
      <c r="H75" s="26">
        <v>102.4</v>
      </c>
      <c r="I75" s="29">
        <v>101.0</v>
      </c>
      <c r="J75" s="28">
        <v>67.0</v>
      </c>
      <c r="K75" s="29">
        <v>217.0</v>
      </c>
      <c r="L75" s="28">
        <v>-0.017</v>
      </c>
      <c r="M75" s="29">
        <v>233.0</v>
      </c>
      <c r="N75" s="30">
        <f>+9.16</f>
        <v>9.16</v>
      </c>
      <c r="O75" s="29">
        <v>69.0</v>
      </c>
      <c r="P75" s="26">
        <v>110.4</v>
      </c>
      <c r="Q75" s="29">
        <v>79.0</v>
      </c>
      <c r="R75" s="26">
        <v>101.2</v>
      </c>
      <c r="S75" s="29">
        <v>42.0</v>
      </c>
      <c r="T75" s="28">
        <v>-0.74</v>
      </c>
      <c r="U75" s="29">
        <v>214.0</v>
      </c>
    </row>
    <row r="76">
      <c r="A76" s="21">
        <v>72.0</v>
      </c>
      <c r="B76" s="15" t="s">
        <v>215</v>
      </c>
      <c r="C76" s="16" t="s">
        <v>216</v>
      </c>
      <c r="D76" s="21" t="s">
        <v>73</v>
      </c>
      <c r="E76" s="22">
        <f>+11.13</f>
        <v>11.13</v>
      </c>
      <c r="F76" s="23">
        <v>111.9</v>
      </c>
      <c r="G76" s="24">
        <v>80.0</v>
      </c>
      <c r="H76" s="21">
        <v>100.8</v>
      </c>
      <c r="I76" s="24">
        <v>77.0</v>
      </c>
      <c r="J76" s="23">
        <v>67.7</v>
      </c>
      <c r="K76" s="24">
        <v>165.0</v>
      </c>
      <c r="L76" s="23">
        <v>-0.09</v>
      </c>
      <c r="M76" s="24">
        <v>348.0</v>
      </c>
      <c r="N76" s="25">
        <f>+3.47</f>
        <v>3.47</v>
      </c>
      <c r="O76" s="24">
        <v>106.0</v>
      </c>
      <c r="P76" s="21">
        <v>108.6</v>
      </c>
      <c r="Q76" s="24">
        <v>102.0</v>
      </c>
      <c r="R76" s="21">
        <v>105.2</v>
      </c>
      <c r="S76" s="24">
        <v>133.0</v>
      </c>
      <c r="T76" s="25">
        <f>+0.33</f>
        <v>0.33</v>
      </c>
      <c r="U76" s="24">
        <v>182.0</v>
      </c>
    </row>
    <row r="77">
      <c r="A77" s="26">
        <v>73.0</v>
      </c>
      <c r="B77" s="15" t="s">
        <v>217</v>
      </c>
      <c r="C77" s="16" t="s">
        <v>218</v>
      </c>
      <c r="D77" s="26" t="s">
        <v>84</v>
      </c>
      <c r="E77" s="27">
        <f>+10.86</f>
        <v>10.86</v>
      </c>
      <c r="F77" s="28">
        <v>113.0</v>
      </c>
      <c r="G77" s="29">
        <v>71.0</v>
      </c>
      <c r="H77" s="26">
        <v>102.2</v>
      </c>
      <c r="I77" s="29">
        <v>97.0</v>
      </c>
      <c r="J77" s="28">
        <v>65.6</v>
      </c>
      <c r="K77" s="29">
        <v>294.0</v>
      </c>
      <c r="L77" s="30">
        <f>+0.022</f>
        <v>0.022</v>
      </c>
      <c r="M77" s="29">
        <v>126.0</v>
      </c>
      <c r="N77" s="30">
        <f>+8.02</f>
        <v>8.02</v>
      </c>
      <c r="O77" s="29">
        <v>81.0</v>
      </c>
      <c r="P77" s="26">
        <v>110.7</v>
      </c>
      <c r="Q77" s="29">
        <v>70.0</v>
      </c>
      <c r="R77" s="26">
        <v>102.7</v>
      </c>
      <c r="S77" s="29">
        <v>85.0</v>
      </c>
      <c r="T77" s="30">
        <f>+3.71</f>
        <v>3.71</v>
      </c>
      <c r="U77" s="29">
        <v>91.0</v>
      </c>
    </row>
    <row r="78">
      <c r="A78" s="21">
        <v>74.0</v>
      </c>
      <c r="B78" s="15" t="s">
        <v>219</v>
      </c>
      <c r="C78" s="16" t="s">
        <v>220</v>
      </c>
      <c r="D78" s="21" t="s">
        <v>177</v>
      </c>
      <c r="E78" s="22">
        <f>+10.83</f>
        <v>10.83</v>
      </c>
      <c r="F78" s="23">
        <v>110.3</v>
      </c>
      <c r="G78" s="24">
        <v>102.0</v>
      </c>
      <c r="H78" s="21">
        <v>99.4</v>
      </c>
      <c r="I78" s="24">
        <v>52.0</v>
      </c>
      <c r="J78" s="23">
        <v>61.8</v>
      </c>
      <c r="K78" s="24">
        <v>360.0</v>
      </c>
      <c r="L78" s="23">
        <v>-0.102</v>
      </c>
      <c r="M78" s="24">
        <v>356.0</v>
      </c>
      <c r="N78" s="25">
        <f>+5.86</f>
        <v>5.86</v>
      </c>
      <c r="O78" s="24">
        <v>89.0</v>
      </c>
      <c r="P78" s="21">
        <v>109.8</v>
      </c>
      <c r="Q78" s="24">
        <v>87.0</v>
      </c>
      <c r="R78" s="21">
        <v>103.9</v>
      </c>
      <c r="S78" s="24">
        <v>94.0</v>
      </c>
      <c r="T78" s="25">
        <f>+4.24</f>
        <v>4.24</v>
      </c>
      <c r="U78" s="24">
        <v>78.0</v>
      </c>
    </row>
    <row r="79">
      <c r="A79" s="26">
        <v>75.0</v>
      </c>
      <c r="B79" s="15" t="s">
        <v>221</v>
      </c>
      <c r="C79" s="16" t="s">
        <v>222</v>
      </c>
      <c r="D79" s="26" t="s">
        <v>223</v>
      </c>
      <c r="E79" s="27">
        <f>+10.69</f>
        <v>10.69</v>
      </c>
      <c r="F79" s="28">
        <v>109.2</v>
      </c>
      <c r="G79" s="29">
        <v>121.0</v>
      </c>
      <c r="H79" s="26">
        <v>98.5</v>
      </c>
      <c r="I79" s="29">
        <v>40.0</v>
      </c>
      <c r="J79" s="28">
        <v>65.6</v>
      </c>
      <c r="K79" s="29">
        <v>292.0</v>
      </c>
      <c r="L79" s="28">
        <v>-0.011</v>
      </c>
      <c r="M79" s="29">
        <v>214.0</v>
      </c>
      <c r="N79" s="30">
        <f>+5.27</f>
        <v>5.27</v>
      </c>
      <c r="O79" s="29">
        <v>94.0</v>
      </c>
      <c r="P79" s="26">
        <v>108.7</v>
      </c>
      <c r="Q79" s="29">
        <v>101.0</v>
      </c>
      <c r="R79" s="26">
        <v>103.4</v>
      </c>
      <c r="S79" s="29">
        <v>89.0</v>
      </c>
      <c r="T79" s="30">
        <f>+0.34</f>
        <v>0.34</v>
      </c>
      <c r="U79" s="29">
        <v>181.0</v>
      </c>
    </row>
    <row r="80">
      <c r="A80" s="21">
        <v>76.0</v>
      </c>
      <c r="B80" s="15" t="s">
        <v>224</v>
      </c>
      <c r="C80" s="16" t="s">
        <v>225</v>
      </c>
      <c r="D80" s="21" t="s">
        <v>226</v>
      </c>
      <c r="E80" s="22">
        <f>+10.59</f>
        <v>10.59</v>
      </c>
      <c r="F80" s="23">
        <v>113.2</v>
      </c>
      <c r="G80" s="24">
        <v>68.0</v>
      </c>
      <c r="H80" s="21">
        <v>102.6</v>
      </c>
      <c r="I80" s="24">
        <v>104.0</v>
      </c>
      <c r="J80" s="23">
        <v>71.6</v>
      </c>
      <c r="K80" s="24">
        <v>20.0</v>
      </c>
      <c r="L80" s="25">
        <f>+0.036</f>
        <v>0.036</v>
      </c>
      <c r="M80" s="24">
        <v>97.0</v>
      </c>
      <c r="N80" s="25">
        <f>+5</f>
        <v>5</v>
      </c>
      <c r="O80" s="24">
        <v>98.0</v>
      </c>
      <c r="P80" s="21">
        <v>109.2</v>
      </c>
      <c r="Q80" s="24">
        <v>96.0</v>
      </c>
      <c r="R80" s="21">
        <v>104.2</v>
      </c>
      <c r="S80" s="24">
        <v>105.0</v>
      </c>
      <c r="T80" s="25">
        <f>+5.32</f>
        <v>5.32</v>
      </c>
      <c r="U80" s="24">
        <v>57.0</v>
      </c>
    </row>
    <row r="81">
      <c r="A81" s="26">
        <v>77.0</v>
      </c>
      <c r="B81" s="15" t="s">
        <v>227</v>
      </c>
      <c r="C81" s="16" t="s">
        <v>228</v>
      </c>
      <c r="D81" s="26" t="s">
        <v>190</v>
      </c>
      <c r="E81" s="27">
        <f>+10.49</f>
        <v>10.49</v>
      </c>
      <c r="F81" s="28">
        <v>111.5</v>
      </c>
      <c r="G81" s="29">
        <v>85.0</v>
      </c>
      <c r="H81" s="26">
        <v>101.1</v>
      </c>
      <c r="I81" s="29">
        <v>81.0</v>
      </c>
      <c r="J81" s="28">
        <v>69.8</v>
      </c>
      <c r="K81" s="29">
        <v>68.0</v>
      </c>
      <c r="L81" s="28">
        <v>-0.059</v>
      </c>
      <c r="M81" s="29">
        <v>314.0</v>
      </c>
      <c r="N81" s="30">
        <f>+9.52</f>
        <v>9.52</v>
      </c>
      <c r="O81" s="29">
        <v>59.0</v>
      </c>
      <c r="P81" s="26">
        <v>111.1</v>
      </c>
      <c r="Q81" s="29">
        <v>60.0</v>
      </c>
      <c r="R81" s="26">
        <v>101.6</v>
      </c>
      <c r="S81" s="29">
        <v>59.0</v>
      </c>
      <c r="T81" s="28">
        <v>-3.95</v>
      </c>
      <c r="U81" s="29">
        <v>291.0</v>
      </c>
    </row>
    <row r="82">
      <c r="A82" s="21">
        <v>78.0</v>
      </c>
      <c r="B82" s="15" t="s">
        <v>229</v>
      </c>
      <c r="C82" s="16" t="s">
        <v>230</v>
      </c>
      <c r="D82" s="21" t="s">
        <v>177</v>
      </c>
      <c r="E82" s="22">
        <f>+10.39</f>
        <v>10.39</v>
      </c>
      <c r="F82" s="23">
        <v>113.6</v>
      </c>
      <c r="G82" s="24">
        <v>58.0</v>
      </c>
      <c r="H82" s="21">
        <v>103.2</v>
      </c>
      <c r="I82" s="24">
        <v>115.0</v>
      </c>
      <c r="J82" s="23">
        <v>66.6</v>
      </c>
      <c r="K82" s="24">
        <v>244.0</v>
      </c>
      <c r="L82" s="23">
        <v>-0.017</v>
      </c>
      <c r="M82" s="24">
        <v>232.0</v>
      </c>
      <c r="N82" s="25">
        <f>+8.35</f>
        <v>8.35</v>
      </c>
      <c r="O82" s="24">
        <v>80.0</v>
      </c>
      <c r="P82" s="21">
        <v>110.9</v>
      </c>
      <c r="Q82" s="24">
        <v>66.0</v>
      </c>
      <c r="R82" s="21">
        <v>102.5</v>
      </c>
      <c r="S82" s="24">
        <v>81.0</v>
      </c>
      <c r="T82" s="23">
        <v>-12.77</v>
      </c>
      <c r="U82" s="24">
        <v>362.0</v>
      </c>
    </row>
    <row r="83">
      <c r="A83" s="26">
        <v>79.0</v>
      </c>
      <c r="B83" s="15" t="s">
        <v>231</v>
      </c>
      <c r="C83" s="16" t="s">
        <v>232</v>
      </c>
      <c r="D83" s="26" t="s">
        <v>201</v>
      </c>
      <c r="E83" s="27">
        <f>+10.29</f>
        <v>10.29</v>
      </c>
      <c r="F83" s="28">
        <v>110.9</v>
      </c>
      <c r="G83" s="29">
        <v>90.0</v>
      </c>
      <c r="H83" s="26">
        <v>100.6</v>
      </c>
      <c r="I83" s="29">
        <v>75.0</v>
      </c>
      <c r="J83" s="28">
        <v>71.1</v>
      </c>
      <c r="K83" s="29">
        <v>33.0</v>
      </c>
      <c r="L83" s="30">
        <f>+0.013</f>
        <v>0.013</v>
      </c>
      <c r="M83" s="29">
        <v>153.0</v>
      </c>
      <c r="N83" s="30">
        <f>+11.13</f>
        <v>11.13</v>
      </c>
      <c r="O83" s="29">
        <v>32.0</v>
      </c>
      <c r="P83" s="26">
        <v>112.7</v>
      </c>
      <c r="Q83" s="29">
        <v>17.0</v>
      </c>
      <c r="R83" s="26">
        <v>101.6</v>
      </c>
      <c r="S83" s="29">
        <v>58.0</v>
      </c>
      <c r="T83" s="30">
        <f>+2.89</f>
        <v>2.89</v>
      </c>
      <c r="U83" s="29">
        <v>106.0</v>
      </c>
    </row>
    <row r="84">
      <c r="A84" s="31">
        <v>80.0</v>
      </c>
      <c r="B84" s="32" t="s">
        <v>233</v>
      </c>
      <c r="C84" s="33" t="s">
        <v>234</v>
      </c>
      <c r="D84" s="31" t="s">
        <v>150</v>
      </c>
      <c r="E84" s="34">
        <f>+10.26</f>
        <v>10.26</v>
      </c>
      <c r="F84" s="35">
        <v>111.7</v>
      </c>
      <c r="G84" s="36">
        <v>83.0</v>
      </c>
      <c r="H84" s="31">
        <v>101.4</v>
      </c>
      <c r="I84" s="36">
        <v>85.0</v>
      </c>
      <c r="J84" s="35">
        <v>70.8</v>
      </c>
      <c r="K84" s="36">
        <v>39.0</v>
      </c>
      <c r="L84" s="37">
        <f>+0.132</f>
        <v>0.132</v>
      </c>
      <c r="M84" s="36">
        <v>7.0</v>
      </c>
      <c r="N84" s="37">
        <f>+11.2</f>
        <v>11.2</v>
      </c>
      <c r="O84" s="36">
        <v>29.0</v>
      </c>
      <c r="P84" s="31">
        <v>112.4</v>
      </c>
      <c r="Q84" s="36">
        <v>30.0</v>
      </c>
      <c r="R84" s="31">
        <v>101.2</v>
      </c>
      <c r="S84" s="36">
        <v>37.0</v>
      </c>
      <c r="T84" s="37">
        <f>+3.27</f>
        <v>3.27</v>
      </c>
      <c r="U84" s="36">
        <v>95.0</v>
      </c>
    </row>
    <row r="85">
      <c r="A85" s="1"/>
      <c r="B85" s="1"/>
      <c r="C85" s="1"/>
      <c r="D85" s="2"/>
      <c r="E85" s="2"/>
      <c r="F85" s="3"/>
      <c r="J85" s="3"/>
      <c r="L85" s="3"/>
      <c r="N85" s="4" t="s">
        <v>0</v>
      </c>
      <c r="T85" s="4" t="s">
        <v>1</v>
      </c>
    </row>
    <row r="86">
      <c r="A86" s="5" t="s">
        <v>235</v>
      </c>
      <c r="B86" s="6" t="s">
        <v>236</v>
      </c>
      <c r="C86" s="7" t="s">
        <v>4</v>
      </c>
      <c r="D86" s="5" t="s">
        <v>237</v>
      </c>
      <c r="E86" s="5" t="s">
        <v>238</v>
      </c>
      <c r="F86" s="10" t="s">
        <v>239</v>
      </c>
      <c r="H86" s="5" t="s">
        <v>240</v>
      </c>
      <c r="I86" s="2"/>
      <c r="J86" s="10" t="s">
        <v>241</v>
      </c>
      <c r="L86" s="10" t="s">
        <v>242</v>
      </c>
      <c r="N86" s="10" t="s">
        <v>243</v>
      </c>
      <c r="P86" s="5" t="s">
        <v>244</v>
      </c>
      <c r="Q86" s="2"/>
      <c r="R86" s="5" t="s">
        <v>245</v>
      </c>
      <c r="S86" s="2"/>
      <c r="T86" s="10" t="s">
        <v>246</v>
      </c>
    </row>
    <row r="87">
      <c r="A87" s="26">
        <v>81.0</v>
      </c>
      <c r="B87" s="15" t="s">
        <v>247</v>
      </c>
      <c r="C87" s="16" t="s">
        <v>248</v>
      </c>
      <c r="D87" s="26" t="s">
        <v>249</v>
      </c>
      <c r="E87" s="27">
        <f>+10.03</f>
        <v>10.03</v>
      </c>
      <c r="F87" s="28">
        <v>113.6</v>
      </c>
      <c r="G87" s="29">
        <v>57.0</v>
      </c>
      <c r="H87" s="26">
        <v>103.6</v>
      </c>
      <c r="I87" s="29">
        <v>122.0</v>
      </c>
      <c r="J87" s="28">
        <v>72.8</v>
      </c>
      <c r="K87" s="29">
        <v>8.0</v>
      </c>
      <c r="L87" s="30">
        <f>+0.11</f>
        <v>0.11</v>
      </c>
      <c r="M87" s="29">
        <v>11.0</v>
      </c>
      <c r="N87" s="28">
        <v>-2.14</v>
      </c>
      <c r="O87" s="29">
        <v>224.0</v>
      </c>
      <c r="P87" s="26">
        <v>104.5</v>
      </c>
      <c r="Q87" s="29">
        <v>259.0</v>
      </c>
      <c r="R87" s="26">
        <v>106.7</v>
      </c>
      <c r="S87" s="29">
        <v>196.0</v>
      </c>
      <c r="T87" s="28">
        <v>-5.47</v>
      </c>
      <c r="U87" s="29">
        <v>324.0</v>
      </c>
    </row>
    <row r="88">
      <c r="A88" s="21">
        <v>82.0</v>
      </c>
      <c r="B88" s="15" t="s">
        <v>250</v>
      </c>
      <c r="C88" s="16" t="s">
        <v>251</v>
      </c>
      <c r="D88" s="21" t="s">
        <v>252</v>
      </c>
      <c r="E88" s="22">
        <f>+9.97</f>
        <v>9.97</v>
      </c>
      <c r="F88" s="23">
        <v>109.5</v>
      </c>
      <c r="G88" s="24">
        <v>110.0</v>
      </c>
      <c r="H88" s="21">
        <v>99.6</v>
      </c>
      <c r="I88" s="24">
        <v>56.0</v>
      </c>
      <c r="J88" s="23">
        <v>68.6</v>
      </c>
      <c r="K88" s="24">
        <v>119.0</v>
      </c>
      <c r="L88" s="23">
        <v>-0.049</v>
      </c>
      <c r="M88" s="24">
        <v>299.0</v>
      </c>
      <c r="N88" s="23">
        <v>-0.05</v>
      </c>
      <c r="O88" s="24">
        <v>163.0</v>
      </c>
      <c r="P88" s="21">
        <v>106.0</v>
      </c>
      <c r="Q88" s="24">
        <v>181.0</v>
      </c>
      <c r="R88" s="21">
        <v>106.1</v>
      </c>
      <c r="S88" s="24">
        <v>165.0</v>
      </c>
      <c r="T88" s="25">
        <f>+5.68</f>
        <v>5.68</v>
      </c>
      <c r="U88" s="24">
        <v>52.0</v>
      </c>
    </row>
    <row r="89">
      <c r="A89" s="26">
        <v>83.0</v>
      </c>
      <c r="B89" s="15" t="s">
        <v>253</v>
      </c>
      <c r="C89" s="16" t="s">
        <v>254</v>
      </c>
      <c r="D89" s="26" t="s">
        <v>255</v>
      </c>
      <c r="E89" s="27">
        <f>+9.88</f>
        <v>9.88</v>
      </c>
      <c r="F89" s="28">
        <v>108.4</v>
      </c>
      <c r="G89" s="29">
        <v>134.0</v>
      </c>
      <c r="H89" s="26">
        <v>98.6</v>
      </c>
      <c r="I89" s="29">
        <v>41.0</v>
      </c>
      <c r="J89" s="28">
        <v>67.1</v>
      </c>
      <c r="K89" s="29">
        <v>213.0</v>
      </c>
      <c r="L89" s="30">
        <f>+0.019</f>
        <v>0.019</v>
      </c>
      <c r="M89" s="29">
        <v>139.0</v>
      </c>
      <c r="N89" s="28">
        <v>-1.31</v>
      </c>
      <c r="O89" s="29">
        <v>203.0</v>
      </c>
      <c r="P89" s="26">
        <v>106.4</v>
      </c>
      <c r="Q89" s="29">
        <v>163.0</v>
      </c>
      <c r="R89" s="26">
        <v>107.7</v>
      </c>
      <c r="S89" s="29">
        <v>259.0</v>
      </c>
      <c r="T89" s="30">
        <f>+0.21</f>
        <v>0.21</v>
      </c>
      <c r="U89" s="29">
        <v>188.0</v>
      </c>
    </row>
    <row r="90">
      <c r="A90" s="21">
        <v>84.0</v>
      </c>
      <c r="B90" s="15" t="s">
        <v>256</v>
      </c>
      <c r="C90" s="16" t="s">
        <v>257</v>
      </c>
      <c r="D90" s="21" t="s">
        <v>258</v>
      </c>
      <c r="E90" s="22">
        <f>+9.82</f>
        <v>9.82</v>
      </c>
      <c r="F90" s="23">
        <v>109.4</v>
      </c>
      <c r="G90" s="24">
        <v>112.0</v>
      </c>
      <c r="H90" s="21">
        <v>99.6</v>
      </c>
      <c r="I90" s="24">
        <v>58.0</v>
      </c>
      <c r="J90" s="23">
        <v>69.0</v>
      </c>
      <c r="K90" s="24">
        <v>96.0</v>
      </c>
      <c r="L90" s="25">
        <f>+0.034</f>
        <v>0.034</v>
      </c>
      <c r="M90" s="24">
        <v>103.0</v>
      </c>
      <c r="N90" s="25">
        <f>+10.47</f>
        <v>10.47</v>
      </c>
      <c r="O90" s="24">
        <v>39.0</v>
      </c>
      <c r="P90" s="21">
        <v>112.8</v>
      </c>
      <c r="Q90" s="24">
        <v>15.0</v>
      </c>
      <c r="R90" s="21">
        <v>102.4</v>
      </c>
      <c r="S90" s="24">
        <v>73.0</v>
      </c>
      <c r="T90" s="25">
        <f>+0.42</f>
        <v>0.42</v>
      </c>
      <c r="U90" s="24">
        <v>178.0</v>
      </c>
    </row>
    <row r="91">
      <c r="A91" s="26">
        <v>85.0</v>
      </c>
      <c r="B91" s="15" t="s">
        <v>259</v>
      </c>
      <c r="C91" s="16" t="s">
        <v>260</v>
      </c>
      <c r="D91" s="26" t="s">
        <v>261</v>
      </c>
      <c r="E91" s="27">
        <f>+9.63</f>
        <v>9.63</v>
      </c>
      <c r="F91" s="28">
        <v>110.5</v>
      </c>
      <c r="G91" s="29">
        <v>98.0</v>
      </c>
      <c r="H91" s="26">
        <v>100.8</v>
      </c>
      <c r="I91" s="29">
        <v>78.0</v>
      </c>
      <c r="J91" s="28">
        <v>68.2</v>
      </c>
      <c r="K91" s="29">
        <v>138.0</v>
      </c>
      <c r="L91" s="28">
        <v>-0.042</v>
      </c>
      <c r="M91" s="29">
        <v>289.0</v>
      </c>
      <c r="N91" s="30">
        <f>+10.88</f>
        <v>10.88</v>
      </c>
      <c r="O91" s="29">
        <v>36.0</v>
      </c>
      <c r="P91" s="26">
        <v>111.6</v>
      </c>
      <c r="Q91" s="29">
        <v>45.0</v>
      </c>
      <c r="R91" s="26">
        <v>100.7</v>
      </c>
      <c r="S91" s="29">
        <v>21.0</v>
      </c>
      <c r="T91" s="30">
        <f>+6.32</f>
        <v>6.32</v>
      </c>
      <c r="U91" s="29">
        <v>43.0</v>
      </c>
    </row>
    <row r="92">
      <c r="A92" s="21">
        <v>86.0</v>
      </c>
      <c r="B92" s="15" t="s">
        <v>262</v>
      </c>
      <c r="C92" s="16" t="s">
        <v>263</v>
      </c>
      <c r="D92" s="21" t="s">
        <v>150</v>
      </c>
      <c r="E92" s="22">
        <f>+9.36</f>
        <v>9.36</v>
      </c>
      <c r="F92" s="23">
        <v>113.9</v>
      </c>
      <c r="G92" s="24">
        <v>54.0</v>
      </c>
      <c r="H92" s="21">
        <v>104.5</v>
      </c>
      <c r="I92" s="24">
        <v>141.0</v>
      </c>
      <c r="J92" s="23">
        <v>66.9</v>
      </c>
      <c r="K92" s="24">
        <v>223.0</v>
      </c>
      <c r="L92" s="25">
        <f>+0.095</f>
        <v>0.095</v>
      </c>
      <c r="M92" s="24">
        <v>16.0</v>
      </c>
      <c r="N92" s="25">
        <f>+8.78</f>
        <v>8.78</v>
      </c>
      <c r="O92" s="24">
        <v>78.0</v>
      </c>
      <c r="P92" s="21">
        <v>111.0</v>
      </c>
      <c r="Q92" s="24">
        <v>63.0</v>
      </c>
      <c r="R92" s="21">
        <v>102.2</v>
      </c>
      <c r="S92" s="24">
        <v>71.0</v>
      </c>
      <c r="T92" s="23">
        <v>-1.54</v>
      </c>
      <c r="U92" s="24">
        <v>244.0</v>
      </c>
    </row>
    <row r="93">
      <c r="A93" s="26">
        <v>87.0</v>
      </c>
      <c r="B93" s="15" t="s">
        <v>264</v>
      </c>
      <c r="C93" s="16" t="s">
        <v>265</v>
      </c>
      <c r="D93" s="26" t="s">
        <v>101</v>
      </c>
      <c r="E93" s="27">
        <f>+9.26</f>
        <v>9.26</v>
      </c>
      <c r="F93" s="28">
        <v>111.0</v>
      </c>
      <c r="G93" s="29">
        <v>89.0</v>
      </c>
      <c r="H93" s="26">
        <v>101.7</v>
      </c>
      <c r="I93" s="29">
        <v>91.0</v>
      </c>
      <c r="J93" s="28">
        <v>68.2</v>
      </c>
      <c r="K93" s="29">
        <v>139.0</v>
      </c>
      <c r="L93" s="30">
        <f>+0.049</f>
        <v>0.049</v>
      </c>
      <c r="M93" s="29">
        <v>67.0</v>
      </c>
      <c r="N93" s="30">
        <f>+0.97</f>
        <v>0.97</v>
      </c>
      <c r="O93" s="29">
        <v>139.0</v>
      </c>
      <c r="P93" s="26">
        <v>106.5</v>
      </c>
      <c r="Q93" s="29">
        <v>160.0</v>
      </c>
      <c r="R93" s="26">
        <v>105.5</v>
      </c>
      <c r="S93" s="29">
        <v>145.0</v>
      </c>
      <c r="T93" s="28">
        <v>-4.18</v>
      </c>
      <c r="U93" s="29">
        <v>298.0</v>
      </c>
    </row>
    <row r="94">
      <c r="A94" s="21">
        <v>88.0</v>
      </c>
      <c r="B94" s="15" t="s">
        <v>266</v>
      </c>
      <c r="C94" s="16" t="s">
        <v>267</v>
      </c>
      <c r="D94" s="21" t="s">
        <v>52</v>
      </c>
      <c r="E94" s="22">
        <f>+9.19</f>
        <v>9.19</v>
      </c>
      <c r="F94" s="23">
        <v>107.2</v>
      </c>
      <c r="G94" s="24">
        <v>158.0</v>
      </c>
      <c r="H94" s="21">
        <v>98.0</v>
      </c>
      <c r="I94" s="24">
        <v>31.0</v>
      </c>
      <c r="J94" s="23">
        <v>66.2</v>
      </c>
      <c r="K94" s="24">
        <v>264.0</v>
      </c>
      <c r="L94" s="25">
        <f>+0.079</f>
        <v>0.079</v>
      </c>
      <c r="M94" s="24">
        <v>24.0</v>
      </c>
      <c r="N94" s="25">
        <f>+5.68</f>
        <v>5.68</v>
      </c>
      <c r="O94" s="24">
        <v>91.0</v>
      </c>
      <c r="P94" s="21">
        <v>109.7</v>
      </c>
      <c r="Q94" s="24">
        <v>90.0</v>
      </c>
      <c r="R94" s="21">
        <v>104.0</v>
      </c>
      <c r="S94" s="24">
        <v>98.0</v>
      </c>
      <c r="T94" s="25">
        <f>+1.51</f>
        <v>1.51</v>
      </c>
      <c r="U94" s="24">
        <v>145.0</v>
      </c>
    </row>
    <row r="95">
      <c r="A95" s="26">
        <v>89.0</v>
      </c>
      <c r="B95" s="15" t="s">
        <v>268</v>
      </c>
      <c r="C95" s="16" t="s">
        <v>269</v>
      </c>
      <c r="D95" s="26" t="s">
        <v>79</v>
      </c>
      <c r="E95" s="27">
        <f>+9.08</f>
        <v>9.08</v>
      </c>
      <c r="F95" s="28">
        <v>107.2</v>
      </c>
      <c r="G95" s="29">
        <v>156.0</v>
      </c>
      <c r="H95" s="26">
        <v>98.1</v>
      </c>
      <c r="I95" s="29">
        <v>34.0</v>
      </c>
      <c r="J95" s="28">
        <v>66.8</v>
      </c>
      <c r="K95" s="29">
        <v>230.0</v>
      </c>
      <c r="L95" s="30">
        <f>+0.043</f>
        <v>0.043</v>
      </c>
      <c r="M95" s="29">
        <v>85.0</v>
      </c>
      <c r="N95" s="30">
        <f>+3.37</f>
        <v>3.37</v>
      </c>
      <c r="O95" s="29">
        <v>108.0</v>
      </c>
      <c r="P95" s="26">
        <v>107.8</v>
      </c>
      <c r="Q95" s="29">
        <v>113.0</v>
      </c>
      <c r="R95" s="26">
        <v>104.4</v>
      </c>
      <c r="S95" s="29">
        <v>112.0</v>
      </c>
      <c r="T95" s="28">
        <v>-3.01</v>
      </c>
      <c r="U95" s="29">
        <v>273.0</v>
      </c>
    </row>
    <row r="96">
      <c r="A96" s="31">
        <v>90.0</v>
      </c>
      <c r="B96" s="32" t="s">
        <v>270</v>
      </c>
      <c r="C96" s="33" t="s">
        <v>271</v>
      </c>
      <c r="D96" s="31" t="s">
        <v>79</v>
      </c>
      <c r="E96" s="34">
        <f>+9.07</f>
        <v>9.07</v>
      </c>
      <c r="F96" s="35">
        <v>110.9</v>
      </c>
      <c r="G96" s="36">
        <v>91.0</v>
      </c>
      <c r="H96" s="31">
        <v>101.8</v>
      </c>
      <c r="I96" s="36">
        <v>93.0</v>
      </c>
      <c r="J96" s="35">
        <v>64.9</v>
      </c>
      <c r="K96" s="36">
        <v>315.0</v>
      </c>
      <c r="L96" s="37">
        <f>+0.04</f>
        <v>0.04</v>
      </c>
      <c r="M96" s="36">
        <v>91.0</v>
      </c>
      <c r="N96" s="37">
        <f>+3.07</f>
        <v>3.07</v>
      </c>
      <c r="O96" s="36">
        <v>110.0</v>
      </c>
      <c r="P96" s="31">
        <v>108.7</v>
      </c>
      <c r="Q96" s="36">
        <v>100.0</v>
      </c>
      <c r="R96" s="31">
        <v>105.6</v>
      </c>
      <c r="S96" s="36">
        <v>151.0</v>
      </c>
      <c r="T96" s="37">
        <f>+5.01</f>
        <v>5.01</v>
      </c>
      <c r="U96" s="36">
        <v>66.0</v>
      </c>
    </row>
    <row r="97">
      <c r="A97" s="26">
        <v>91.0</v>
      </c>
      <c r="B97" s="15" t="s">
        <v>272</v>
      </c>
      <c r="C97" s="16" t="s">
        <v>273</v>
      </c>
      <c r="D97" s="26" t="s">
        <v>274</v>
      </c>
      <c r="E97" s="27">
        <f>+8.74</f>
        <v>8.74</v>
      </c>
      <c r="F97" s="28">
        <v>109.8</v>
      </c>
      <c r="G97" s="29">
        <v>105.0</v>
      </c>
      <c r="H97" s="26">
        <v>101.1</v>
      </c>
      <c r="I97" s="29">
        <v>84.0</v>
      </c>
      <c r="J97" s="28">
        <v>68.5</v>
      </c>
      <c r="K97" s="29">
        <v>122.0</v>
      </c>
      <c r="L97" s="30">
        <f>+0.138</f>
        <v>0.138</v>
      </c>
      <c r="M97" s="29">
        <v>6.0</v>
      </c>
      <c r="N97" s="30">
        <f>+11.77</f>
        <v>11.77</v>
      </c>
      <c r="O97" s="29">
        <v>21.0</v>
      </c>
      <c r="P97" s="26">
        <v>113.0</v>
      </c>
      <c r="Q97" s="29">
        <v>12.0</v>
      </c>
      <c r="R97" s="26">
        <v>101.2</v>
      </c>
      <c r="S97" s="29">
        <v>38.0</v>
      </c>
      <c r="T97" s="28">
        <v>-0.89</v>
      </c>
      <c r="U97" s="29">
        <v>223.0</v>
      </c>
    </row>
    <row r="98">
      <c r="A98" s="21">
        <v>92.0</v>
      </c>
      <c r="B98" s="15" t="s">
        <v>275</v>
      </c>
      <c r="C98" s="16" t="s">
        <v>276</v>
      </c>
      <c r="D98" s="21" t="s">
        <v>277</v>
      </c>
      <c r="E98" s="22">
        <f>+8.58</f>
        <v>8.58</v>
      </c>
      <c r="F98" s="23">
        <v>111.8</v>
      </c>
      <c r="G98" s="24">
        <v>82.0</v>
      </c>
      <c r="H98" s="21">
        <v>103.2</v>
      </c>
      <c r="I98" s="24">
        <v>116.0</v>
      </c>
      <c r="J98" s="23">
        <v>68.3</v>
      </c>
      <c r="K98" s="24">
        <v>136.0</v>
      </c>
      <c r="L98" s="23">
        <v>-0.063</v>
      </c>
      <c r="M98" s="24">
        <v>321.0</v>
      </c>
      <c r="N98" s="25">
        <f>+0.59</f>
        <v>0.59</v>
      </c>
      <c r="O98" s="24">
        <v>146.0</v>
      </c>
      <c r="P98" s="21">
        <v>106.3</v>
      </c>
      <c r="Q98" s="24">
        <v>170.0</v>
      </c>
      <c r="R98" s="21">
        <v>105.7</v>
      </c>
      <c r="S98" s="24">
        <v>155.0</v>
      </c>
      <c r="T98" s="23">
        <v>-5.4</v>
      </c>
      <c r="U98" s="24">
        <v>321.0</v>
      </c>
    </row>
    <row r="99">
      <c r="A99" s="26">
        <v>93.0</v>
      </c>
      <c r="B99" s="15" t="s">
        <v>278</v>
      </c>
      <c r="C99" s="16" t="s">
        <v>279</v>
      </c>
      <c r="D99" s="26" t="s">
        <v>79</v>
      </c>
      <c r="E99" s="27">
        <f>+8.38</f>
        <v>8.38</v>
      </c>
      <c r="F99" s="28">
        <v>105.5</v>
      </c>
      <c r="G99" s="29">
        <v>192.0</v>
      </c>
      <c r="H99" s="26">
        <v>97.1</v>
      </c>
      <c r="I99" s="29">
        <v>28.0</v>
      </c>
      <c r="J99" s="28">
        <v>68.7</v>
      </c>
      <c r="K99" s="29">
        <v>110.0</v>
      </c>
      <c r="L99" s="30">
        <f>+0.056</f>
        <v>0.056</v>
      </c>
      <c r="M99" s="29">
        <v>54.0</v>
      </c>
      <c r="N99" s="30">
        <f>+3.03</f>
        <v>3.03</v>
      </c>
      <c r="O99" s="29">
        <v>111.0</v>
      </c>
      <c r="P99" s="26">
        <v>107.6</v>
      </c>
      <c r="Q99" s="29">
        <v>121.0</v>
      </c>
      <c r="R99" s="26">
        <v>104.6</v>
      </c>
      <c r="S99" s="29">
        <v>116.0</v>
      </c>
      <c r="T99" s="28">
        <v>-3.5</v>
      </c>
      <c r="U99" s="29">
        <v>285.0</v>
      </c>
    </row>
    <row r="100">
      <c r="A100" s="21">
        <v>94.0</v>
      </c>
      <c r="B100" s="15" t="s">
        <v>280</v>
      </c>
      <c r="C100" s="16" t="s">
        <v>281</v>
      </c>
      <c r="D100" s="21" t="s">
        <v>226</v>
      </c>
      <c r="E100" s="22">
        <f>+8.33</f>
        <v>8.33</v>
      </c>
      <c r="F100" s="23">
        <v>108.8</v>
      </c>
      <c r="G100" s="24">
        <v>127.0</v>
      </c>
      <c r="H100" s="21">
        <v>100.5</v>
      </c>
      <c r="I100" s="24">
        <v>69.0</v>
      </c>
      <c r="J100" s="23">
        <v>65.8</v>
      </c>
      <c r="K100" s="24">
        <v>281.0</v>
      </c>
      <c r="L100" s="23">
        <v>-0.072</v>
      </c>
      <c r="M100" s="24">
        <v>330.0</v>
      </c>
      <c r="N100" s="23">
        <v>-0.24</v>
      </c>
      <c r="O100" s="24">
        <v>172.0</v>
      </c>
      <c r="P100" s="21">
        <v>104.7</v>
      </c>
      <c r="Q100" s="24">
        <v>250.0</v>
      </c>
      <c r="R100" s="21">
        <v>104.9</v>
      </c>
      <c r="S100" s="24">
        <v>127.0</v>
      </c>
      <c r="T100" s="25">
        <f>+3.95</f>
        <v>3.95</v>
      </c>
      <c r="U100" s="24">
        <v>84.0</v>
      </c>
    </row>
    <row r="101">
      <c r="A101" s="26">
        <v>95.0</v>
      </c>
      <c r="B101" s="15" t="s">
        <v>282</v>
      </c>
      <c r="C101" s="16" t="s">
        <v>283</v>
      </c>
      <c r="D101" s="26" t="s">
        <v>201</v>
      </c>
      <c r="E101" s="27">
        <f>+8.26</f>
        <v>8.26</v>
      </c>
      <c r="F101" s="28">
        <v>110.5</v>
      </c>
      <c r="G101" s="29">
        <v>99.0</v>
      </c>
      <c r="H101" s="26">
        <v>102.2</v>
      </c>
      <c r="I101" s="29">
        <v>99.0</v>
      </c>
      <c r="J101" s="28">
        <v>69.9</v>
      </c>
      <c r="K101" s="29">
        <v>61.0</v>
      </c>
      <c r="L101" s="28">
        <v>-0.019</v>
      </c>
      <c r="M101" s="29">
        <v>243.0</v>
      </c>
      <c r="N101" s="30">
        <f>+8.85</f>
        <v>8.85</v>
      </c>
      <c r="O101" s="29">
        <v>77.0</v>
      </c>
      <c r="P101" s="26">
        <v>111.3</v>
      </c>
      <c r="Q101" s="29">
        <v>54.0</v>
      </c>
      <c r="R101" s="26">
        <v>102.4</v>
      </c>
      <c r="S101" s="29">
        <v>77.0</v>
      </c>
      <c r="T101" s="28">
        <v>-1.46</v>
      </c>
      <c r="U101" s="29">
        <v>240.0</v>
      </c>
    </row>
    <row r="102">
      <c r="A102" s="21">
        <v>96.0</v>
      </c>
      <c r="B102" s="15" t="s">
        <v>284</v>
      </c>
      <c r="C102" s="16" t="s">
        <v>285</v>
      </c>
      <c r="D102" s="21" t="s">
        <v>286</v>
      </c>
      <c r="E102" s="22">
        <f>+8.17</f>
        <v>8.17</v>
      </c>
      <c r="F102" s="23">
        <v>111.2</v>
      </c>
      <c r="G102" s="24">
        <v>88.0</v>
      </c>
      <c r="H102" s="21">
        <v>103.0</v>
      </c>
      <c r="I102" s="24">
        <v>112.0</v>
      </c>
      <c r="J102" s="23">
        <v>68.6</v>
      </c>
      <c r="K102" s="24">
        <v>113.0</v>
      </c>
      <c r="L102" s="23">
        <v>-0.059</v>
      </c>
      <c r="M102" s="24">
        <v>315.0</v>
      </c>
      <c r="N102" s="25">
        <f>+9.83</f>
        <v>9.83</v>
      </c>
      <c r="O102" s="24">
        <v>52.0</v>
      </c>
      <c r="P102" s="21">
        <v>111.2</v>
      </c>
      <c r="Q102" s="24">
        <v>57.0</v>
      </c>
      <c r="R102" s="21">
        <v>101.4</v>
      </c>
      <c r="S102" s="24">
        <v>45.0</v>
      </c>
      <c r="T102" s="23">
        <v>-2.64</v>
      </c>
      <c r="U102" s="24">
        <v>267.0</v>
      </c>
    </row>
    <row r="103">
      <c r="A103" s="26">
        <v>97.0</v>
      </c>
      <c r="B103" s="15" t="s">
        <v>287</v>
      </c>
      <c r="C103" s="16" t="s">
        <v>288</v>
      </c>
      <c r="D103" s="26" t="s">
        <v>150</v>
      </c>
      <c r="E103" s="27">
        <f>+8.09</f>
        <v>8.09</v>
      </c>
      <c r="F103" s="28">
        <v>109.5</v>
      </c>
      <c r="G103" s="29">
        <v>108.0</v>
      </c>
      <c r="H103" s="26">
        <v>101.5</v>
      </c>
      <c r="I103" s="29">
        <v>88.0</v>
      </c>
      <c r="J103" s="28">
        <v>63.8</v>
      </c>
      <c r="K103" s="29">
        <v>344.0</v>
      </c>
      <c r="L103" s="28">
        <v>-0.033</v>
      </c>
      <c r="M103" s="29">
        <v>269.0</v>
      </c>
      <c r="N103" s="30">
        <f>+2.26</f>
        <v>2.26</v>
      </c>
      <c r="O103" s="29">
        <v>125.0</v>
      </c>
      <c r="P103" s="26">
        <v>107.6</v>
      </c>
      <c r="Q103" s="29">
        <v>120.0</v>
      </c>
      <c r="R103" s="26">
        <v>105.4</v>
      </c>
      <c r="S103" s="29">
        <v>138.0</v>
      </c>
      <c r="T103" s="28">
        <v>-3.27</v>
      </c>
      <c r="U103" s="29">
        <v>280.0</v>
      </c>
    </row>
    <row r="104">
      <c r="A104" s="21">
        <v>98.0</v>
      </c>
      <c r="B104" s="15" t="s">
        <v>289</v>
      </c>
      <c r="C104" s="16" t="s">
        <v>290</v>
      </c>
      <c r="D104" s="21" t="s">
        <v>190</v>
      </c>
      <c r="E104" s="22">
        <f>+7.96</f>
        <v>7.96</v>
      </c>
      <c r="F104" s="23">
        <v>107.4</v>
      </c>
      <c r="G104" s="24">
        <v>152.0</v>
      </c>
      <c r="H104" s="21">
        <v>99.4</v>
      </c>
      <c r="I104" s="24">
        <v>50.0</v>
      </c>
      <c r="J104" s="23">
        <v>63.1</v>
      </c>
      <c r="K104" s="24">
        <v>353.0</v>
      </c>
      <c r="L104" s="23">
        <v>-0.028</v>
      </c>
      <c r="M104" s="24">
        <v>263.0</v>
      </c>
      <c r="N104" s="25">
        <f>+9.05</f>
        <v>9.05</v>
      </c>
      <c r="O104" s="24">
        <v>72.0</v>
      </c>
      <c r="P104" s="21">
        <v>110.5</v>
      </c>
      <c r="Q104" s="24">
        <v>75.0</v>
      </c>
      <c r="R104" s="21">
        <v>101.5</v>
      </c>
      <c r="S104" s="24">
        <v>51.0</v>
      </c>
      <c r="T104" s="25">
        <f>+0.68</f>
        <v>0.68</v>
      </c>
      <c r="U104" s="24">
        <v>167.0</v>
      </c>
    </row>
    <row r="105">
      <c r="A105" s="26">
        <v>99.0</v>
      </c>
      <c r="B105" s="15" t="s">
        <v>291</v>
      </c>
      <c r="C105" s="16" t="s">
        <v>292</v>
      </c>
      <c r="D105" s="26" t="s">
        <v>91</v>
      </c>
      <c r="E105" s="27">
        <f>+7.69</f>
        <v>7.69</v>
      </c>
      <c r="F105" s="28">
        <v>110.6</v>
      </c>
      <c r="G105" s="29">
        <v>94.0</v>
      </c>
      <c r="H105" s="26">
        <v>102.9</v>
      </c>
      <c r="I105" s="29">
        <v>108.0</v>
      </c>
      <c r="J105" s="28">
        <v>68.5</v>
      </c>
      <c r="K105" s="29">
        <v>125.0</v>
      </c>
      <c r="L105" s="28">
        <v>-0.044</v>
      </c>
      <c r="M105" s="29">
        <v>291.0</v>
      </c>
      <c r="N105" s="30">
        <f>+2.59</f>
        <v>2.59</v>
      </c>
      <c r="O105" s="29">
        <v>119.0</v>
      </c>
      <c r="P105" s="26">
        <v>107.3</v>
      </c>
      <c r="Q105" s="29">
        <v>132.0</v>
      </c>
      <c r="R105" s="26">
        <v>104.7</v>
      </c>
      <c r="S105" s="29">
        <v>121.0</v>
      </c>
      <c r="T105" s="28">
        <v>-6.28</v>
      </c>
      <c r="U105" s="29">
        <v>338.0</v>
      </c>
    </row>
    <row r="106">
      <c r="A106" s="31">
        <v>100.0</v>
      </c>
      <c r="B106" s="32" t="s">
        <v>293</v>
      </c>
      <c r="C106" s="33" t="s">
        <v>294</v>
      </c>
      <c r="D106" s="31" t="s">
        <v>286</v>
      </c>
      <c r="E106" s="34">
        <f>+7.56</f>
        <v>7.56</v>
      </c>
      <c r="F106" s="35">
        <v>99.4</v>
      </c>
      <c r="G106" s="36">
        <v>298.0</v>
      </c>
      <c r="H106" s="31">
        <v>91.8</v>
      </c>
      <c r="I106" s="36">
        <v>5.0</v>
      </c>
      <c r="J106" s="35">
        <v>67.9</v>
      </c>
      <c r="K106" s="36">
        <v>154.0</v>
      </c>
      <c r="L106" s="35">
        <v>0.0</v>
      </c>
      <c r="M106" s="36">
        <v>185.0</v>
      </c>
      <c r="N106" s="37">
        <f>+11.47</f>
        <v>11.47</v>
      </c>
      <c r="O106" s="36">
        <v>25.0</v>
      </c>
      <c r="P106" s="31">
        <v>112.7</v>
      </c>
      <c r="Q106" s="36">
        <v>19.0</v>
      </c>
      <c r="R106" s="31">
        <v>101.2</v>
      </c>
      <c r="S106" s="36">
        <v>39.0</v>
      </c>
      <c r="T106" s="35">
        <v>-3.0</v>
      </c>
      <c r="U106" s="36">
        <v>271.0</v>
      </c>
    </row>
    <row r="107">
      <c r="A107" s="26">
        <v>101.0</v>
      </c>
      <c r="B107" s="15" t="s">
        <v>295</v>
      </c>
      <c r="C107" s="16" t="s">
        <v>296</v>
      </c>
      <c r="D107" s="26" t="s">
        <v>26</v>
      </c>
      <c r="E107" s="27">
        <f>+7.52</f>
        <v>7.52</v>
      </c>
      <c r="F107" s="28">
        <v>113.9</v>
      </c>
      <c r="G107" s="29">
        <v>53.0</v>
      </c>
      <c r="H107" s="26">
        <v>106.4</v>
      </c>
      <c r="I107" s="29">
        <v>179.0</v>
      </c>
      <c r="J107" s="28">
        <v>70.3</v>
      </c>
      <c r="K107" s="29">
        <v>51.0</v>
      </c>
      <c r="L107" s="30">
        <f>+0.047</f>
        <v>0.047</v>
      </c>
      <c r="M107" s="29">
        <v>71.0</v>
      </c>
      <c r="N107" s="28">
        <v>-1.68</v>
      </c>
      <c r="O107" s="29">
        <v>211.0</v>
      </c>
      <c r="P107" s="26">
        <v>105.9</v>
      </c>
      <c r="Q107" s="29">
        <v>185.0</v>
      </c>
      <c r="R107" s="26">
        <v>107.5</v>
      </c>
      <c r="S107" s="29">
        <v>249.0</v>
      </c>
      <c r="T107" s="28">
        <v>-0.38</v>
      </c>
      <c r="U107" s="29">
        <v>206.0</v>
      </c>
    </row>
    <row r="108">
      <c r="A108" s="21">
        <v>102.0</v>
      </c>
      <c r="B108" s="15" t="s">
        <v>297</v>
      </c>
      <c r="C108" s="16" t="s">
        <v>298</v>
      </c>
      <c r="D108" s="21" t="s">
        <v>73</v>
      </c>
      <c r="E108" s="22">
        <f>+7.33</f>
        <v>7.33</v>
      </c>
      <c r="F108" s="23">
        <v>111.6</v>
      </c>
      <c r="G108" s="24">
        <v>84.0</v>
      </c>
      <c r="H108" s="21">
        <v>104.3</v>
      </c>
      <c r="I108" s="24">
        <v>137.0</v>
      </c>
      <c r="J108" s="23">
        <v>65.7</v>
      </c>
      <c r="K108" s="24">
        <v>289.0</v>
      </c>
      <c r="L108" s="23">
        <v>-0.019</v>
      </c>
      <c r="M108" s="24">
        <v>241.0</v>
      </c>
      <c r="N108" s="25">
        <f>+2.42</f>
        <v>2.42</v>
      </c>
      <c r="O108" s="24">
        <v>123.0</v>
      </c>
      <c r="P108" s="21">
        <v>106.6</v>
      </c>
      <c r="Q108" s="24">
        <v>155.0</v>
      </c>
      <c r="R108" s="21">
        <v>104.2</v>
      </c>
      <c r="S108" s="24">
        <v>102.0</v>
      </c>
      <c r="T108" s="23">
        <v>-4.53</v>
      </c>
      <c r="U108" s="24">
        <v>309.0</v>
      </c>
    </row>
    <row r="109">
      <c r="A109" s="26">
        <v>103.0</v>
      </c>
      <c r="B109" s="15" t="s">
        <v>299</v>
      </c>
      <c r="C109" s="16" t="s">
        <v>300</v>
      </c>
      <c r="D109" s="26" t="s">
        <v>301</v>
      </c>
      <c r="E109" s="27">
        <f>+7.19</f>
        <v>7.19</v>
      </c>
      <c r="F109" s="28">
        <v>113.4</v>
      </c>
      <c r="G109" s="29">
        <v>60.0</v>
      </c>
      <c r="H109" s="26">
        <v>106.2</v>
      </c>
      <c r="I109" s="29">
        <v>176.0</v>
      </c>
      <c r="J109" s="28">
        <v>71.5</v>
      </c>
      <c r="K109" s="29">
        <v>23.0</v>
      </c>
      <c r="L109" s="30">
        <f>+0.024</f>
        <v>0.024</v>
      </c>
      <c r="M109" s="29">
        <v>123.0</v>
      </c>
      <c r="N109" s="30">
        <f>+0.42</f>
        <v>0.42</v>
      </c>
      <c r="O109" s="29">
        <v>152.0</v>
      </c>
      <c r="P109" s="26">
        <v>106.2</v>
      </c>
      <c r="Q109" s="29">
        <v>176.0</v>
      </c>
      <c r="R109" s="26">
        <v>105.7</v>
      </c>
      <c r="S109" s="29">
        <v>154.0</v>
      </c>
      <c r="T109" s="30">
        <f>+0.14</f>
        <v>0.14</v>
      </c>
      <c r="U109" s="29">
        <v>192.0</v>
      </c>
    </row>
    <row r="110">
      <c r="A110" s="21">
        <v>104.0</v>
      </c>
      <c r="B110" s="15" t="s">
        <v>302</v>
      </c>
      <c r="C110" s="16" t="s">
        <v>303</v>
      </c>
      <c r="D110" s="21" t="s">
        <v>162</v>
      </c>
      <c r="E110" s="22">
        <f>+6.61</f>
        <v>6.61</v>
      </c>
      <c r="F110" s="23">
        <v>106.5</v>
      </c>
      <c r="G110" s="24">
        <v>170.0</v>
      </c>
      <c r="H110" s="21">
        <v>99.9</v>
      </c>
      <c r="I110" s="24">
        <v>61.0</v>
      </c>
      <c r="J110" s="23">
        <v>63.3</v>
      </c>
      <c r="K110" s="24">
        <v>350.0</v>
      </c>
      <c r="L110" s="25">
        <f>+0.078</f>
        <v>0.078</v>
      </c>
      <c r="M110" s="24">
        <v>26.0</v>
      </c>
      <c r="N110" s="23">
        <v>-2.2</v>
      </c>
      <c r="O110" s="24">
        <v>226.0</v>
      </c>
      <c r="P110" s="21">
        <v>104.7</v>
      </c>
      <c r="Q110" s="24">
        <v>254.0</v>
      </c>
      <c r="R110" s="21">
        <v>106.9</v>
      </c>
      <c r="S110" s="24">
        <v>211.0</v>
      </c>
      <c r="T110" s="25">
        <f>+2.3</f>
        <v>2.3</v>
      </c>
      <c r="U110" s="24">
        <v>120.0</v>
      </c>
    </row>
    <row r="111">
      <c r="A111" s="26">
        <v>105.0</v>
      </c>
      <c r="B111" s="15" t="s">
        <v>304</v>
      </c>
      <c r="C111" s="16" t="s">
        <v>305</v>
      </c>
      <c r="D111" s="26" t="s">
        <v>306</v>
      </c>
      <c r="E111" s="27">
        <f>+6.57</f>
        <v>6.57</v>
      </c>
      <c r="F111" s="28">
        <v>110.5</v>
      </c>
      <c r="G111" s="29">
        <v>97.0</v>
      </c>
      <c r="H111" s="26">
        <v>103.9</v>
      </c>
      <c r="I111" s="29">
        <v>128.0</v>
      </c>
      <c r="J111" s="28">
        <v>69.7</v>
      </c>
      <c r="K111" s="29">
        <v>71.0</v>
      </c>
      <c r="L111" s="28">
        <v>-0.052</v>
      </c>
      <c r="M111" s="29">
        <v>301.0</v>
      </c>
      <c r="N111" s="30">
        <f>+8.01</f>
        <v>8.01</v>
      </c>
      <c r="O111" s="29">
        <v>82.0</v>
      </c>
      <c r="P111" s="26">
        <v>110.0</v>
      </c>
      <c r="Q111" s="29">
        <v>85.0</v>
      </c>
      <c r="R111" s="26">
        <v>102.0</v>
      </c>
      <c r="S111" s="29">
        <v>68.0</v>
      </c>
      <c r="T111" s="28">
        <v>-1.88</v>
      </c>
      <c r="U111" s="29">
        <v>253.0</v>
      </c>
    </row>
    <row r="112">
      <c r="A112" s="21">
        <v>106.0</v>
      </c>
      <c r="B112" s="15" t="s">
        <v>307</v>
      </c>
      <c r="C112" s="16" t="s">
        <v>308</v>
      </c>
      <c r="D112" s="21" t="s">
        <v>196</v>
      </c>
      <c r="E112" s="22">
        <f>+6.49</f>
        <v>6.49</v>
      </c>
      <c r="F112" s="23">
        <v>113.7</v>
      </c>
      <c r="G112" s="24">
        <v>56.0</v>
      </c>
      <c r="H112" s="21">
        <v>107.2</v>
      </c>
      <c r="I112" s="24">
        <v>198.0</v>
      </c>
      <c r="J112" s="23">
        <v>67.8</v>
      </c>
      <c r="K112" s="24">
        <v>158.0</v>
      </c>
      <c r="L112" s="25">
        <f>+0.102</f>
        <v>0.102</v>
      </c>
      <c r="M112" s="24">
        <v>13.0</v>
      </c>
      <c r="N112" s="25">
        <f>+4.78</f>
        <v>4.78</v>
      </c>
      <c r="O112" s="24">
        <v>100.0</v>
      </c>
      <c r="P112" s="21">
        <v>108.9</v>
      </c>
      <c r="Q112" s="24">
        <v>97.0</v>
      </c>
      <c r="R112" s="21">
        <v>104.2</v>
      </c>
      <c r="S112" s="24">
        <v>103.0</v>
      </c>
      <c r="T112" s="25">
        <f>+1.94</f>
        <v>1.94</v>
      </c>
      <c r="U112" s="24">
        <v>131.0</v>
      </c>
    </row>
    <row r="113">
      <c r="A113" s="26">
        <v>107.0</v>
      </c>
      <c r="B113" s="15" t="s">
        <v>309</v>
      </c>
      <c r="C113" s="16" t="s">
        <v>310</v>
      </c>
      <c r="D113" s="26" t="s">
        <v>311</v>
      </c>
      <c r="E113" s="27">
        <f>+6.48</f>
        <v>6.48</v>
      </c>
      <c r="F113" s="28">
        <v>105.9</v>
      </c>
      <c r="G113" s="29">
        <v>182.0</v>
      </c>
      <c r="H113" s="26">
        <v>99.4</v>
      </c>
      <c r="I113" s="29">
        <v>53.0</v>
      </c>
      <c r="J113" s="28">
        <v>66.9</v>
      </c>
      <c r="K113" s="29">
        <v>222.0</v>
      </c>
      <c r="L113" s="28">
        <v>-0.07</v>
      </c>
      <c r="M113" s="29">
        <v>328.0</v>
      </c>
      <c r="N113" s="28">
        <v>-0.69</v>
      </c>
      <c r="O113" s="29">
        <v>186.0</v>
      </c>
      <c r="P113" s="26">
        <v>104.7</v>
      </c>
      <c r="Q113" s="29">
        <v>253.0</v>
      </c>
      <c r="R113" s="26">
        <v>105.4</v>
      </c>
      <c r="S113" s="29">
        <v>141.0</v>
      </c>
      <c r="T113" s="28">
        <v>-1.34</v>
      </c>
      <c r="U113" s="29">
        <v>235.0</v>
      </c>
    </row>
    <row r="114">
      <c r="A114" s="21">
        <v>108.0</v>
      </c>
      <c r="B114" s="15" t="s">
        <v>312</v>
      </c>
      <c r="C114" s="16" t="s">
        <v>313</v>
      </c>
      <c r="D114" s="21" t="s">
        <v>190</v>
      </c>
      <c r="E114" s="22">
        <f>+5.87</f>
        <v>5.87</v>
      </c>
      <c r="F114" s="23">
        <v>110.0</v>
      </c>
      <c r="G114" s="24">
        <v>103.0</v>
      </c>
      <c r="H114" s="21">
        <v>104.1</v>
      </c>
      <c r="I114" s="24">
        <v>133.0</v>
      </c>
      <c r="J114" s="23">
        <v>70.8</v>
      </c>
      <c r="K114" s="24">
        <v>38.0</v>
      </c>
      <c r="L114" s="25">
        <f>+0.046</f>
        <v>0.046</v>
      </c>
      <c r="M114" s="24">
        <v>72.0</v>
      </c>
      <c r="N114" s="25">
        <f>+9.6</f>
        <v>9.6</v>
      </c>
      <c r="O114" s="24">
        <v>57.0</v>
      </c>
      <c r="P114" s="21">
        <v>112.6</v>
      </c>
      <c r="Q114" s="24">
        <v>23.0</v>
      </c>
      <c r="R114" s="21">
        <v>103.0</v>
      </c>
      <c r="S114" s="24">
        <v>87.0</v>
      </c>
      <c r="T114" s="25">
        <f>+2.08</f>
        <v>2.08</v>
      </c>
      <c r="U114" s="24">
        <v>124.0</v>
      </c>
    </row>
    <row r="115">
      <c r="A115" s="26">
        <v>109.0</v>
      </c>
      <c r="B115" s="15" t="s">
        <v>314</v>
      </c>
      <c r="C115" s="16" t="s">
        <v>315</v>
      </c>
      <c r="D115" s="26" t="s">
        <v>73</v>
      </c>
      <c r="E115" s="27">
        <f>+5.7</f>
        <v>5.7</v>
      </c>
      <c r="F115" s="28">
        <v>109.8</v>
      </c>
      <c r="G115" s="29">
        <v>107.0</v>
      </c>
      <c r="H115" s="26">
        <v>104.1</v>
      </c>
      <c r="I115" s="29">
        <v>134.0</v>
      </c>
      <c r="J115" s="28">
        <v>69.2</v>
      </c>
      <c r="K115" s="29">
        <v>85.0</v>
      </c>
      <c r="L115" s="30">
        <f>+0.013</f>
        <v>0.013</v>
      </c>
      <c r="M115" s="29">
        <v>152.0</v>
      </c>
      <c r="N115" s="30">
        <f>+2.57</f>
        <v>2.57</v>
      </c>
      <c r="O115" s="29">
        <v>120.0</v>
      </c>
      <c r="P115" s="26">
        <v>107.7</v>
      </c>
      <c r="Q115" s="29">
        <v>118.0</v>
      </c>
      <c r="R115" s="26">
        <v>105.1</v>
      </c>
      <c r="S115" s="29">
        <v>131.0</v>
      </c>
      <c r="T115" s="30">
        <f>+3.88</f>
        <v>3.88</v>
      </c>
      <c r="U115" s="29">
        <v>87.0</v>
      </c>
    </row>
    <row r="116">
      <c r="A116" s="31">
        <v>110.0</v>
      </c>
      <c r="B116" s="32" t="s">
        <v>316</v>
      </c>
      <c r="C116" s="33" t="s">
        <v>317</v>
      </c>
      <c r="D116" s="31" t="s">
        <v>226</v>
      </c>
      <c r="E116" s="34">
        <f>+5.68</f>
        <v>5.68</v>
      </c>
      <c r="F116" s="35">
        <v>109.2</v>
      </c>
      <c r="G116" s="36">
        <v>119.0</v>
      </c>
      <c r="H116" s="31">
        <v>103.5</v>
      </c>
      <c r="I116" s="36">
        <v>120.0</v>
      </c>
      <c r="J116" s="35">
        <v>66.9</v>
      </c>
      <c r="K116" s="36">
        <v>225.0</v>
      </c>
      <c r="L116" s="37">
        <f>+0.002</f>
        <v>0.002</v>
      </c>
      <c r="M116" s="36">
        <v>178.0</v>
      </c>
      <c r="N116" s="35">
        <v>-0.72</v>
      </c>
      <c r="O116" s="36">
        <v>187.0</v>
      </c>
      <c r="P116" s="31">
        <v>106.2</v>
      </c>
      <c r="Q116" s="36">
        <v>174.0</v>
      </c>
      <c r="R116" s="31">
        <v>106.9</v>
      </c>
      <c r="S116" s="36">
        <v>214.0</v>
      </c>
      <c r="T116" s="35">
        <v>-0.07</v>
      </c>
      <c r="U116" s="36">
        <v>200.0</v>
      </c>
    </row>
    <row r="117">
      <c r="A117" s="26">
        <v>111.0</v>
      </c>
      <c r="B117" s="15" t="s">
        <v>318</v>
      </c>
      <c r="C117" s="16" t="s">
        <v>319</v>
      </c>
      <c r="D117" s="26" t="s">
        <v>274</v>
      </c>
      <c r="E117" s="27">
        <f>+5.52</f>
        <v>5.52</v>
      </c>
      <c r="F117" s="28">
        <v>109.2</v>
      </c>
      <c r="G117" s="29">
        <v>122.0</v>
      </c>
      <c r="H117" s="26">
        <v>103.6</v>
      </c>
      <c r="I117" s="29">
        <v>125.0</v>
      </c>
      <c r="J117" s="28">
        <v>66.8</v>
      </c>
      <c r="K117" s="29">
        <v>233.0</v>
      </c>
      <c r="L117" s="30">
        <f>+0.036</f>
        <v>0.036</v>
      </c>
      <c r="M117" s="29">
        <v>98.0</v>
      </c>
      <c r="N117" s="30">
        <f>+4.79</f>
        <v>4.79</v>
      </c>
      <c r="O117" s="29">
        <v>99.0</v>
      </c>
      <c r="P117" s="26">
        <v>108.8</v>
      </c>
      <c r="Q117" s="29">
        <v>99.0</v>
      </c>
      <c r="R117" s="26">
        <v>104.0</v>
      </c>
      <c r="S117" s="29">
        <v>97.0</v>
      </c>
      <c r="T117" s="30">
        <f>+6.12</f>
        <v>6.12</v>
      </c>
      <c r="U117" s="29">
        <v>46.0</v>
      </c>
    </row>
    <row r="118">
      <c r="A118" s="21">
        <v>112.0</v>
      </c>
      <c r="B118" s="15" t="s">
        <v>320</v>
      </c>
      <c r="C118" s="16" t="s">
        <v>321</v>
      </c>
      <c r="D118" s="21" t="s">
        <v>322</v>
      </c>
      <c r="E118" s="22">
        <f>+5.38</f>
        <v>5.38</v>
      </c>
      <c r="F118" s="23">
        <v>109.5</v>
      </c>
      <c r="G118" s="24">
        <v>109.0</v>
      </c>
      <c r="H118" s="21">
        <v>104.2</v>
      </c>
      <c r="I118" s="24">
        <v>136.0</v>
      </c>
      <c r="J118" s="23">
        <v>71.1</v>
      </c>
      <c r="K118" s="24">
        <v>34.0</v>
      </c>
      <c r="L118" s="25">
        <f>+0.018</f>
        <v>0.018</v>
      </c>
      <c r="M118" s="24">
        <v>141.0</v>
      </c>
      <c r="N118" s="25">
        <f>+1.95</f>
        <v>1.95</v>
      </c>
      <c r="O118" s="24">
        <v>129.0</v>
      </c>
      <c r="P118" s="21">
        <v>106.1</v>
      </c>
      <c r="Q118" s="24">
        <v>177.0</v>
      </c>
      <c r="R118" s="21">
        <v>104.2</v>
      </c>
      <c r="S118" s="24">
        <v>104.0</v>
      </c>
      <c r="T118" s="25">
        <f>+9.23</f>
        <v>9.23</v>
      </c>
      <c r="U118" s="24">
        <v>17.0</v>
      </c>
    </row>
    <row r="119">
      <c r="A119" s="26">
        <v>113.0</v>
      </c>
      <c r="B119" s="15" t="s">
        <v>323</v>
      </c>
      <c r="C119" s="16" t="s">
        <v>324</v>
      </c>
      <c r="D119" s="26" t="s">
        <v>73</v>
      </c>
      <c r="E119" s="27">
        <f>+5.35</f>
        <v>5.35</v>
      </c>
      <c r="F119" s="28">
        <v>108.5</v>
      </c>
      <c r="G119" s="29">
        <v>133.0</v>
      </c>
      <c r="H119" s="26">
        <v>103.1</v>
      </c>
      <c r="I119" s="29">
        <v>113.0</v>
      </c>
      <c r="J119" s="28">
        <v>65.8</v>
      </c>
      <c r="K119" s="29">
        <v>283.0</v>
      </c>
      <c r="L119" s="28">
        <v>-0.038</v>
      </c>
      <c r="M119" s="29">
        <v>280.0</v>
      </c>
      <c r="N119" s="28">
        <v>-0.32</v>
      </c>
      <c r="O119" s="29">
        <v>178.0</v>
      </c>
      <c r="P119" s="26">
        <v>107.6</v>
      </c>
      <c r="Q119" s="29">
        <v>123.0</v>
      </c>
      <c r="R119" s="26">
        <v>107.9</v>
      </c>
      <c r="S119" s="29">
        <v>270.0</v>
      </c>
      <c r="T119" s="30">
        <f>+5.43</f>
        <v>5.43</v>
      </c>
      <c r="U119" s="29">
        <v>56.0</v>
      </c>
    </row>
    <row r="120">
      <c r="A120" s="21">
        <v>114.0</v>
      </c>
      <c r="B120" s="15" t="s">
        <v>325</v>
      </c>
      <c r="C120" s="16" t="s">
        <v>326</v>
      </c>
      <c r="D120" s="21" t="s">
        <v>29</v>
      </c>
      <c r="E120" s="22">
        <f>+5.33</f>
        <v>5.33</v>
      </c>
      <c r="F120" s="23">
        <v>115.8</v>
      </c>
      <c r="G120" s="24">
        <v>36.0</v>
      </c>
      <c r="H120" s="21">
        <v>110.5</v>
      </c>
      <c r="I120" s="24">
        <v>260.0</v>
      </c>
      <c r="J120" s="23">
        <v>68.8</v>
      </c>
      <c r="K120" s="24">
        <v>109.0</v>
      </c>
      <c r="L120" s="23">
        <v>-0.043</v>
      </c>
      <c r="M120" s="24">
        <v>290.0</v>
      </c>
      <c r="N120" s="23">
        <v>-3.91</v>
      </c>
      <c r="O120" s="24">
        <v>277.0</v>
      </c>
      <c r="P120" s="21">
        <v>104.5</v>
      </c>
      <c r="Q120" s="24">
        <v>261.0</v>
      </c>
      <c r="R120" s="21">
        <v>108.4</v>
      </c>
      <c r="S120" s="24">
        <v>296.0</v>
      </c>
      <c r="T120" s="23">
        <v>-4.51</v>
      </c>
      <c r="U120" s="24">
        <v>308.0</v>
      </c>
    </row>
    <row r="121">
      <c r="A121" s="26">
        <v>115.0</v>
      </c>
      <c r="B121" s="15" t="s">
        <v>327</v>
      </c>
      <c r="C121" s="16" t="s">
        <v>328</v>
      </c>
      <c r="D121" s="26" t="s">
        <v>73</v>
      </c>
      <c r="E121" s="27">
        <f>+5.31</f>
        <v>5.31</v>
      </c>
      <c r="F121" s="28">
        <v>109.4</v>
      </c>
      <c r="G121" s="29">
        <v>113.0</v>
      </c>
      <c r="H121" s="26">
        <v>104.0</v>
      </c>
      <c r="I121" s="29">
        <v>130.0</v>
      </c>
      <c r="J121" s="28">
        <v>71.3</v>
      </c>
      <c r="K121" s="29">
        <v>29.0</v>
      </c>
      <c r="L121" s="30">
        <f>+0.056</f>
        <v>0.056</v>
      </c>
      <c r="M121" s="29">
        <v>55.0</v>
      </c>
      <c r="N121" s="30">
        <f>+2.65</f>
        <v>2.65</v>
      </c>
      <c r="O121" s="29">
        <v>116.0</v>
      </c>
      <c r="P121" s="26">
        <v>107.9</v>
      </c>
      <c r="Q121" s="29">
        <v>110.0</v>
      </c>
      <c r="R121" s="26">
        <v>105.2</v>
      </c>
      <c r="S121" s="29">
        <v>136.0</v>
      </c>
      <c r="T121" s="30">
        <f>+1.36</f>
        <v>1.36</v>
      </c>
      <c r="U121" s="29">
        <v>150.0</v>
      </c>
    </row>
    <row r="122">
      <c r="A122" s="21">
        <v>116.0</v>
      </c>
      <c r="B122" s="15" t="s">
        <v>329</v>
      </c>
      <c r="C122" s="16" t="s">
        <v>330</v>
      </c>
      <c r="D122" s="21" t="s">
        <v>331</v>
      </c>
      <c r="E122" s="22">
        <f>+5.15</f>
        <v>5.15</v>
      </c>
      <c r="F122" s="23">
        <v>109.1</v>
      </c>
      <c r="G122" s="24">
        <v>123.0</v>
      </c>
      <c r="H122" s="21">
        <v>104.0</v>
      </c>
      <c r="I122" s="24">
        <v>129.0</v>
      </c>
      <c r="J122" s="23">
        <v>64.3</v>
      </c>
      <c r="K122" s="24">
        <v>337.0</v>
      </c>
      <c r="L122" s="25">
        <f>+0.043</f>
        <v>0.043</v>
      </c>
      <c r="M122" s="24">
        <v>81.0</v>
      </c>
      <c r="N122" s="23">
        <v>-5.27</v>
      </c>
      <c r="O122" s="24">
        <v>312.0</v>
      </c>
      <c r="P122" s="21">
        <v>103.6</v>
      </c>
      <c r="Q122" s="24">
        <v>289.0</v>
      </c>
      <c r="R122" s="21">
        <v>108.9</v>
      </c>
      <c r="S122" s="24">
        <v>325.0</v>
      </c>
      <c r="T122" s="25">
        <f>+7.73</f>
        <v>7.73</v>
      </c>
      <c r="U122" s="24">
        <v>25.0</v>
      </c>
    </row>
    <row r="123">
      <c r="A123" s="26">
        <v>117.0</v>
      </c>
      <c r="B123" s="15" t="s">
        <v>332</v>
      </c>
      <c r="C123" s="16" t="s">
        <v>333</v>
      </c>
      <c r="D123" s="38">
        <v>45646.0</v>
      </c>
      <c r="E123" s="27">
        <f>+4.9</f>
        <v>4.9</v>
      </c>
      <c r="F123" s="28">
        <v>108.8</v>
      </c>
      <c r="G123" s="29">
        <v>129.0</v>
      </c>
      <c r="H123" s="26">
        <v>103.9</v>
      </c>
      <c r="I123" s="29">
        <v>127.0</v>
      </c>
      <c r="J123" s="28">
        <v>67.2</v>
      </c>
      <c r="K123" s="29">
        <v>205.0</v>
      </c>
      <c r="L123" s="28">
        <v>-0.07</v>
      </c>
      <c r="M123" s="29">
        <v>327.0</v>
      </c>
      <c r="N123" s="30">
        <f>+9.14</f>
        <v>9.14</v>
      </c>
      <c r="O123" s="29">
        <v>70.0</v>
      </c>
      <c r="P123" s="26">
        <v>110.4</v>
      </c>
      <c r="Q123" s="29">
        <v>80.0</v>
      </c>
      <c r="R123" s="26">
        <v>101.2</v>
      </c>
      <c r="S123" s="29">
        <v>41.0</v>
      </c>
      <c r="T123" s="28">
        <v>-5.58</v>
      </c>
      <c r="U123" s="29">
        <v>327.0</v>
      </c>
    </row>
    <row r="124">
      <c r="A124" s="21">
        <v>118.0</v>
      </c>
      <c r="B124" s="15" t="s">
        <v>334</v>
      </c>
      <c r="C124" s="16" t="s">
        <v>335</v>
      </c>
      <c r="D124" s="21" t="s">
        <v>336</v>
      </c>
      <c r="E124" s="22">
        <f>+4.85</f>
        <v>4.85</v>
      </c>
      <c r="F124" s="23">
        <v>103.3</v>
      </c>
      <c r="G124" s="24">
        <v>234.0</v>
      </c>
      <c r="H124" s="21">
        <v>98.4</v>
      </c>
      <c r="I124" s="24">
        <v>39.0</v>
      </c>
      <c r="J124" s="23">
        <v>64.4</v>
      </c>
      <c r="K124" s="24">
        <v>336.0</v>
      </c>
      <c r="L124" s="23">
        <v>-0.012</v>
      </c>
      <c r="M124" s="24">
        <v>217.0</v>
      </c>
      <c r="N124" s="25">
        <f>+9.78</f>
        <v>9.78</v>
      </c>
      <c r="O124" s="24">
        <v>54.0</v>
      </c>
      <c r="P124" s="21">
        <v>111.4</v>
      </c>
      <c r="Q124" s="24">
        <v>52.0</v>
      </c>
      <c r="R124" s="21">
        <v>101.6</v>
      </c>
      <c r="S124" s="24">
        <v>60.0</v>
      </c>
      <c r="T124" s="23">
        <v>-1.04</v>
      </c>
      <c r="U124" s="24">
        <v>227.0</v>
      </c>
    </row>
    <row r="125">
      <c r="A125" s="26">
        <v>119.0</v>
      </c>
      <c r="B125" s="15" t="s">
        <v>337</v>
      </c>
      <c r="C125" s="16" t="s">
        <v>338</v>
      </c>
      <c r="D125" s="26" t="s">
        <v>339</v>
      </c>
      <c r="E125" s="27">
        <f>+4.73</f>
        <v>4.73</v>
      </c>
      <c r="F125" s="28">
        <v>113.3</v>
      </c>
      <c r="G125" s="29">
        <v>65.0</v>
      </c>
      <c r="H125" s="26">
        <v>108.6</v>
      </c>
      <c r="I125" s="29">
        <v>222.0</v>
      </c>
      <c r="J125" s="28">
        <v>65.4</v>
      </c>
      <c r="K125" s="29">
        <v>306.0</v>
      </c>
      <c r="L125" s="30">
        <f>+0.02</f>
        <v>0.02</v>
      </c>
      <c r="M125" s="29">
        <v>134.0</v>
      </c>
      <c r="N125" s="28">
        <v>-0.48</v>
      </c>
      <c r="O125" s="29">
        <v>180.0</v>
      </c>
      <c r="P125" s="26">
        <v>106.3</v>
      </c>
      <c r="Q125" s="29">
        <v>168.0</v>
      </c>
      <c r="R125" s="26">
        <v>106.8</v>
      </c>
      <c r="S125" s="29">
        <v>206.0</v>
      </c>
      <c r="T125" s="30">
        <f>+5.67</f>
        <v>5.67</v>
      </c>
      <c r="U125" s="29">
        <v>53.0</v>
      </c>
    </row>
    <row r="126">
      <c r="A126" s="31">
        <v>120.0</v>
      </c>
      <c r="B126" s="32" t="s">
        <v>340</v>
      </c>
      <c r="C126" s="33" t="s">
        <v>341</v>
      </c>
      <c r="D126" s="31" t="s">
        <v>342</v>
      </c>
      <c r="E126" s="34">
        <f>+4.65</f>
        <v>4.65</v>
      </c>
      <c r="F126" s="35">
        <v>108.7</v>
      </c>
      <c r="G126" s="36">
        <v>131.0</v>
      </c>
      <c r="H126" s="31">
        <v>104.1</v>
      </c>
      <c r="I126" s="36">
        <v>131.0</v>
      </c>
      <c r="J126" s="35">
        <v>62.5</v>
      </c>
      <c r="K126" s="36">
        <v>356.0</v>
      </c>
      <c r="L126" s="37">
        <f>+0.046</f>
        <v>0.046</v>
      </c>
      <c r="M126" s="36">
        <v>73.0</v>
      </c>
      <c r="N126" s="37">
        <f>+2.6</f>
        <v>2.6</v>
      </c>
      <c r="O126" s="36">
        <v>118.0</v>
      </c>
      <c r="P126" s="31">
        <v>107.8</v>
      </c>
      <c r="Q126" s="36">
        <v>115.0</v>
      </c>
      <c r="R126" s="31">
        <v>105.2</v>
      </c>
      <c r="S126" s="36">
        <v>134.0</v>
      </c>
      <c r="T126" s="37">
        <f>+2.6</f>
        <v>2.6</v>
      </c>
      <c r="U126" s="36">
        <v>116.0</v>
      </c>
    </row>
    <row r="127">
      <c r="A127" s="1"/>
      <c r="B127" s="1"/>
      <c r="C127" s="1"/>
      <c r="D127" s="2"/>
      <c r="E127" s="2"/>
      <c r="F127" s="3"/>
      <c r="J127" s="3"/>
      <c r="L127" s="3"/>
      <c r="N127" s="4" t="s">
        <v>0</v>
      </c>
      <c r="T127" s="4" t="s">
        <v>1</v>
      </c>
    </row>
    <row r="128">
      <c r="A128" s="5" t="s">
        <v>343</v>
      </c>
      <c r="B128" s="6" t="s">
        <v>344</v>
      </c>
      <c r="C128" s="7" t="s">
        <v>4</v>
      </c>
      <c r="D128" s="5" t="s">
        <v>345</v>
      </c>
      <c r="E128" s="5" t="s">
        <v>346</v>
      </c>
      <c r="F128" s="10" t="s">
        <v>347</v>
      </c>
      <c r="H128" s="5" t="s">
        <v>348</v>
      </c>
      <c r="I128" s="2"/>
      <c r="J128" s="10" t="s">
        <v>349</v>
      </c>
      <c r="L128" s="10" t="s">
        <v>350</v>
      </c>
      <c r="N128" s="10" t="s">
        <v>351</v>
      </c>
      <c r="P128" s="5" t="s">
        <v>352</v>
      </c>
      <c r="Q128" s="2"/>
      <c r="R128" s="5" t="s">
        <v>353</v>
      </c>
      <c r="S128" s="2"/>
      <c r="T128" s="10" t="s">
        <v>354</v>
      </c>
    </row>
    <row r="129">
      <c r="A129" s="26">
        <v>121.0</v>
      </c>
      <c r="B129" s="15" t="s">
        <v>355</v>
      </c>
      <c r="C129" s="16" t="s">
        <v>356</v>
      </c>
      <c r="D129" s="26" t="s">
        <v>357</v>
      </c>
      <c r="E129" s="27">
        <f>+4.64</f>
        <v>4.64</v>
      </c>
      <c r="F129" s="28">
        <v>109.0</v>
      </c>
      <c r="G129" s="29">
        <v>126.0</v>
      </c>
      <c r="H129" s="26">
        <v>104.4</v>
      </c>
      <c r="I129" s="29">
        <v>139.0</v>
      </c>
      <c r="J129" s="28">
        <v>68.6</v>
      </c>
      <c r="K129" s="29">
        <v>116.0</v>
      </c>
      <c r="L129" s="28">
        <v>-0.003</v>
      </c>
      <c r="M129" s="29">
        <v>193.0</v>
      </c>
      <c r="N129" s="30">
        <f>+8.94</f>
        <v>8.94</v>
      </c>
      <c r="O129" s="29">
        <v>75.0</v>
      </c>
      <c r="P129" s="26">
        <v>110.7</v>
      </c>
      <c r="Q129" s="29">
        <v>71.0</v>
      </c>
      <c r="R129" s="26">
        <v>101.8</v>
      </c>
      <c r="S129" s="29">
        <v>64.0</v>
      </c>
      <c r="T129" s="30">
        <f>+0.57</f>
        <v>0.57</v>
      </c>
      <c r="U129" s="29">
        <v>172.0</v>
      </c>
    </row>
    <row r="130">
      <c r="A130" s="21">
        <v>122.0</v>
      </c>
      <c r="B130" s="15" t="s">
        <v>358</v>
      </c>
      <c r="C130" s="16" t="s">
        <v>359</v>
      </c>
      <c r="D130" s="21" t="s">
        <v>55</v>
      </c>
      <c r="E130" s="22">
        <f>+4.58</f>
        <v>4.58</v>
      </c>
      <c r="F130" s="23">
        <v>106.8</v>
      </c>
      <c r="G130" s="24">
        <v>164.0</v>
      </c>
      <c r="H130" s="21">
        <v>102.2</v>
      </c>
      <c r="I130" s="24">
        <v>98.0</v>
      </c>
      <c r="J130" s="23">
        <v>66.0</v>
      </c>
      <c r="K130" s="24">
        <v>271.0</v>
      </c>
      <c r="L130" s="25">
        <f>+0.008</f>
        <v>0.008</v>
      </c>
      <c r="M130" s="24">
        <v>169.0</v>
      </c>
      <c r="N130" s="23">
        <v>-1.43</v>
      </c>
      <c r="O130" s="24">
        <v>206.0</v>
      </c>
      <c r="P130" s="21">
        <v>105.7</v>
      </c>
      <c r="Q130" s="24">
        <v>192.0</v>
      </c>
      <c r="R130" s="21">
        <v>107.2</v>
      </c>
      <c r="S130" s="24">
        <v>220.0</v>
      </c>
      <c r="T130" s="25">
        <f>+6.16</f>
        <v>6.16</v>
      </c>
      <c r="U130" s="24">
        <v>45.0</v>
      </c>
    </row>
    <row r="131">
      <c r="A131" s="26">
        <v>123.0</v>
      </c>
      <c r="B131" s="15" t="s">
        <v>360</v>
      </c>
      <c r="C131" s="16" t="s">
        <v>361</v>
      </c>
      <c r="D131" s="26" t="s">
        <v>306</v>
      </c>
      <c r="E131" s="27">
        <f>+4.45</f>
        <v>4.45</v>
      </c>
      <c r="F131" s="28">
        <v>109.4</v>
      </c>
      <c r="G131" s="29">
        <v>111.0</v>
      </c>
      <c r="H131" s="26">
        <v>105.0</v>
      </c>
      <c r="I131" s="29">
        <v>148.0</v>
      </c>
      <c r="J131" s="28">
        <v>67.6</v>
      </c>
      <c r="K131" s="29">
        <v>168.0</v>
      </c>
      <c r="L131" s="30">
        <f>+0.072</f>
        <v>0.072</v>
      </c>
      <c r="M131" s="29">
        <v>32.0</v>
      </c>
      <c r="N131" s="30">
        <f>+11.25</f>
        <v>11.25</v>
      </c>
      <c r="O131" s="29">
        <v>28.0</v>
      </c>
      <c r="P131" s="26">
        <v>111.4</v>
      </c>
      <c r="Q131" s="29">
        <v>49.0</v>
      </c>
      <c r="R131" s="26">
        <v>100.2</v>
      </c>
      <c r="S131" s="29">
        <v>9.0</v>
      </c>
      <c r="T131" s="30">
        <f>+4.66</f>
        <v>4.66</v>
      </c>
      <c r="U131" s="29">
        <v>73.0</v>
      </c>
    </row>
    <row r="132">
      <c r="A132" s="21">
        <v>124.0</v>
      </c>
      <c r="B132" s="15" t="s">
        <v>362</v>
      </c>
      <c r="C132" s="16" t="s">
        <v>363</v>
      </c>
      <c r="D132" s="21" t="s">
        <v>364</v>
      </c>
      <c r="E132" s="22">
        <f>+4.44</f>
        <v>4.44</v>
      </c>
      <c r="F132" s="23">
        <v>109.3</v>
      </c>
      <c r="G132" s="24">
        <v>115.0</v>
      </c>
      <c r="H132" s="21">
        <v>104.8</v>
      </c>
      <c r="I132" s="24">
        <v>145.0</v>
      </c>
      <c r="J132" s="23">
        <v>64.5</v>
      </c>
      <c r="K132" s="24">
        <v>333.0</v>
      </c>
      <c r="L132" s="23">
        <v>-0.018</v>
      </c>
      <c r="M132" s="24">
        <v>239.0</v>
      </c>
      <c r="N132" s="25">
        <f>+0.57</f>
        <v>0.57</v>
      </c>
      <c r="O132" s="24">
        <v>147.0</v>
      </c>
      <c r="P132" s="21">
        <v>106.6</v>
      </c>
      <c r="Q132" s="24">
        <v>153.0</v>
      </c>
      <c r="R132" s="21">
        <v>106.0</v>
      </c>
      <c r="S132" s="24">
        <v>164.0</v>
      </c>
      <c r="T132" s="23">
        <v>-7.08</v>
      </c>
      <c r="U132" s="24">
        <v>346.0</v>
      </c>
    </row>
    <row r="133">
      <c r="A133" s="26">
        <v>125.0</v>
      </c>
      <c r="B133" s="15" t="s">
        <v>365</v>
      </c>
      <c r="C133" s="16" t="s">
        <v>366</v>
      </c>
      <c r="D133" s="26" t="s">
        <v>286</v>
      </c>
      <c r="E133" s="27">
        <f>+4.28</f>
        <v>4.28</v>
      </c>
      <c r="F133" s="28">
        <v>105.7</v>
      </c>
      <c r="G133" s="29">
        <v>189.0</v>
      </c>
      <c r="H133" s="26">
        <v>101.4</v>
      </c>
      <c r="I133" s="29">
        <v>86.0</v>
      </c>
      <c r="J133" s="28">
        <v>65.7</v>
      </c>
      <c r="K133" s="29">
        <v>286.0</v>
      </c>
      <c r="L133" s="28">
        <v>-0.08</v>
      </c>
      <c r="M133" s="29">
        <v>339.0</v>
      </c>
      <c r="N133" s="30">
        <f>+4.21</f>
        <v>4.21</v>
      </c>
      <c r="O133" s="29">
        <v>101.0</v>
      </c>
      <c r="P133" s="26">
        <v>107.8</v>
      </c>
      <c r="Q133" s="29">
        <v>111.0</v>
      </c>
      <c r="R133" s="26">
        <v>103.6</v>
      </c>
      <c r="S133" s="29">
        <v>90.0</v>
      </c>
      <c r="T133" s="30">
        <f>+0.94</f>
        <v>0.94</v>
      </c>
      <c r="U133" s="29">
        <v>162.0</v>
      </c>
    </row>
    <row r="134">
      <c r="A134" s="21">
        <v>126.0</v>
      </c>
      <c r="B134" s="15" t="s">
        <v>367</v>
      </c>
      <c r="C134" s="16" t="s">
        <v>368</v>
      </c>
      <c r="D134" s="21" t="s">
        <v>150</v>
      </c>
      <c r="E134" s="22">
        <f>+4.17</f>
        <v>4.17</v>
      </c>
      <c r="F134" s="23">
        <v>108.3</v>
      </c>
      <c r="G134" s="24">
        <v>141.0</v>
      </c>
      <c r="H134" s="21">
        <v>104.1</v>
      </c>
      <c r="I134" s="24">
        <v>135.0</v>
      </c>
      <c r="J134" s="23">
        <v>64.6</v>
      </c>
      <c r="K134" s="24">
        <v>332.0</v>
      </c>
      <c r="L134" s="23">
        <v>-0.035</v>
      </c>
      <c r="M134" s="24">
        <v>271.0</v>
      </c>
      <c r="N134" s="23">
        <v>-2.03</v>
      </c>
      <c r="O134" s="24">
        <v>218.0</v>
      </c>
      <c r="P134" s="21">
        <v>105.5</v>
      </c>
      <c r="Q134" s="24">
        <v>207.0</v>
      </c>
      <c r="R134" s="21">
        <v>107.5</v>
      </c>
      <c r="S134" s="24">
        <v>244.0</v>
      </c>
      <c r="T134" s="25">
        <f>+0.36</f>
        <v>0.36</v>
      </c>
      <c r="U134" s="24">
        <v>180.0</v>
      </c>
    </row>
    <row r="135">
      <c r="A135" s="26">
        <v>127.0</v>
      </c>
      <c r="B135" s="15" t="s">
        <v>369</v>
      </c>
      <c r="C135" s="16" t="s">
        <v>370</v>
      </c>
      <c r="D135" s="26" t="s">
        <v>306</v>
      </c>
      <c r="E135" s="27">
        <f>+3.92</f>
        <v>3.92</v>
      </c>
      <c r="F135" s="28">
        <v>104.0</v>
      </c>
      <c r="G135" s="29">
        <v>218.0</v>
      </c>
      <c r="H135" s="26">
        <v>100.1</v>
      </c>
      <c r="I135" s="29">
        <v>64.0</v>
      </c>
      <c r="J135" s="28">
        <v>69.2</v>
      </c>
      <c r="K135" s="29">
        <v>86.0</v>
      </c>
      <c r="L135" s="30">
        <f>+0.064</f>
        <v>0.064</v>
      </c>
      <c r="M135" s="29">
        <v>47.0</v>
      </c>
      <c r="N135" s="30">
        <f>+10.51</f>
        <v>10.51</v>
      </c>
      <c r="O135" s="29">
        <v>38.0</v>
      </c>
      <c r="P135" s="26">
        <v>111.6</v>
      </c>
      <c r="Q135" s="29">
        <v>44.0</v>
      </c>
      <c r="R135" s="26">
        <v>101.1</v>
      </c>
      <c r="S135" s="29">
        <v>36.0</v>
      </c>
      <c r="T135" s="30">
        <f>+6</f>
        <v>6</v>
      </c>
      <c r="U135" s="29">
        <v>47.0</v>
      </c>
    </row>
    <row r="136">
      <c r="A136" s="21">
        <v>128.0</v>
      </c>
      <c r="B136" s="15" t="s">
        <v>371</v>
      </c>
      <c r="C136" s="16" t="s">
        <v>372</v>
      </c>
      <c r="D136" s="39">
        <v>45528.0</v>
      </c>
      <c r="E136" s="22">
        <f>+3.9</f>
        <v>3.9</v>
      </c>
      <c r="F136" s="23">
        <v>110.6</v>
      </c>
      <c r="G136" s="24">
        <v>95.0</v>
      </c>
      <c r="H136" s="21">
        <v>106.7</v>
      </c>
      <c r="I136" s="24">
        <v>182.0</v>
      </c>
      <c r="J136" s="23">
        <v>67.5</v>
      </c>
      <c r="K136" s="24">
        <v>180.0</v>
      </c>
      <c r="L136" s="23">
        <v>-0.083</v>
      </c>
      <c r="M136" s="24">
        <v>342.0</v>
      </c>
      <c r="N136" s="25">
        <f>+14</f>
        <v>14</v>
      </c>
      <c r="O136" s="24">
        <v>4.0</v>
      </c>
      <c r="P136" s="21">
        <v>114.2</v>
      </c>
      <c r="Q136" s="24">
        <v>4.0</v>
      </c>
      <c r="R136" s="21">
        <v>100.2</v>
      </c>
      <c r="S136" s="24">
        <v>11.0</v>
      </c>
      <c r="T136" s="25">
        <f>+7.59</f>
        <v>7.59</v>
      </c>
      <c r="U136" s="24">
        <v>27.0</v>
      </c>
    </row>
    <row r="137">
      <c r="A137" s="26">
        <v>129.0</v>
      </c>
      <c r="B137" s="15" t="s">
        <v>373</v>
      </c>
      <c r="C137" s="16" t="s">
        <v>374</v>
      </c>
      <c r="D137" s="26" t="s">
        <v>44</v>
      </c>
      <c r="E137" s="27">
        <f>+3.75</f>
        <v>3.75</v>
      </c>
      <c r="F137" s="28">
        <v>109.3</v>
      </c>
      <c r="G137" s="29">
        <v>116.0</v>
      </c>
      <c r="H137" s="26">
        <v>105.5</v>
      </c>
      <c r="I137" s="29">
        <v>159.0</v>
      </c>
      <c r="J137" s="28">
        <v>67.0</v>
      </c>
      <c r="K137" s="29">
        <v>216.0</v>
      </c>
      <c r="L137" s="30">
        <f>+0.124</f>
        <v>0.124</v>
      </c>
      <c r="M137" s="29">
        <v>9.0</v>
      </c>
      <c r="N137" s="30">
        <f>+0.1</f>
        <v>0.1</v>
      </c>
      <c r="O137" s="29">
        <v>158.0</v>
      </c>
      <c r="P137" s="26">
        <v>104.6</v>
      </c>
      <c r="Q137" s="29">
        <v>256.0</v>
      </c>
      <c r="R137" s="26">
        <v>104.5</v>
      </c>
      <c r="S137" s="29">
        <v>113.0</v>
      </c>
      <c r="T137" s="30">
        <f>+5.08</f>
        <v>5.08</v>
      </c>
      <c r="U137" s="29">
        <v>65.0</v>
      </c>
    </row>
    <row r="138">
      <c r="A138" s="31">
        <v>130.0</v>
      </c>
      <c r="B138" s="32" t="s">
        <v>375</v>
      </c>
      <c r="C138" s="33" t="s">
        <v>376</v>
      </c>
      <c r="D138" s="31" t="s">
        <v>377</v>
      </c>
      <c r="E138" s="34">
        <f>+3.74</f>
        <v>3.74</v>
      </c>
      <c r="F138" s="35">
        <v>111.8</v>
      </c>
      <c r="G138" s="36">
        <v>81.0</v>
      </c>
      <c r="H138" s="31">
        <v>108.1</v>
      </c>
      <c r="I138" s="36">
        <v>213.0</v>
      </c>
      <c r="J138" s="35">
        <v>65.6</v>
      </c>
      <c r="K138" s="36">
        <v>298.0</v>
      </c>
      <c r="L138" s="35">
        <v>-0.026</v>
      </c>
      <c r="M138" s="36">
        <v>258.0</v>
      </c>
      <c r="N138" s="35">
        <v>-2.46</v>
      </c>
      <c r="O138" s="36">
        <v>231.0</v>
      </c>
      <c r="P138" s="31">
        <v>104.0</v>
      </c>
      <c r="Q138" s="36">
        <v>280.0</v>
      </c>
      <c r="R138" s="31">
        <v>106.4</v>
      </c>
      <c r="S138" s="36">
        <v>178.0</v>
      </c>
      <c r="T138" s="35">
        <v>-0.76</v>
      </c>
      <c r="U138" s="36">
        <v>216.0</v>
      </c>
    </row>
    <row r="139">
      <c r="A139" s="26">
        <v>131.0</v>
      </c>
      <c r="B139" s="15" t="s">
        <v>378</v>
      </c>
      <c r="C139" s="16" t="s">
        <v>379</v>
      </c>
      <c r="D139" s="26" t="s">
        <v>67</v>
      </c>
      <c r="E139" s="27">
        <f>+3.73</f>
        <v>3.73</v>
      </c>
      <c r="F139" s="28">
        <v>109.3</v>
      </c>
      <c r="G139" s="29">
        <v>114.0</v>
      </c>
      <c r="H139" s="26">
        <v>105.6</v>
      </c>
      <c r="I139" s="29">
        <v>161.0</v>
      </c>
      <c r="J139" s="28">
        <v>66.5</v>
      </c>
      <c r="K139" s="29">
        <v>248.0</v>
      </c>
      <c r="L139" s="30">
        <f>+0.077</f>
        <v>0.077</v>
      </c>
      <c r="M139" s="29">
        <v>28.0</v>
      </c>
      <c r="N139" s="28">
        <v>-0.08</v>
      </c>
      <c r="O139" s="29">
        <v>166.0</v>
      </c>
      <c r="P139" s="26">
        <v>107.6</v>
      </c>
      <c r="Q139" s="29">
        <v>122.0</v>
      </c>
      <c r="R139" s="26">
        <v>107.7</v>
      </c>
      <c r="S139" s="29">
        <v>254.0</v>
      </c>
      <c r="T139" s="30">
        <f>+9.87</f>
        <v>9.87</v>
      </c>
      <c r="U139" s="29">
        <v>14.0</v>
      </c>
    </row>
    <row r="140">
      <c r="A140" s="21">
        <v>132.0</v>
      </c>
      <c r="B140" s="15" t="s">
        <v>380</v>
      </c>
      <c r="C140" s="16" t="s">
        <v>381</v>
      </c>
      <c r="D140" s="21" t="s">
        <v>150</v>
      </c>
      <c r="E140" s="22">
        <f>+3.65</f>
        <v>3.65</v>
      </c>
      <c r="F140" s="23">
        <v>107.2</v>
      </c>
      <c r="G140" s="24">
        <v>157.0</v>
      </c>
      <c r="H140" s="21">
        <v>103.5</v>
      </c>
      <c r="I140" s="24">
        <v>119.0</v>
      </c>
      <c r="J140" s="23">
        <v>69.8</v>
      </c>
      <c r="K140" s="24">
        <v>67.0</v>
      </c>
      <c r="L140" s="23">
        <v>-0.052</v>
      </c>
      <c r="M140" s="24">
        <v>303.0</v>
      </c>
      <c r="N140" s="23">
        <v>-1.87</v>
      </c>
      <c r="O140" s="24">
        <v>215.0</v>
      </c>
      <c r="P140" s="21">
        <v>105.2</v>
      </c>
      <c r="Q140" s="24">
        <v>223.0</v>
      </c>
      <c r="R140" s="21">
        <v>107.1</v>
      </c>
      <c r="S140" s="24">
        <v>218.0</v>
      </c>
      <c r="T140" s="25">
        <f>+0.83</f>
        <v>0.83</v>
      </c>
      <c r="U140" s="24">
        <v>165.0</v>
      </c>
    </row>
    <row r="141">
      <c r="A141" s="26">
        <v>133.0</v>
      </c>
      <c r="B141" s="15" t="s">
        <v>382</v>
      </c>
      <c r="C141" s="16" t="s">
        <v>383</v>
      </c>
      <c r="D141" s="26" t="s">
        <v>258</v>
      </c>
      <c r="E141" s="27">
        <f>+3.4</f>
        <v>3.4</v>
      </c>
      <c r="F141" s="28">
        <v>113.4</v>
      </c>
      <c r="G141" s="29">
        <v>61.0</v>
      </c>
      <c r="H141" s="26">
        <v>110.0</v>
      </c>
      <c r="I141" s="29">
        <v>251.0</v>
      </c>
      <c r="J141" s="28">
        <v>68.1</v>
      </c>
      <c r="K141" s="29">
        <v>147.0</v>
      </c>
      <c r="L141" s="28">
        <v>-0.022</v>
      </c>
      <c r="M141" s="29">
        <v>249.0</v>
      </c>
      <c r="N141" s="30">
        <f>+0.2</f>
        <v>0.2</v>
      </c>
      <c r="O141" s="29">
        <v>154.0</v>
      </c>
      <c r="P141" s="26">
        <v>106.7</v>
      </c>
      <c r="Q141" s="29">
        <v>151.0</v>
      </c>
      <c r="R141" s="26">
        <v>106.5</v>
      </c>
      <c r="S141" s="29">
        <v>184.0</v>
      </c>
      <c r="T141" s="30">
        <f>+2.25</f>
        <v>2.25</v>
      </c>
      <c r="U141" s="29">
        <v>121.0</v>
      </c>
    </row>
    <row r="142">
      <c r="A142" s="21">
        <v>134.0</v>
      </c>
      <c r="B142" s="15" t="s">
        <v>384</v>
      </c>
      <c r="C142" s="16" t="s">
        <v>385</v>
      </c>
      <c r="D142" s="21" t="s">
        <v>226</v>
      </c>
      <c r="E142" s="22">
        <f>+3.02</f>
        <v>3.02</v>
      </c>
      <c r="F142" s="23">
        <v>108.3</v>
      </c>
      <c r="G142" s="24">
        <v>138.0</v>
      </c>
      <c r="H142" s="21">
        <v>105.3</v>
      </c>
      <c r="I142" s="24">
        <v>153.0</v>
      </c>
      <c r="J142" s="23">
        <v>69.0</v>
      </c>
      <c r="K142" s="24">
        <v>94.0</v>
      </c>
      <c r="L142" s="23">
        <v>-0.022</v>
      </c>
      <c r="M142" s="24">
        <v>250.0</v>
      </c>
      <c r="N142" s="23">
        <v>-4.17</v>
      </c>
      <c r="O142" s="24">
        <v>284.0</v>
      </c>
      <c r="P142" s="21">
        <v>105.2</v>
      </c>
      <c r="Q142" s="24">
        <v>220.0</v>
      </c>
      <c r="R142" s="21">
        <v>109.4</v>
      </c>
      <c r="S142" s="24">
        <v>345.0</v>
      </c>
      <c r="T142" s="25">
        <f>+1.16</f>
        <v>1.16</v>
      </c>
      <c r="U142" s="24">
        <v>156.0</v>
      </c>
    </row>
    <row r="143">
      <c r="A143" s="26">
        <v>135.0</v>
      </c>
      <c r="B143" s="15" t="s">
        <v>386</v>
      </c>
      <c r="C143" s="16" t="s">
        <v>387</v>
      </c>
      <c r="D143" s="26" t="s">
        <v>138</v>
      </c>
      <c r="E143" s="27">
        <f>+2.9</f>
        <v>2.9</v>
      </c>
      <c r="F143" s="28">
        <v>105.4</v>
      </c>
      <c r="G143" s="29">
        <v>193.0</v>
      </c>
      <c r="H143" s="26">
        <v>102.5</v>
      </c>
      <c r="I143" s="29">
        <v>103.0</v>
      </c>
      <c r="J143" s="28">
        <v>75.3</v>
      </c>
      <c r="K143" s="29">
        <v>1.0</v>
      </c>
      <c r="L143" s="28">
        <v>-0.036</v>
      </c>
      <c r="M143" s="29">
        <v>275.0</v>
      </c>
      <c r="N143" s="28">
        <v>-2.07</v>
      </c>
      <c r="O143" s="29">
        <v>220.0</v>
      </c>
      <c r="P143" s="26">
        <v>104.0</v>
      </c>
      <c r="Q143" s="29">
        <v>279.0</v>
      </c>
      <c r="R143" s="26">
        <v>106.1</v>
      </c>
      <c r="S143" s="29">
        <v>166.0</v>
      </c>
      <c r="T143" s="28">
        <v>-3.0</v>
      </c>
      <c r="U143" s="29">
        <v>270.0</v>
      </c>
    </row>
    <row r="144">
      <c r="A144" s="21">
        <v>136.0</v>
      </c>
      <c r="B144" s="15" t="s">
        <v>388</v>
      </c>
      <c r="C144" s="16" t="s">
        <v>389</v>
      </c>
      <c r="D144" s="21" t="s">
        <v>390</v>
      </c>
      <c r="E144" s="22">
        <f t="shared" ref="E144:E145" si="4">+2.73</f>
        <v>2.73</v>
      </c>
      <c r="F144" s="23">
        <v>110.8</v>
      </c>
      <c r="G144" s="24">
        <v>92.0</v>
      </c>
      <c r="H144" s="21">
        <v>108.0</v>
      </c>
      <c r="I144" s="24">
        <v>211.0</v>
      </c>
      <c r="J144" s="23">
        <v>72.8</v>
      </c>
      <c r="K144" s="24">
        <v>11.0</v>
      </c>
      <c r="L144" s="23">
        <v>-0.086</v>
      </c>
      <c r="M144" s="24">
        <v>344.0</v>
      </c>
      <c r="N144" s="25">
        <f>+3.4</f>
        <v>3.4</v>
      </c>
      <c r="O144" s="24">
        <v>107.0</v>
      </c>
      <c r="P144" s="21">
        <v>108.0</v>
      </c>
      <c r="Q144" s="24">
        <v>107.0</v>
      </c>
      <c r="R144" s="21">
        <v>104.6</v>
      </c>
      <c r="S144" s="24">
        <v>117.0</v>
      </c>
      <c r="T144" s="23">
        <v>-3.43</v>
      </c>
      <c r="U144" s="24">
        <v>284.0</v>
      </c>
    </row>
    <row r="145">
      <c r="A145" s="26">
        <v>137.0</v>
      </c>
      <c r="B145" s="15" t="s">
        <v>391</v>
      </c>
      <c r="C145" s="16" t="s">
        <v>392</v>
      </c>
      <c r="D145" s="26" t="s">
        <v>393</v>
      </c>
      <c r="E145" s="27">
        <f t="shared" si="4"/>
        <v>2.73</v>
      </c>
      <c r="F145" s="28">
        <v>109.2</v>
      </c>
      <c r="G145" s="29">
        <v>120.0</v>
      </c>
      <c r="H145" s="26">
        <v>106.5</v>
      </c>
      <c r="I145" s="29">
        <v>180.0</v>
      </c>
      <c r="J145" s="28">
        <v>64.7</v>
      </c>
      <c r="K145" s="29">
        <v>329.0</v>
      </c>
      <c r="L145" s="28">
        <v>-0.052</v>
      </c>
      <c r="M145" s="29">
        <v>304.0</v>
      </c>
      <c r="N145" s="30">
        <f>+0.05</f>
        <v>0.05</v>
      </c>
      <c r="O145" s="29">
        <v>160.0</v>
      </c>
      <c r="P145" s="26">
        <v>104.3</v>
      </c>
      <c r="Q145" s="29">
        <v>267.0</v>
      </c>
      <c r="R145" s="26">
        <v>104.3</v>
      </c>
      <c r="S145" s="29">
        <v>106.0</v>
      </c>
      <c r="T145" s="30">
        <f>+3.12</f>
        <v>3.12</v>
      </c>
      <c r="U145" s="29">
        <v>98.0</v>
      </c>
    </row>
    <row r="146">
      <c r="A146" s="21">
        <v>138.0</v>
      </c>
      <c r="B146" s="15" t="s">
        <v>394</v>
      </c>
      <c r="C146" s="16" t="s">
        <v>395</v>
      </c>
      <c r="D146" s="21" t="s">
        <v>396</v>
      </c>
      <c r="E146" s="22">
        <f>+2.69</f>
        <v>2.69</v>
      </c>
      <c r="F146" s="23">
        <v>108.8</v>
      </c>
      <c r="G146" s="24">
        <v>128.0</v>
      </c>
      <c r="H146" s="21">
        <v>106.1</v>
      </c>
      <c r="I146" s="24">
        <v>175.0</v>
      </c>
      <c r="J146" s="23">
        <v>68.0</v>
      </c>
      <c r="K146" s="24">
        <v>153.0</v>
      </c>
      <c r="L146" s="23">
        <v>-0.013</v>
      </c>
      <c r="M146" s="24">
        <v>218.0</v>
      </c>
      <c r="N146" s="23">
        <v>-2.05</v>
      </c>
      <c r="O146" s="24">
        <v>219.0</v>
      </c>
      <c r="P146" s="21">
        <v>105.7</v>
      </c>
      <c r="Q146" s="24">
        <v>196.0</v>
      </c>
      <c r="R146" s="21">
        <v>107.7</v>
      </c>
      <c r="S146" s="24">
        <v>260.0</v>
      </c>
      <c r="T146" s="25">
        <f>+2.76</f>
        <v>2.76</v>
      </c>
      <c r="U146" s="24">
        <v>109.0</v>
      </c>
    </row>
    <row r="147">
      <c r="A147" s="26">
        <v>139.0</v>
      </c>
      <c r="B147" s="15" t="s">
        <v>397</v>
      </c>
      <c r="C147" s="16" t="s">
        <v>398</v>
      </c>
      <c r="D147" s="26" t="s">
        <v>150</v>
      </c>
      <c r="E147" s="27">
        <f>+2.55</f>
        <v>2.55</v>
      </c>
      <c r="F147" s="28">
        <v>112.7</v>
      </c>
      <c r="G147" s="29">
        <v>75.0</v>
      </c>
      <c r="H147" s="26">
        <v>110.1</v>
      </c>
      <c r="I147" s="29">
        <v>255.0</v>
      </c>
      <c r="J147" s="28">
        <v>69.4</v>
      </c>
      <c r="K147" s="29">
        <v>76.0</v>
      </c>
      <c r="L147" s="30">
        <f>+0.004</f>
        <v>0.004</v>
      </c>
      <c r="M147" s="29">
        <v>172.0</v>
      </c>
      <c r="N147" s="28">
        <v>-1.59</v>
      </c>
      <c r="O147" s="29">
        <v>208.0</v>
      </c>
      <c r="P147" s="26">
        <v>105.2</v>
      </c>
      <c r="Q147" s="29">
        <v>218.0</v>
      </c>
      <c r="R147" s="26">
        <v>106.8</v>
      </c>
      <c r="S147" s="29">
        <v>207.0</v>
      </c>
      <c r="T147" s="30">
        <f>+4.95</f>
        <v>4.95</v>
      </c>
      <c r="U147" s="29">
        <v>68.0</v>
      </c>
    </row>
    <row r="148">
      <c r="A148" s="31">
        <v>140.0</v>
      </c>
      <c r="B148" s="32" t="s">
        <v>399</v>
      </c>
      <c r="C148" s="33" t="s">
        <v>400</v>
      </c>
      <c r="D148" s="31" t="s">
        <v>377</v>
      </c>
      <c r="E148" s="34">
        <f>+2.52</f>
        <v>2.52</v>
      </c>
      <c r="F148" s="35">
        <v>110.4</v>
      </c>
      <c r="G148" s="36">
        <v>101.0</v>
      </c>
      <c r="H148" s="31">
        <v>107.9</v>
      </c>
      <c r="I148" s="36">
        <v>208.0</v>
      </c>
      <c r="J148" s="35">
        <v>67.1</v>
      </c>
      <c r="K148" s="36">
        <v>214.0</v>
      </c>
      <c r="L148" s="37">
        <f>+0.027</f>
        <v>0.027</v>
      </c>
      <c r="M148" s="36">
        <v>116.0</v>
      </c>
      <c r="N148" s="35">
        <v>-2.08</v>
      </c>
      <c r="O148" s="36">
        <v>221.0</v>
      </c>
      <c r="P148" s="31">
        <v>105.2</v>
      </c>
      <c r="Q148" s="36">
        <v>219.0</v>
      </c>
      <c r="R148" s="31">
        <v>107.3</v>
      </c>
      <c r="S148" s="36">
        <v>230.0</v>
      </c>
      <c r="T148" s="35">
        <v>-4.36</v>
      </c>
      <c r="U148" s="36">
        <v>304.0</v>
      </c>
    </row>
    <row r="149">
      <c r="A149" s="26">
        <v>141.0</v>
      </c>
      <c r="B149" s="15" t="s">
        <v>401</v>
      </c>
      <c r="C149" s="16" t="s">
        <v>402</v>
      </c>
      <c r="D149" s="26" t="s">
        <v>201</v>
      </c>
      <c r="E149" s="27">
        <f>+2.37</f>
        <v>2.37</v>
      </c>
      <c r="F149" s="28">
        <v>109.9</v>
      </c>
      <c r="G149" s="29">
        <v>104.0</v>
      </c>
      <c r="H149" s="26">
        <v>107.6</v>
      </c>
      <c r="I149" s="29">
        <v>205.0</v>
      </c>
      <c r="J149" s="28">
        <v>68.9</v>
      </c>
      <c r="K149" s="29">
        <v>104.0</v>
      </c>
      <c r="L149" s="28">
        <v>-0.068</v>
      </c>
      <c r="M149" s="29">
        <v>326.0</v>
      </c>
      <c r="N149" s="30">
        <f>+0.78</f>
        <v>0.78</v>
      </c>
      <c r="O149" s="29">
        <v>143.0</v>
      </c>
      <c r="P149" s="26">
        <v>107.4</v>
      </c>
      <c r="Q149" s="29">
        <v>126.0</v>
      </c>
      <c r="R149" s="26">
        <v>106.6</v>
      </c>
      <c r="S149" s="29">
        <v>192.0</v>
      </c>
      <c r="T149" s="30">
        <f>+2.08</f>
        <v>2.08</v>
      </c>
      <c r="U149" s="29">
        <v>125.0</v>
      </c>
    </row>
    <row r="150">
      <c r="A150" s="21">
        <v>142.0</v>
      </c>
      <c r="B150" s="15" t="s">
        <v>403</v>
      </c>
      <c r="C150" s="16" t="s">
        <v>404</v>
      </c>
      <c r="D150" s="21" t="s">
        <v>377</v>
      </c>
      <c r="E150" s="22">
        <f>+2.27</f>
        <v>2.27</v>
      </c>
      <c r="F150" s="23">
        <v>106.0</v>
      </c>
      <c r="G150" s="24">
        <v>180.0</v>
      </c>
      <c r="H150" s="21">
        <v>103.7</v>
      </c>
      <c r="I150" s="24">
        <v>126.0</v>
      </c>
      <c r="J150" s="23">
        <v>67.6</v>
      </c>
      <c r="K150" s="24">
        <v>170.0</v>
      </c>
      <c r="L150" s="25">
        <f>+0.066</f>
        <v>0.066</v>
      </c>
      <c r="M150" s="24">
        <v>45.0</v>
      </c>
      <c r="N150" s="23">
        <v>-0.2</v>
      </c>
      <c r="O150" s="24">
        <v>171.0</v>
      </c>
      <c r="P150" s="21">
        <v>104.2</v>
      </c>
      <c r="Q150" s="24">
        <v>269.0</v>
      </c>
      <c r="R150" s="21">
        <v>104.4</v>
      </c>
      <c r="S150" s="24">
        <v>111.0</v>
      </c>
      <c r="T150" s="25">
        <f>+2.82</f>
        <v>2.82</v>
      </c>
      <c r="U150" s="24">
        <v>107.0</v>
      </c>
    </row>
    <row r="151">
      <c r="A151" s="26">
        <v>143.0</v>
      </c>
      <c r="B151" s="15" t="s">
        <v>405</v>
      </c>
      <c r="C151" s="16" t="s">
        <v>406</v>
      </c>
      <c r="D151" s="26" t="s">
        <v>73</v>
      </c>
      <c r="E151" s="27">
        <f>+2.13</f>
        <v>2.13</v>
      </c>
      <c r="F151" s="28">
        <v>109.1</v>
      </c>
      <c r="G151" s="29">
        <v>124.0</v>
      </c>
      <c r="H151" s="26">
        <v>106.9</v>
      </c>
      <c r="I151" s="29">
        <v>190.0</v>
      </c>
      <c r="J151" s="28">
        <v>67.5</v>
      </c>
      <c r="K151" s="29">
        <v>182.0</v>
      </c>
      <c r="L151" s="28">
        <v>-0.096</v>
      </c>
      <c r="M151" s="29">
        <v>352.0</v>
      </c>
      <c r="N151" s="28">
        <v>-4.58</v>
      </c>
      <c r="O151" s="29">
        <v>294.0</v>
      </c>
      <c r="P151" s="26">
        <v>103.8</v>
      </c>
      <c r="Q151" s="29">
        <v>286.0</v>
      </c>
      <c r="R151" s="26">
        <v>108.4</v>
      </c>
      <c r="S151" s="29">
        <v>297.0</v>
      </c>
      <c r="T151" s="28">
        <v>-2.84</v>
      </c>
      <c r="U151" s="29">
        <v>269.0</v>
      </c>
    </row>
    <row r="152">
      <c r="A152" s="21">
        <v>144.0</v>
      </c>
      <c r="B152" s="15" t="s">
        <v>407</v>
      </c>
      <c r="C152" s="16" t="s">
        <v>408</v>
      </c>
      <c r="D152" s="39">
        <v>45558.0</v>
      </c>
      <c r="E152" s="22">
        <f>+1.94</f>
        <v>1.94</v>
      </c>
      <c r="F152" s="23">
        <v>108.3</v>
      </c>
      <c r="G152" s="24">
        <v>140.0</v>
      </c>
      <c r="H152" s="21">
        <v>106.4</v>
      </c>
      <c r="I152" s="24">
        <v>178.0</v>
      </c>
      <c r="J152" s="23">
        <v>68.5</v>
      </c>
      <c r="K152" s="24">
        <v>123.0</v>
      </c>
      <c r="L152" s="23">
        <v>-0.009</v>
      </c>
      <c r="M152" s="24">
        <v>210.0</v>
      </c>
      <c r="N152" s="25">
        <f>+11.87</f>
        <v>11.87</v>
      </c>
      <c r="O152" s="24">
        <v>19.0</v>
      </c>
      <c r="P152" s="21">
        <v>111.7</v>
      </c>
      <c r="Q152" s="24">
        <v>43.0</v>
      </c>
      <c r="R152" s="21">
        <v>99.8</v>
      </c>
      <c r="S152" s="24">
        <v>6.0</v>
      </c>
      <c r="T152" s="25">
        <f>+2.81</f>
        <v>2.81</v>
      </c>
      <c r="U152" s="24">
        <v>108.0</v>
      </c>
    </row>
    <row r="153">
      <c r="A153" s="26">
        <v>145.0</v>
      </c>
      <c r="B153" s="15" t="s">
        <v>409</v>
      </c>
      <c r="C153" s="16" t="s">
        <v>410</v>
      </c>
      <c r="D153" s="38">
        <v>45528.0</v>
      </c>
      <c r="E153" s="27">
        <f>+1.79</f>
        <v>1.79</v>
      </c>
      <c r="F153" s="28">
        <v>108.4</v>
      </c>
      <c r="G153" s="29">
        <v>136.0</v>
      </c>
      <c r="H153" s="26">
        <v>106.6</v>
      </c>
      <c r="I153" s="29">
        <v>181.0</v>
      </c>
      <c r="J153" s="28">
        <v>66.7</v>
      </c>
      <c r="K153" s="29">
        <v>239.0</v>
      </c>
      <c r="L153" s="28">
        <v>-0.137</v>
      </c>
      <c r="M153" s="29">
        <v>362.0</v>
      </c>
      <c r="N153" s="30">
        <f>+9.94</f>
        <v>9.94</v>
      </c>
      <c r="O153" s="29">
        <v>48.0</v>
      </c>
      <c r="P153" s="26">
        <v>112.5</v>
      </c>
      <c r="Q153" s="29">
        <v>27.0</v>
      </c>
      <c r="R153" s="26">
        <v>102.5</v>
      </c>
      <c r="S153" s="29">
        <v>80.0</v>
      </c>
      <c r="T153" s="28">
        <v>-1.29</v>
      </c>
      <c r="U153" s="29">
        <v>233.0</v>
      </c>
    </row>
    <row r="154">
      <c r="A154" s="21">
        <v>146.0</v>
      </c>
      <c r="B154" s="15" t="s">
        <v>411</v>
      </c>
      <c r="C154" s="16" t="s">
        <v>412</v>
      </c>
      <c r="D154" s="21" t="s">
        <v>322</v>
      </c>
      <c r="E154" s="22">
        <f>+1.77</f>
        <v>1.77</v>
      </c>
      <c r="F154" s="23">
        <v>103.5</v>
      </c>
      <c r="G154" s="24">
        <v>228.0</v>
      </c>
      <c r="H154" s="21">
        <v>101.7</v>
      </c>
      <c r="I154" s="24">
        <v>90.0</v>
      </c>
      <c r="J154" s="23">
        <v>62.3</v>
      </c>
      <c r="K154" s="24">
        <v>358.0</v>
      </c>
      <c r="L154" s="25">
        <f>+0.012</f>
        <v>0.012</v>
      </c>
      <c r="M154" s="24">
        <v>155.0</v>
      </c>
      <c r="N154" s="23">
        <v>-1.19</v>
      </c>
      <c r="O154" s="24">
        <v>198.0</v>
      </c>
      <c r="P154" s="21">
        <v>106.5</v>
      </c>
      <c r="Q154" s="24">
        <v>158.0</v>
      </c>
      <c r="R154" s="21">
        <v>107.7</v>
      </c>
      <c r="S154" s="24">
        <v>256.0</v>
      </c>
      <c r="T154" s="25">
        <f>+1.53</f>
        <v>1.53</v>
      </c>
      <c r="U154" s="24">
        <v>143.0</v>
      </c>
    </row>
    <row r="155">
      <c r="A155" s="26">
        <v>147.0</v>
      </c>
      <c r="B155" s="15" t="s">
        <v>413</v>
      </c>
      <c r="C155" s="16" t="s">
        <v>414</v>
      </c>
      <c r="D155" s="26" t="s">
        <v>415</v>
      </c>
      <c r="E155" s="27">
        <f>+1.74</f>
        <v>1.74</v>
      </c>
      <c r="F155" s="28">
        <v>109.2</v>
      </c>
      <c r="G155" s="29">
        <v>118.0</v>
      </c>
      <c r="H155" s="26">
        <v>107.5</v>
      </c>
      <c r="I155" s="29">
        <v>202.0</v>
      </c>
      <c r="J155" s="28">
        <v>64.9</v>
      </c>
      <c r="K155" s="29">
        <v>320.0</v>
      </c>
      <c r="L155" s="30">
        <f>+0.07</f>
        <v>0.07</v>
      </c>
      <c r="M155" s="29">
        <v>36.0</v>
      </c>
      <c r="N155" s="28">
        <v>-0.73</v>
      </c>
      <c r="O155" s="29">
        <v>188.0</v>
      </c>
      <c r="P155" s="26">
        <v>106.1</v>
      </c>
      <c r="Q155" s="29">
        <v>180.0</v>
      </c>
      <c r="R155" s="26">
        <v>106.8</v>
      </c>
      <c r="S155" s="29">
        <v>204.0</v>
      </c>
      <c r="T155" s="28">
        <v>-0.5</v>
      </c>
      <c r="U155" s="29">
        <v>209.0</v>
      </c>
    </row>
    <row r="156">
      <c r="A156" s="21">
        <v>148.0</v>
      </c>
      <c r="B156" s="15" t="s">
        <v>416</v>
      </c>
      <c r="C156" s="16" t="s">
        <v>417</v>
      </c>
      <c r="D156" s="21" t="s">
        <v>73</v>
      </c>
      <c r="E156" s="22">
        <f>+1.71</f>
        <v>1.71</v>
      </c>
      <c r="F156" s="23">
        <v>107.6</v>
      </c>
      <c r="G156" s="24">
        <v>146.0</v>
      </c>
      <c r="H156" s="21">
        <v>105.9</v>
      </c>
      <c r="I156" s="24">
        <v>167.0</v>
      </c>
      <c r="J156" s="23">
        <v>63.1</v>
      </c>
      <c r="K156" s="24">
        <v>354.0</v>
      </c>
      <c r="L156" s="23">
        <v>-0.087</v>
      </c>
      <c r="M156" s="24">
        <v>346.0</v>
      </c>
      <c r="N156" s="23">
        <v>-5.02</v>
      </c>
      <c r="O156" s="24">
        <v>301.0</v>
      </c>
      <c r="P156" s="21">
        <v>104.6</v>
      </c>
      <c r="Q156" s="24">
        <v>257.0</v>
      </c>
      <c r="R156" s="21">
        <v>109.6</v>
      </c>
      <c r="S156" s="24">
        <v>353.0</v>
      </c>
      <c r="T156" s="23">
        <v>-3.85</v>
      </c>
      <c r="U156" s="24">
        <v>290.0</v>
      </c>
    </row>
    <row r="157">
      <c r="A157" s="26">
        <v>149.0</v>
      </c>
      <c r="B157" s="15" t="s">
        <v>418</v>
      </c>
      <c r="C157" s="16" t="s">
        <v>419</v>
      </c>
      <c r="D157" s="26" t="s">
        <v>201</v>
      </c>
      <c r="E157" s="27">
        <f>+1.61</f>
        <v>1.61</v>
      </c>
      <c r="F157" s="28">
        <v>104.5</v>
      </c>
      <c r="G157" s="29">
        <v>211.0</v>
      </c>
      <c r="H157" s="26">
        <v>102.9</v>
      </c>
      <c r="I157" s="29">
        <v>110.0</v>
      </c>
      <c r="J157" s="28">
        <v>67.9</v>
      </c>
      <c r="K157" s="29">
        <v>157.0</v>
      </c>
      <c r="L157" s="30">
        <f>+0.022</f>
        <v>0.022</v>
      </c>
      <c r="M157" s="29">
        <v>127.0</v>
      </c>
      <c r="N157" s="30">
        <f>+2.36</f>
        <v>2.36</v>
      </c>
      <c r="O157" s="29">
        <v>124.0</v>
      </c>
      <c r="P157" s="26">
        <v>107.3</v>
      </c>
      <c r="Q157" s="29">
        <v>133.0</v>
      </c>
      <c r="R157" s="26">
        <v>104.9</v>
      </c>
      <c r="S157" s="29">
        <v>126.0</v>
      </c>
      <c r="T157" s="28">
        <v>-3.32</v>
      </c>
      <c r="U157" s="29">
        <v>282.0</v>
      </c>
    </row>
    <row r="158">
      <c r="A158" s="31">
        <v>150.0</v>
      </c>
      <c r="B158" s="32" t="s">
        <v>420</v>
      </c>
      <c r="C158" s="33" t="s">
        <v>421</v>
      </c>
      <c r="D158" s="31" t="s">
        <v>44</v>
      </c>
      <c r="E158" s="34">
        <f>+1.5</f>
        <v>1.5</v>
      </c>
      <c r="F158" s="35">
        <v>104.8</v>
      </c>
      <c r="G158" s="36">
        <v>205.0</v>
      </c>
      <c r="H158" s="31">
        <v>103.3</v>
      </c>
      <c r="I158" s="36">
        <v>117.0</v>
      </c>
      <c r="J158" s="35">
        <v>66.4</v>
      </c>
      <c r="K158" s="36">
        <v>255.0</v>
      </c>
      <c r="L158" s="37">
        <f>+0.068</f>
        <v>0.068</v>
      </c>
      <c r="M158" s="36">
        <v>40.0</v>
      </c>
      <c r="N158" s="35">
        <v>-6.51</v>
      </c>
      <c r="O158" s="36">
        <v>333.0</v>
      </c>
      <c r="P158" s="31">
        <v>102.3</v>
      </c>
      <c r="Q158" s="36">
        <v>318.0</v>
      </c>
      <c r="R158" s="31">
        <v>108.8</v>
      </c>
      <c r="S158" s="36">
        <v>320.0</v>
      </c>
      <c r="T158" s="37">
        <f>+6.36</f>
        <v>6.36</v>
      </c>
      <c r="U158" s="36">
        <v>42.0</v>
      </c>
    </row>
    <row r="159">
      <c r="A159" s="26">
        <v>151.0</v>
      </c>
      <c r="B159" s="15" t="s">
        <v>422</v>
      </c>
      <c r="C159" s="16" t="s">
        <v>423</v>
      </c>
      <c r="D159" s="26" t="s">
        <v>274</v>
      </c>
      <c r="E159" s="27">
        <f>+1.4</f>
        <v>1.4</v>
      </c>
      <c r="F159" s="28">
        <v>105.9</v>
      </c>
      <c r="G159" s="29">
        <v>183.0</v>
      </c>
      <c r="H159" s="26">
        <v>104.5</v>
      </c>
      <c r="I159" s="29">
        <v>140.0</v>
      </c>
      <c r="J159" s="28">
        <v>68.8</v>
      </c>
      <c r="K159" s="29">
        <v>105.0</v>
      </c>
      <c r="L159" s="28">
        <v>-0.017</v>
      </c>
      <c r="M159" s="29">
        <v>234.0</v>
      </c>
      <c r="N159" s="28">
        <v>-0.76</v>
      </c>
      <c r="O159" s="29">
        <v>190.0</v>
      </c>
      <c r="P159" s="26">
        <v>106.4</v>
      </c>
      <c r="Q159" s="29">
        <v>164.0</v>
      </c>
      <c r="R159" s="26">
        <v>107.2</v>
      </c>
      <c r="S159" s="29">
        <v>221.0</v>
      </c>
      <c r="T159" s="30">
        <f>+1.74</f>
        <v>1.74</v>
      </c>
      <c r="U159" s="29">
        <v>136.0</v>
      </c>
    </row>
    <row r="160">
      <c r="A160" s="21">
        <v>152.0</v>
      </c>
      <c r="B160" s="15" t="s">
        <v>424</v>
      </c>
      <c r="C160" s="16" t="s">
        <v>425</v>
      </c>
      <c r="D160" s="21" t="s">
        <v>415</v>
      </c>
      <c r="E160" s="22">
        <f>+1.35</f>
        <v>1.35</v>
      </c>
      <c r="F160" s="23">
        <v>112.0</v>
      </c>
      <c r="G160" s="24">
        <v>77.0</v>
      </c>
      <c r="H160" s="21">
        <v>110.7</v>
      </c>
      <c r="I160" s="24">
        <v>262.0</v>
      </c>
      <c r="J160" s="23">
        <v>70.6</v>
      </c>
      <c r="K160" s="24">
        <v>45.0</v>
      </c>
      <c r="L160" s="25">
        <f>+0.072</f>
        <v>0.072</v>
      </c>
      <c r="M160" s="24">
        <v>34.0</v>
      </c>
      <c r="N160" s="23">
        <v>-1.71</v>
      </c>
      <c r="O160" s="24">
        <v>212.0</v>
      </c>
      <c r="P160" s="21">
        <v>105.8</v>
      </c>
      <c r="Q160" s="24">
        <v>189.0</v>
      </c>
      <c r="R160" s="21">
        <v>107.5</v>
      </c>
      <c r="S160" s="24">
        <v>250.0</v>
      </c>
      <c r="T160" s="25">
        <f>+8.94</f>
        <v>8.94</v>
      </c>
      <c r="U160" s="24">
        <v>20.0</v>
      </c>
    </row>
    <row r="161">
      <c r="A161" s="26">
        <v>153.0</v>
      </c>
      <c r="B161" s="15" t="s">
        <v>426</v>
      </c>
      <c r="C161" s="16" t="s">
        <v>427</v>
      </c>
      <c r="D161" s="26" t="s">
        <v>226</v>
      </c>
      <c r="E161" s="27">
        <f>+1.31</f>
        <v>1.31</v>
      </c>
      <c r="F161" s="28">
        <v>106.2</v>
      </c>
      <c r="G161" s="29">
        <v>173.0</v>
      </c>
      <c r="H161" s="26">
        <v>104.9</v>
      </c>
      <c r="I161" s="29">
        <v>146.0</v>
      </c>
      <c r="J161" s="28">
        <v>70.2</v>
      </c>
      <c r="K161" s="29">
        <v>53.0</v>
      </c>
      <c r="L161" s="28">
        <v>-0.004</v>
      </c>
      <c r="M161" s="29">
        <v>196.0</v>
      </c>
      <c r="N161" s="28">
        <v>-4.27</v>
      </c>
      <c r="O161" s="29">
        <v>288.0</v>
      </c>
      <c r="P161" s="26">
        <v>102.1</v>
      </c>
      <c r="Q161" s="29">
        <v>324.0</v>
      </c>
      <c r="R161" s="26">
        <v>106.3</v>
      </c>
      <c r="S161" s="29">
        <v>175.0</v>
      </c>
      <c r="T161" s="28">
        <v>-3.13</v>
      </c>
      <c r="U161" s="29">
        <v>276.0</v>
      </c>
    </row>
    <row r="162">
      <c r="A162" s="21">
        <v>154.0</v>
      </c>
      <c r="B162" s="15" t="s">
        <v>428</v>
      </c>
      <c r="C162" s="16" t="s">
        <v>429</v>
      </c>
      <c r="D162" s="21" t="s">
        <v>430</v>
      </c>
      <c r="E162" s="22">
        <f>+1.12</f>
        <v>1.12</v>
      </c>
      <c r="F162" s="23">
        <v>104.7</v>
      </c>
      <c r="G162" s="24">
        <v>209.0</v>
      </c>
      <c r="H162" s="21">
        <v>103.6</v>
      </c>
      <c r="I162" s="24">
        <v>121.0</v>
      </c>
      <c r="J162" s="23">
        <v>68.1</v>
      </c>
      <c r="K162" s="24">
        <v>145.0</v>
      </c>
      <c r="L162" s="23">
        <v>-0.037</v>
      </c>
      <c r="M162" s="24">
        <v>279.0</v>
      </c>
      <c r="N162" s="25">
        <f>+3.51</f>
        <v>3.51</v>
      </c>
      <c r="O162" s="24">
        <v>104.0</v>
      </c>
      <c r="P162" s="21">
        <v>108.9</v>
      </c>
      <c r="Q162" s="24">
        <v>98.0</v>
      </c>
      <c r="R162" s="21">
        <v>105.4</v>
      </c>
      <c r="S162" s="24">
        <v>139.0</v>
      </c>
      <c r="T162" s="25">
        <f>+1.48</f>
        <v>1.48</v>
      </c>
      <c r="U162" s="24">
        <v>146.0</v>
      </c>
    </row>
    <row r="163">
      <c r="A163" s="26">
        <v>155.0</v>
      </c>
      <c r="B163" s="15" t="s">
        <v>431</v>
      </c>
      <c r="C163" s="16" t="s">
        <v>432</v>
      </c>
      <c r="D163" s="26" t="s">
        <v>357</v>
      </c>
      <c r="E163" s="27">
        <f>+1.03</f>
        <v>1.03</v>
      </c>
      <c r="F163" s="28">
        <v>107.0</v>
      </c>
      <c r="G163" s="29">
        <v>162.0</v>
      </c>
      <c r="H163" s="26">
        <v>105.9</v>
      </c>
      <c r="I163" s="29">
        <v>170.0</v>
      </c>
      <c r="J163" s="28">
        <v>65.3</v>
      </c>
      <c r="K163" s="29">
        <v>310.0</v>
      </c>
      <c r="L163" s="30">
        <f>+0.044</f>
        <v>0.044</v>
      </c>
      <c r="M163" s="29">
        <v>79.0</v>
      </c>
      <c r="N163" s="30">
        <f>+9.3</f>
        <v>9.3</v>
      </c>
      <c r="O163" s="29">
        <v>66.0</v>
      </c>
      <c r="P163" s="26">
        <v>110.7</v>
      </c>
      <c r="Q163" s="29">
        <v>72.0</v>
      </c>
      <c r="R163" s="26">
        <v>101.4</v>
      </c>
      <c r="S163" s="29">
        <v>46.0</v>
      </c>
      <c r="T163" s="30">
        <f>+0.5</f>
        <v>0.5</v>
      </c>
      <c r="U163" s="29">
        <v>175.0</v>
      </c>
    </row>
    <row r="164">
      <c r="A164" s="21">
        <v>156.0</v>
      </c>
      <c r="B164" s="15" t="s">
        <v>433</v>
      </c>
      <c r="C164" s="16" t="s">
        <v>434</v>
      </c>
      <c r="D164" s="21" t="s">
        <v>150</v>
      </c>
      <c r="E164" s="22">
        <f>+0.92</f>
        <v>0.92</v>
      </c>
      <c r="F164" s="23">
        <v>108.6</v>
      </c>
      <c r="G164" s="24">
        <v>132.0</v>
      </c>
      <c r="H164" s="21">
        <v>107.7</v>
      </c>
      <c r="I164" s="24">
        <v>207.0</v>
      </c>
      <c r="J164" s="23">
        <v>65.7</v>
      </c>
      <c r="K164" s="24">
        <v>287.0</v>
      </c>
      <c r="L164" s="23">
        <v>-0.014</v>
      </c>
      <c r="M164" s="24">
        <v>224.0</v>
      </c>
      <c r="N164" s="23">
        <v>-2.76</v>
      </c>
      <c r="O164" s="24">
        <v>241.0</v>
      </c>
      <c r="P164" s="21">
        <v>104.9</v>
      </c>
      <c r="Q164" s="24">
        <v>242.0</v>
      </c>
      <c r="R164" s="21">
        <v>107.7</v>
      </c>
      <c r="S164" s="24">
        <v>258.0</v>
      </c>
      <c r="T164" s="25">
        <f>+4</f>
        <v>4</v>
      </c>
      <c r="U164" s="24">
        <v>82.0</v>
      </c>
    </row>
    <row r="165">
      <c r="A165" s="26">
        <v>157.0</v>
      </c>
      <c r="B165" s="15" t="s">
        <v>435</v>
      </c>
      <c r="C165" s="16" t="s">
        <v>436</v>
      </c>
      <c r="D165" s="26" t="s">
        <v>437</v>
      </c>
      <c r="E165" s="27">
        <f>+0.83</f>
        <v>0.83</v>
      </c>
      <c r="F165" s="28">
        <v>104.9</v>
      </c>
      <c r="G165" s="29">
        <v>204.0</v>
      </c>
      <c r="H165" s="26">
        <v>104.1</v>
      </c>
      <c r="I165" s="29">
        <v>132.0</v>
      </c>
      <c r="J165" s="28">
        <v>70.9</v>
      </c>
      <c r="K165" s="29">
        <v>36.0</v>
      </c>
      <c r="L165" s="28">
        <v>-0.039</v>
      </c>
      <c r="M165" s="29">
        <v>284.0</v>
      </c>
      <c r="N165" s="28">
        <v>-5.31</v>
      </c>
      <c r="O165" s="29">
        <v>313.0</v>
      </c>
      <c r="P165" s="26">
        <v>104.4</v>
      </c>
      <c r="Q165" s="29">
        <v>264.0</v>
      </c>
      <c r="R165" s="26">
        <v>109.7</v>
      </c>
      <c r="S165" s="29">
        <v>355.0</v>
      </c>
      <c r="T165" s="28">
        <v>-9.05</v>
      </c>
      <c r="U165" s="29">
        <v>358.0</v>
      </c>
    </row>
    <row r="166">
      <c r="A166" s="21">
        <v>158.0</v>
      </c>
      <c r="B166" s="15" t="s">
        <v>438</v>
      </c>
      <c r="C166" s="16" t="s">
        <v>439</v>
      </c>
      <c r="D166" s="21" t="s">
        <v>393</v>
      </c>
      <c r="E166" s="22">
        <f>+0.8</f>
        <v>0.8</v>
      </c>
      <c r="F166" s="23">
        <v>116.1</v>
      </c>
      <c r="G166" s="24">
        <v>33.0</v>
      </c>
      <c r="H166" s="21">
        <v>115.3</v>
      </c>
      <c r="I166" s="24">
        <v>348.0</v>
      </c>
      <c r="J166" s="23">
        <v>71.6</v>
      </c>
      <c r="K166" s="24">
        <v>22.0</v>
      </c>
      <c r="L166" s="23">
        <v>-0.058</v>
      </c>
      <c r="M166" s="24">
        <v>313.0</v>
      </c>
      <c r="N166" s="23">
        <v>-2.58</v>
      </c>
      <c r="O166" s="24">
        <v>236.0</v>
      </c>
      <c r="P166" s="21">
        <v>104.9</v>
      </c>
      <c r="Q166" s="24">
        <v>243.0</v>
      </c>
      <c r="R166" s="21">
        <v>107.5</v>
      </c>
      <c r="S166" s="24">
        <v>245.0</v>
      </c>
      <c r="T166" s="25">
        <f>+4.09</f>
        <v>4.09</v>
      </c>
      <c r="U166" s="24">
        <v>81.0</v>
      </c>
    </row>
    <row r="167">
      <c r="A167" s="26">
        <v>159.0</v>
      </c>
      <c r="B167" s="15" t="s">
        <v>440</v>
      </c>
      <c r="C167" s="16" t="s">
        <v>441</v>
      </c>
      <c r="D167" s="26" t="s">
        <v>286</v>
      </c>
      <c r="E167" s="27">
        <f>+0.79</f>
        <v>0.79</v>
      </c>
      <c r="F167" s="28">
        <v>108.7</v>
      </c>
      <c r="G167" s="29">
        <v>130.0</v>
      </c>
      <c r="H167" s="26">
        <v>107.9</v>
      </c>
      <c r="I167" s="29">
        <v>210.0</v>
      </c>
      <c r="J167" s="28">
        <v>67.2</v>
      </c>
      <c r="K167" s="29">
        <v>197.0</v>
      </c>
      <c r="L167" s="30">
        <f>+0.038</f>
        <v>0.038</v>
      </c>
      <c r="M167" s="29">
        <v>92.0</v>
      </c>
      <c r="N167" s="30">
        <f>+6.42</f>
        <v>6.42</v>
      </c>
      <c r="O167" s="29">
        <v>88.0</v>
      </c>
      <c r="P167" s="26">
        <v>110.2</v>
      </c>
      <c r="Q167" s="29">
        <v>82.0</v>
      </c>
      <c r="R167" s="26">
        <v>103.8</v>
      </c>
      <c r="S167" s="29">
        <v>93.0</v>
      </c>
      <c r="T167" s="30">
        <f>+2.47</f>
        <v>2.47</v>
      </c>
      <c r="U167" s="29">
        <v>118.0</v>
      </c>
    </row>
    <row r="168">
      <c r="A168" s="31">
        <v>160.0</v>
      </c>
      <c r="B168" s="32" t="s">
        <v>442</v>
      </c>
      <c r="C168" s="33" t="s">
        <v>443</v>
      </c>
      <c r="D168" s="40">
        <v>45646.0</v>
      </c>
      <c r="E168" s="34">
        <f>+0.52</f>
        <v>0.52</v>
      </c>
      <c r="F168" s="35">
        <v>107.4</v>
      </c>
      <c r="G168" s="36">
        <v>150.0</v>
      </c>
      <c r="H168" s="31">
        <v>106.9</v>
      </c>
      <c r="I168" s="36">
        <v>188.0</v>
      </c>
      <c r="J168" s="35">
        <v>64.5</v>
      </c>
      <c r="K168" s="36">
        <v>335.0</v>
      </c>
      <c r="L168" s="35">
        <v>-0.113</v>
      </c>
      <c r="M168" s="36">
        <v>360.0</v>
      </c>
      <c r="N168" s="37">
        <f>+3.01</f>
        <v>3.01</v>
      </c>
      <c r="O168" s="36">
        <v>112.0</v>
      </c>
      <c r="P168" s="31">
        <v>107.3</v>
      </c>
      <c r="Q168" s="36">
        <v>130.0</v>
      </c>
      <c r="R168" s="31">
        <v>104.3</v>
      </c>
      <c r="S168" s="36">
        <v>110.0</v>
      </c>
      <c r="T168" s="35">
        <v>-0.21</v>
      </c>
      <c r="U168" s="36">
        <v>204.0</v>
      </c>
    </row>
    <row r="169">
      <c r="A169" s="1"/>
      <c r="B169" s="1"/>
      <c r="C169" s="1"/>
      <c r="D169" s="2"/>
      <c r="E169" s="2"/>
      <c r="F169" s="3"/>
      <c r="J169" s="3"/>
      <c r="L169" s="3"/>
      <c r="N169" s="4" t="s">
        <v>0</v>
      </c>
      <c r="T169" s="4" t="s">
        <v>1</v>
      </c>
    </row>
    <row r="170">
      <c r="A170" s="5" t="s">
        <v>444</v>
      </c>
      <c r="B170" s="6" t="s">
        <v>445</v>
      </c>
      <c r="C170" s="7" t="s">
        <v>4</v>
      </c>
      <c r="D170" s="5" t="s">
        <v>446</v>
      </c>
      <c r="E170" s="5" t="s">
        <v>447</v>
      </c>
      <c r="F170" s="10" t="s">
        <v>448</v>
      </c>
      <c r="H170" s="5" t="s">
        <v>449</v>
      </c>
      <c r="I170" s="2"/>
      <c r="J170" s="10" t="s">
        <v>450</v>
      </c>
      <c r="L170" s="10" t="s">
        <v>451</v>
      </c>
      <c r="N170" s="10" t="s">
        <v>452</v>
      </c>
      <c r="P170" s="5" t="s">
        <v>453</v>
      </c>
      <c r="Q170" s="2"/>
      <c r="R170" s="5" t="s">
        <v>454</v>
      </c>
      <c r="S170" s="2"/>
      <c r="T170" s="10" t="s">
        <v>455</v>
      </c>
    </row>
    <row r="171">
      <c r="A171" s="26">
        <v>161.0</v>
      </c>
      <c r="B171" s="15" t="s">
        <v>456</v>
      </c>
      <c r="C171" s="16" t="s">
        <v>457</v>
      </c>
      <c r="D171" s="26" t="s">
        <v>91</v>
      </c>
      <c r="E171" s="27">
        <f>+0.35</f>
        <v>0.35</v>
      </c>
      <c r="F171" s="28">
        <v>105.5</v>
      </c>
      <c r="G171" s="29">
        <v>191.0</v>
      </c>
      <c r="H171" s="26">
        <v>105.2</v>
      </c>
      <c r="I171" s="29">
        <v>151.0</v>
      </c>
      <c r="J171" s="28">
        <v>66.9</v>
      </c>
      <c r="K171" s="29">
        <v>228.0</v>
      </c>
      <c r="L171" s="28">
        <v>-0.005</v>
      </c>
      <c r="M171" s="29">
        <v>199.0</v>
      </c>
      <c r="N171" s="28">
        <v>-3.4</v>
      </c>
      <c r="O171" s="29">
        <v>260.0</v>
      </c>
      <c r="P171" s="26">
        <v>104.7</v>
      </c>
      <c r="Q171" s="29">
        <v>252.0</v>
      </c>
      <c r="R171" s="26">
        <v>108.1</v>
      </c>
      <c r="S171" s="29">
        <v>280.0</v>
      </c>
      <c r="T171" s="28">
        <v>-6.8</v>
      </c>
      <c r="U171" s="29">
        <v>342.0</v>
      </c>
    </row>
    <row r="172">
      <c r="A172" s="21">
        <v>162.0</v>
      </c>
      <c r="B172" s="15" t="s">
        <v>458</v>
      </c>
      <c r="C172" s="16" t="s">
        <v>459</v>
      </c>
      <c r="D172" s="21" t="s">
        <v>460</v>
      </c>
      <c r="E172" s="21">
        <v>-0.1</v>
      </c>
      <c r="F172" s="23">
        <v>100.2</v>
      </c>
      <c r="G172" s="24">
        <v>283.0</v>
      </c>
      <c r="H172" s="21">
        <v>100.3</v>
      </c>
      <c r="I172" s="24">
        <v>66.0</v>
      </c>
      <c r="J172" s="23">
        <v>67.7</v>
      </c>
      <c r="K172" s="24">
        <v>163.0</v>
      </c>
      <c r="L172" s="25">
        <f>+0</f>
        <v>0</v>
      </c>
      <c r="M172" s="24">
        <v>182.0</v>
      </c>
      <c r="N172" s="25">
        <f>+1.87</f>
        <v>1.87</v>
      </c>
      <c r="O172" s="24">
        <v>130.0</v>
      </c>
      <c r="P172" s="21">
        <v>106.4</v>
      </c>
      <c r="Q172" s="24">
        <v>165.0</v>
      </c>
      <c r="R172" s="21">
        <v>104.5</v>
      </c>
      <c r="S172" s="24">
        <v>114.0</v>
      </c>
      <c r="T172" s="25">
        <f>+7.07</f>
        <v>7.07</v>
      </c>
      <c r="U172" s="24">
        <v>33.0</v>
      </c>
    </row>
    <row r="173">
      <c r="A173" s="26">
        <v>163.0</v>
      </c>
      <c r="B173" s="15" t="s">
        <v>461</v>
      </c>
      <c r="C173" s="16" t="s">
        <v>462</v>
      </c>
      <c r="D173" s="26" t="s">
        <v>67</v>
      </c>
      <c r="E173" s="26">
        <v>-0.17</v>
      </c>
      <c r="F173" s="28">
        <v>110.6</v>
      </c>
      <c r="G173" s="29">
        <v>93.0</v>
      </c>
      <c r="H173" s="26">
        <v>110.8</v>
      </c>
      <c r="I173" s="29">
        <v>267.0</v>
      </c>
      <c r="J173" s="28">
        <v>66.3</v>
      </c>
      <c r="K173" s="29">
        <v>261.0</v>
      </c>
      <c r="L173" s="30">
        <f>+0.076</f>
        <v>0.076</v>
      </c>
      <c r="M173" s="29">
        <v>29.0</v>
      </c>
      <c r="N173" s="28">
        <v>-3.65</v>
      </c>
      <c r="O173" s="29">
        <v>272.0</v>
      </c>
      <c r="P173" s="26">
        <v>104.9</v>
      </c>
      <c r="Q173" s="29">
        <v>244.0</v>
      </c>
      <c r="R173" s="26">
        <v>108.5</v>
      </c>
      <c r="S173" s="29">
        <v>304.0</v>
      </c>
      <c r="T173" s="30">
        <f>+1.7</f>
        <v>1.7</v>
      </c>
      <c r="U173" s="29">
        <v>137.0</v>
      </c>
    </row>
    <row r="174">
      <c r="A174" s="21">
        <v>164.0</v>
      </c>
      <c r="B174" s="15" t="s">
        <v>463</v>
      </c>
      <c r="C174" s="16" t="s">
        <v>464</v>
      </c>
      <c r="D174" s="21" t="s">
        <v>138</v>
      </c>
      <c r="E174" s="21">
        <v>-0.21</v>
      </c>
      <c r="F174" s="23">
        <v>107.4</v>
      </c>
      <c r="G174" s="24">
        <v>151.0</v>
      </c>
      <c r="H174" s="21">
        <v>107.6</v>
      </c>
      <c r="I174" s="24">
        <v>206.0</v>
      </c>
      <c r="J174" s="23">
        <v>68.2</v>
      </c>
      <c r="K174" s="24">
        <v>137.0</v>
      </c>
      <c r="L174" s="25">
        <f>+0.083</f>
        <v>0.083</v>
      </c>
      <c r="M174" s="24">
        <v>23.0</v>
      </c>
      <c r="N174" s="23">
        <v>-1.27</v>
      </c>
      <c r="O174" s="24">
        <v>200.0</v>
      </c>
      <c r="P174" s="21">
        <v>106.3</v>
      </c>
      <c r="Q174" s="24">
        <v>172.0</v>
      </c>
      <c r="R174" s="21">
        <v>107.5</v>
      </c>
      <c r="S174" s="24">
        <v>247.0</v>
      </c>
      <c r="T174" s="25">
        <f>+3.33</f>
        <v>3.33</v>
      </c>
      <c r="U174" s="24">
        <v>94.0</v>
      </c>
    </row>
    <row r="175">
      <c r="A175" s="26">
        <v>165.0</v>
      </c>
      <c r="B175" s="15" t="s">
        <v>465</v>
      </c>
      <c r="C175" s="16" t="s">
        <v>466</v>
      </c>
      <c r="D175" s="26" t="s">
        <v>109</v>
      </c>
      <c r="E175" s="26">
        <v>-0.25</v>
      </c>
      <c r="F175" s="28">
        <v>107.3</v>
      </c>
      <c r="G175" s="29">
        <v>154.0</v>
      </c>
      <c r="H175" s="26">
        <v>107.5</v>
      </c>
      <c r="I175" s="29">
        <v>203.0</v>
      </c>
      <c r="J175" s="28">
        <v>71.5</v>
      </c>
      <c r="K175" s="29">
        <v>24.0</v>
      </c>
      <c r="L175" s="30">
        <f>+0.053</f>
        <v>0.053</v>
      </c>
      <c r="M175" s="29">
        <v>59.0</v>
      </c>
      <c r="N175" s="28">
        <v>-0.3</v>
      </c>
      <c r="O175" s="29">
        <v>177.0</v>
      </c>
      <c r="P175" s="26">
        <v>105.2</v>
      </c>
      <c r="Q175" s="29">
        <v>225.0</v>
      </c>
      <c r="R175" s="26">
        <v>105.5</v>
      </c>
      <c r="S175" s="29">
        <v>143.0</v>
      </c>
      <c r="T175" s="30">
        <f>+1.29</f>
        <v>1.29</v>
      </c>
      <c r="U175" s="29">
        <v>151.0</v>
      </c>
    </row>
    <row r="176">
      <c r="A176" s="21">
        <v>166.0</v>
      </c>
      <c r="B176" s="15" t="s">
        <v>467</v>
      </c>
      <c r="C176" s="16" t="s">
        <v>468</v>
      </c>
      <c r="D176" s="21" t="s">
        <v>150</v>
      </c>
      <c r="E176" s="21">
        <v>-0.39</v>
      </c>
      <c r="F176" s="23">
        <v>112.0</v>
      </c>
      <c r="G176" s="24">
        <v>78.0</v>
      </c>
      <c r="H176" s="21">
        <v>112.4</v>
      </c>
      <c r="I176" s="24">
        <v>308.0</v>
      </c>
      <c r="J176" s="23">
        <v>69.1</v>
      </c>
      <c r="K176" s="24">
        <v>90.0</v>
      </c>
      <c r="L176" s="25">
        <f>+0.01</f>
        <v>0.01</v>
      </c>
      <c r="M176" s="24">
        <v>158.0</v>
      </c>
      <c r="N176" s="23">
        <v>-3.96</v>
      </c>
      <c r="O176" s="24">
        <v>280.0</v>
      </c>
      <c r="P176" s="21">
        <v>105.3</v>
      </c>
      <c r="Q176" s="24">
        <v>216.0</v>
      </c>
      <c r="R176" s="21">
        <v>109.2</v>
      </c>
      <c r="S176" s="24">
        <v>339.0</v>
      </c>
      <c r="T176" s="25">
        <f>+2.21</f>
        <v>2.21</v>
      </c>
      <c r="U176" s="24">
        <v>122.0</v>
      </c>
    </row>
    <row r="177">
      <c r="A177" s="26">
        <v>167.0</v>
      </c>
      <c r="B177" s="15" t="s">
        <v>469</v>
      </c>
      <c r="C177" s="16" t="s">
        <v>470</v>
      </c>
      <c r="D177" s="26" t="s">
        <v>322</v>
      </c>
      <c r="E177" s="26">
        <v>-0.59</v>
      </c>
      <c r="F177" s="28">
        <v>104.8</v>
      </c>
      <c r="G177" s="29">
        <v>208.0</v>
      </c>
      <c r="H177" s="26">
        <v>105.3</v>
      </c>
      <c r="I177" s="29">
        <v>154.0</v>
      </c>
      <c r="J177" s="28">
        <v>66.2</v>
      </c>
      <c r="K177" s="29">
        <v>265.0</v>
      </c>
      <c r="L177" s="28">
        <v>-0.008</v>
      </c>
      <c r="M177" s="29">
        <v>204.0</v>
      </c>
      <c r="N177" s="28">
        <v>-3.21</v>
      </c>
      <c r="O177" s="29">
        <v>252.0</v>
      </c>
      <c r="P177" s="26">
        <v>103.8</v>
      </c>
      <c r="Q177" s="29">
        <v>284.0</v>
      </c>
      <c r="R177" s="26">
        <v>107.0</v>
      </c>
      <c r="S177" s="29">
        <v>217.0</v>
      </c>
      <c r="T177" s="28">
        <v>-5.31</v>
      </c>
      <c r="U177" s="29">
        <v>318.0</v>
      </c>
    </row>
    <row r="178">
      <c r="A178" s="21">
        <v>168.0</v>
      </c>
      <c r="B178" s="15" t="s">
        <v>471</v>
      </c>
      <c r="C178" s="16" t="s">
        <v>472</v>
      </c>
      <c r="D178" s="21" t="s">
        <v>58</v>
      </c>
      <c r="E178" s="21">
        <v>-0.63</v>
      </c>
      <c r="F178" s="23">
        <v>106.3</v>
      </c>
      <c r="G178" s="24">
        <v>172.0</v>
      </c>
      <c r="H178" s="21">
        <v>106.9</v>
      </c>
      <c r="I178" s="24">
        <v>191.0</v>
      </c>
      <c r="J178" s="23">
        <v>67.6</v>
      </c>
      <c r="K178" s="24">
        <v>173.0</v>
      </c>
      <c r="L178" s="25">
        <f>+0.054</f>
        <v>0.054</v>
      </c>
      <c r="M178" s="24">
        <v>58.0</v>
      </c>
      <c r="N178" s="23">
        <v>-1.32</v>
      </c>
      <c r="O178" s="24">
        <v>204.0</v>
      </c>
      <c r="P178" s="21">
        <v>105.4</v>
      </c>
      <c r="Q178" s="24">
        <v>208.0</v>
      </c>
      <c r="R178" s="21">
        <v>106.7</v>
      </c>
      <c r="S178" s="24">
        <v>200.0</v>
      </c>
      <c r="T178" s="25">
        <f>+1.1</f>
        <v>1.1</v>
      </c>
      <c r="U178" s="24">
        <v>157.0</v>
      </c>
    </row>
    <row r="179">
      <c r="A179" s="26">
        <v>169.0</v>
      </c>
      <c r="B179" s="15" t="s">
        <v>473</v>
      </c>
      <c r="C179" s="16" t="s">
        <v>474</v>
      </c>
      <c r="D179" s="26" t="s">
        <v>274</v>
      </c>
      <c r="E179" s="26">
        <v>-0.63</v>
      </c>
      <c r="F179" s="28">
        <v>105.0</v>
      </c>
      <c r="G179" s="29">
        <v>202.0</v>
      </c>
      <c r="H179" s="26">
        <v>105.6</v>
      </c>
      <c r="I179" s="29">
        <v>164.0</v>
      </c>
      <c r="J179" s="28">
        <v>67.5</v>
      </c>
      <c r="K179" s="29">
        <v>178.0</v>
      </c>
      <c r="L179" s="28">
        <v>-0.014</v>
      </c>
      <c r="M179" s="29">
        <v>222.0</v>
      </c>
      <c r="N179" s="28">
        <v>-3.07</v>
      </c>
      <c r="O179" s="29">
        <v>248.0</v>
      </c>
      <c r="P179" s="26">
        <v>105.1</v>
      </c>
      <c r="Q179" s="29">
        <v>234.0</v>
      </c>
      <c r="R179" s="26">
        <v>108.2</v>
      </c>
      <c r="S179" s="29">
        <v>284.0</v>
      </c>
      <c r="T179" s="28">
        <v>-0.75</v>
      </c>
      <c r="U179" s="29">
        <v>215.0</v>
      </c>
    </row>
    <row r="180">
      <c r="A180" s="31">
        <v>170.0</v>
      </c>
      <c r="B180" s="32" t="s">
        <v>475</v>
      </c>
      <c r="C180" s="33" t="s">
        <v>476</v>
      </c>
      <c r="D180" s="31" t="s">
        <v>187</v>
      </c>
      <c r="E180" s="31">
        <v>-0.65</v>
      </c>
      <c r="F180" s="35">
        <v>102.0</v>
      </c>
      <c r="G180" s="36">
        <v>255.0</v>
      </c>
      <c r="H180" s="31">
        <v>102.6</v>
      </c>
      <c r="I180" s="36">
        <v>106.0</v>
      </c>
      <c r="J180" s="35">
        <v>69.3</v>
      </c>
      <c r="K180" s="36">
        <v>82.0</v>
      </c>
      <c r="L180" s="37">
        <f>+0.008</f>
        <v>0.008</v>
      </c>
      <c r="M180" s="36">
        <v>164.0</v>
      </c>
      <c r="N180" s="35">
        <v>-0.26</v>
      </c>
      <c r="O180" s="36">
        <v>175.0</v>
      </c>
      <c r="P180" s="31">
        <v>105.1</v>
      </c>
      <c r="Q180" s="36">
        <v>230.0</v>
      </c>
      <c r="R180" s="31">
        <v>105.4</v>
      </c>
      <c r="S180" s="36">
        <v>142.0</v>
      </c>
      <c r="T180" s="35">
        <v>-1.02</v>
      </c>
      <c r="U180" s="36">
        <v>225.0</v>
      </c>
    </row>
    <row r="181">
      <c r="A181" s="26">
        <v>171.0</v>
      </c>
      <c r="B181" s="15" t="s">
        <v>477</v>
      </c>
      <c r="C181" s="16" t="s">
        <v>478</v>
      </c>
      <c r="D181" s="26" t="s">
        <v>479</v>
      </c>
      <c r="E181" s="26">
        <v>-0.81</v>
      </c>
      <c r="F181" s="28">
        <v>106.1</v>
      </c>
      <c r="G181" s="29">
        <v>175.0</v>
      </c>
      <c r="H181" s="26">
        <v>107.0</v>
      </c>
      <c r="I181" s="29">
        <v>193.0</v>
      </c>
      <c r="J181" s="28">
        <v>66.6</v>
      </c>
      <c r="K181" s="29">
        <v>245.0</v>
      </c>
      <c r="L181" s="28">
        <v>-0.083</v>
      </c>
      <c r="M181" s="29">
        <v>343.0</v>
      </c>
      <c r="N181" s="28">
        <v>-2.12</v>
      </c>
      <c r="O181" s="29">
        <v>222.0</v>
      </c>
      <c r="P181" s="26">
        <v>105.0</v>
      </c>
      <c r="Q181" s="29">
        <v>239.0</v>
      </c>
      <c r="R181" s="26">
        <v>107.1</v>
      </c>
      <c r="S181" s="29">
        <v>219.0</v>
      </c>
      <c r="T181" s="30">
        <f>+3.45</f>
        <v>3.45</v>
      </c>
      <c r="U181" s="29">
        <v>92.0</v>
      </c>
    </row>
    <row r="182">
      <c r="A182" s="21">
        <v>172.0</v>
      </c>
      <c r="B182" s="15" t="s">
        <v>480</v>
      </c>
      <c r="C182" s="16" t="s">
        <v>481</v>
      </c>
      <c r="D182" s="21" t="s">
        <v>252</v>
      </c>
      <c r="E182" s="21">
        <v>-0.85</v>
      </c>
      <c r="F182" s="23">
        <v>105.2</v>
      </c>
      <c r="G182" s="24">
        <v>199.0</v>
      </c>
      <c r="H182" s="21">
        <v>106.0</v>
      </c>
      <c r="I182" s="24">
        <v>173.0</v>
      </c>
      <c r="J182" s="23">
        <v>71.4</v>
      </c>
      <c r="K182" s="24">
        <v>27.0</v>
      </c>
      <c r="L182" s="25">
        <f>+0.06</f>
        <v>0.06</v>
      </c>
      <c r="M182" s="24">
        <v>50.0</v>
      </c>
      <c r="N182" s="23">
        <v>-7.03</v>
      </c>
      <c r="O182" s="24">
        <v>341.0</v>
      </c>
      <c r="P182" s="21">
        <v>101.0</v>
      </c>
      <c r="Q182" s="24">
        <v>344.0</v>
      </c>
      <c r="R182" s="21">
        <v>108.0</v>
      </c>
      <c r="S182" s="24">
        <v>276.0</v>
      </c>
      <c r="T182" s="23">
        <v>-7.27</v>
      </c>
      <c r="U182" s="24">
        <v>351.0</v>
      </c>
    </row>
    <row r="183">
      <c r="A183" s="26">
        <v>173.0</v>
      </c>
      <c r="B183" s="15" t="s">
        <v>482</v>
      </c>
      <c r="C183" s="16" t="s">
        <v>483</v>
      </c>
      <c r="D183" s="26" t="s">
        <v>73</v>
      </c>
      <c r="E183" s="26">
        <v>-0.91</v>
      </c>
      <c r="F183" s="28">
        <v>101.1</v>
      </c>
      <c r="G183" s="29">
        <v>268.0</v>
      </c>
      <c r="H183" s="26">
        <v>102.0</v>
      </c>
      <c r="I183" s="29">
        <v>95.0</v>
      </c>
      <c r="J183" s="28">
        <v>74.2</v>
      </c>
      <c r="K183" s="29">
        <v>3.0</v>
      </c>
      <c r="L183" s="30">
        <f>+0.066</f>
        <v>0.066</v>
      </c>
      <c r="M183" s="29">
        <v>43.0</v>
      </c>
      <c r="N183" s="28">
        <v>-1.6</v>
      </c>
      <c r="O183" s="29">
        <v>210.0</v>
      </c>
      <c r="P183" s="26">
        <v>104.2</v>
      </c>
      <c r="Q183" s="29">
        <v>275.0</v>
      </c>
      <c r="R183" s="26">
        <v>105.8</v>
      </c>
      <c r="S183" s="29">
        <v>158.0</v>
      </c>
      <c r="T183" s="30">
        <f>+3.72</f>
        <v>3.72</v>
      </c>
      <c r="U183" s="29">
        <v>90.0</v>
      </c>
    </row>
    <row r="184">
      <c r="A184" s="21">
        <v>174.0</v>
      </c>
      <c r="B184" s="15" t="s">
        <v>484</v>
      </c>
      <c r="C184" s="16" t="s">
        <v>485</v>
      </c>
      <c r="D184" s="21" t="s">
        <v>486</v>
      </c>
      <c r="E184" s="21">
        <v>-0.97</v>
      </c>
      <c r="F184" s="23">
        <v>103.4</v>
      </c>
      <c r="G184" s="24">
        <v>229.0</v>
      </c>
      <c r="H184" s="21">
        <v>104.4</v>
      </c>
      <c r="I184" s="24">
        <v>138.0</v>
      </c>
      <c r="J184" s="23">
        <v>67.1</v>
      </c>
      <c r="K184" s="24">
        <v>209.0</v>
      </c>
      <c r="L184" s="25">
        <f>+0.028</f>
        <v>0.028</v>
      </c>
      <c r="M184" s="24">
        <v>114.0</v>
      </c>
      <c r="N184" s="23">
        <v>-0.06</v>
      </c>
      <c r="O184" s="24">
        <v>164.0</v>
      </c>
      <c r="P184" s="21">
        <v>106.3</v>
      </c>
      <c r="Q184" s="24">
        <v>169.0</v>
      </c>
      <c r="R184" s="21">
        <v>106.4</v>
      </c>
      <c r="S184" s="24">
        <v>177.0</v>
      </c>
      <c r="T184" s="25">
        <f>+0.97</f>
        <v>0.97</v>
      </c>
      <c r="U184" s="24">
        <v>161.0</v>
      </c>
    </row>
    <row r="185">
      <c r="A185" s="26">
        <v>175.0</v>
      </c>
      <c r="B185" s="15" t="s">
        <v>487</v>
      </c>
      <c r="C185" s="16" t="s">
        <v>488</v>
      </c>
      <c r="D185" s="26" t="s">
        <v>489</v>
      </c>
      <c r="E185" s="26">
        <v>-0.98</v>
      </c>
      <c r="F185" s="28">
        <v>108.4</v>
      </c>
      <c r="G185" s="29">
        <v>135.0</v>
      </c>
      <c r="H185" s="26">
        <v>109.4</v>
      </c>
      <c r="I185" s="29">
        <v>243.0</v>
      </c>
      <c r="J185" s="28">
        <v>68.6</v>
      </c>
      <c r="K185" s="29">
        <v>121.0</v>
      </c>
      <c r="L185" s="30">
        <f>+0.033</f>
        <v>0.033</v>
      </c>
      <c r="M185" s="29">
        <v>106.0</v>
      </c>
      <c r="N185" s="28">
        <v>-5.23</v>
      </c>
      <c r="O185" s="29">
        <v>309.0</v>
      </c>
      <c r="P185" s="26">
        <v>101.8</v>
      </c>
      <c r="Q185" s="29">
        <v>334.0</v>
      </c>
      <c r="R185" s="26">
        <v>107.0</v>
      </c>
      <c r="S185" s="29">
        <v>216.0</v>
      </c>
      <c r="T185" s="28">
        <v>-2.59</v>
      </c>
      <c r="U185" s="29">
        <v>265.0</v>
      </c>
    </row>
    <row r="186">
      <c r="A186" s="21">
        <v>176.0</v>
      </c>
      <c r="B186" s="15" t="s">
        <v>490</v>
      </c>
      <c r="C186" s="16" t="s">
        <v>491</v>
      </c>
      <c r="D186" s="21" t="s">
        <v>184</v>
      </c>
      <c r="E186" s="21">
        <v>-1.11</v>
      </c>
      <c r="F186" s="23">
        <v>107.0</v>
      </c>
      <c r="G186" s="24">
        <v>160.0</v>
      </c>
      <c r="H186" s="21">
        <v>108.1</v>
      </c>
      <c r="I186" s="24">
        <v>212.0</v>
      </c>
      <c r="J186" s="23">
        <v>67.0</v>
      </c>
      <c r="K186" s="24">
        <v>215.0</v>
      </c>
      <c r="L186" s="23">
        <v>-0.057</v>
      </c>
      <c r="M186" s="24">
        <v>310.0</v>
      </c>
      <c r="N186" s="23">
        <v>-1.9</v>
      </c>
      <c r="O186" s="24">
        <v>216.0</v>
      </c>
      <c r="P186" s="21">
        <v>105.9</v>
      </c>
      <c r="Q186" s="24">
        <v>184.0</v>
      </c>
      <c r="R186" s="21">
        <v>107.8</v>
      </c>
      <c r="S186" s="24">
        <v>265.0</v>
      </c>
      <c r="T186" s="25">
        <f>+1.19</f>
        <v>1.19</v>
      </c>
      <c r="U186" s="24">
        <v>154.0</v>
      </c>
    </row>
    <row r="187">
      <c r="A187" s="26">
        <v>177.0</v>
      </c>
      <c r="B187" s="15" t="s">
        <v>492</v>
      </c>
      <c r="C187" s="16" t="s">
        <v>493</v>
      </c>
      <c r="D187" s="26" t="s">
        <v>73</v>
      </c>
      <c r="E187" s="26">
        <v>-1.12</v>
      </c>
      <c r="F187" s="28">
        <v>102.3</v>
      </c>
      <c r="G187" s="29">
        <v>249.0</v>
      </c>
      <c r="H187" s="26">
        <v>103.4</v>
      </c>
      <c r="I187" s="29">
        <v>118.0</v>
      </c>
      <c r="J187" s="28">
        <v>67.2</v>
      </c>
      <c r="K187" s="29">
        <v>199.0</v>
      </c>
      <c r="L187" s="30">
        <f>+0.035</f>
        <v>0.035</v>
      </c>
      <c r="M187" s="29">
        <v>100.0</v>
      </c>
      <c r="N187" s="28">
        <v>-2.64</v>
      </c>
      <c r="O187" s="29">
        <v>238.0</v>
      </c>
      <c r="P187" s="26">
        <v>105.0</v>
      </c>
      <c r="Q187" s="29">
        <v>241.0</v>
      </c>
      <c r="R187" s="26">
        <v>107.6</v>
      </c>
      <c r="S187" s="29">
        <v>252.0</v>
      </c>
      <c r="T187" s="28">
        <v>-4.2</v>
      </c>
      <c r="U187" s="29">
        <v>299.0</v>
      </c>
    </row>
    <row r="188">
      <c r="A188" s="21">
        <v>178.0</v>
      </c>
      <c r="B188" s="15" t="s">
        <v>494</v>
      </c>
      <c r="C188" s="16" t="s">
        <v>495</v>
      </c>
      <c r="D188" s="21" t="s">
        <v>115</v>
      </c>
      <c r="E188" s="21">
        <v>-1.15</v>
      </c>
      <c r="F188" s="23">
        <v>98.4</v>
      </c>
      <c r="G188" s="24">
        <v>307.0</v>
      </c>
      <c r="H188" s="21">
        <v>99.5</v>
      </c>
      <c r="I188" s="24">
        <v>55.0</v>
      </c>
      <c r="J188" s="23">
        <v>69.8</v>
      </c>
      <c r="K188" s="24">
        <v>63.0</v>
      </c>
      <c r="L188" s="23">
        <v>-0.009</v>
      </c>
      <c r="M188" s="24">
        <v>209.0</v>
      </c>
      <c r="N188" s="23">
        <v>-0.57</v>
      </c>
      <c r="O188" s="24">
        <v>182.0</v>
      </c>
      <c r="P188" s="21">
        <v>105.2</v>
      </c>
      <c r="Q188" s="24">
        <v>224.0</v>
      </c>
      <c r="R188" s="21">
        <v>105.8</v>
      </c>
      <c r="S188" s="24">
        <v>157.0</v>
      </c>
      <c r="T188" s="23">
        <v>-0.78</v>
      </c>
      <c r="U188" s="24">
        <v>217.0</v>
      </c>
    </row>
    <row r="189">
      <c r="A189" s="26">
        <v>179.0</v>
      </c>
      <c r="B189" s="15" t="s">
        <v>496</v>
      </c>
      <c r="C189" s="16" t="s">
        <v>497</v>
      </c>
      <c r="D189" s="26" t="s">
        <v>286</v>
      </c>
      <c r="E189" s="26">
        <v>-1.86</v>
      </c>
      <c r="F189" s="28">
        <v>102.7</v>
      </c>
      <c r="G189" s="29">
        <v>243.0</v>
      </c>
      <c r="H189" s="26">
        <v>104.6</v>
      </c>
      <c r="I189" s="29">
        <v>142.0</v>
      </c>
      <c r="J189" s="28">
        <v>63.8</v>
      </c>
      <c r="K189" s="29">
        <v>343.0</v>
      </c>
      <c r="L189" s="30">
        <f>+0.021</f>
        <v>0.021</v>
      </c>
      <c r="M189" s="29">
        <v>130.0</v>
      </c>
      <c r="N189" s="30">
        <f>+1.13</f>
        <v>1.13</v>
      </c>
      <c r="O189" s="29">
        <v>136.0</v>
      </c>
      <c r="P189" s="26">
        <v>107.3</v>
      </c>
      <c r="Q189" s="29">
        <v>131.0</v>
      </c>
      <c r="R189" s="26">
        <v>106.2</v>
      </c>
      <c r="S189" s="29">
        <v>169.0</v>
      </c>
      <c r="T189" s="28">
        <v>-4.0</v>
      </c>
      <c r="U189" s="29">
        <v>293.0</v>
      </c>
    </row>
    <row r="190">
      <c r="A190" s="31">
        <v>180.0</v>
      </c>
      <c r="B190" s="32" t="s">
        <v>498</v>
      </c>
      <c r="C190" s="33" t="s">
        <v>499</v>
      </c>
      <c r="D190" s="31" t="s">
        <v>500</v>
      </c>
      <c r="E190" s="31">
        <v>-1.93</v>
      </c>
      <c r="F190" s="35">
        <v>100.7</v>
      </c>
      <c r="G190" s="36">
        <v>275.0</v>
      </c>
      <c r="H190" s="31">
        <v>102.6</v>
      </c>
      <c r="I190" s="36">
        <v>105.0</v>
      </c>
      <c r="J190" s="35">
        <v>66.5</v>
      </c>
      <c r="K190" s="36">
        <v>250.0</v>
      </c>
      <c r="L190" s="37">
        <f>+0.037</f>
        <v>0.037</v>
      </c>
      <c r="M190" s="36">
        <v>94.0</v>
      </c>
      <c r="N190" s="37">
        <f>+1.38</f>
        <v>1.38</v>
      </c>
      <c r="O190" s="36">
        <v>132.0</v>
      </c>
      <c r="P190" s="31">
        <v>107.0</v>
      </c>
      <c r="Q190" s="36">
        <v>140.0</v>
      </c>
      <c r="R190" s="31">
        <v>105.6</v>
      </c>
      <c r="S190" s="36">
        <v>147.0</v>
      </c>
      <c r="T190" s="37">
        <f>+7.12</f>
        <v>7.12</v>
      </c>
      <c r="U190" s="36">
        <v>32.0</v>
      </c>
    </row>
    <row r="191">
      <c r="A191" s="26">
        <v>181.0</v>
      </c>
      <c r="B191" s="15" t="s">
        <v>501</v>
      </c>
      <c r="C191" s="16" t="s">
        <v>502</v>
      </c>
      <c r="D191" s="26" t="s">
        <v>503</v>
      </c>
      <c r="E191" s="26">
        <v>-2.21</v>
      </c>
      <c r="F191" s="28">
        <v>102.6</v>
      </c>
      <c r="G191" s="29">
        <v>244.0</v>
      </c>
      <c r="H191" s="26">
        <v>104.8</v>
      </c>
      <c r="I191" s="29">
        <v>144.0</v>
      </c>
      <c r="J191" s="28">
        <v>66.9</v>
      </c>
      <c r="K191" s="29">
        <v>226.0</v>
      </c>
      <c r="L191" s="30">
        <f>+0.033</f>
        <v>0.033</v>
      </c>
      <c r="M191" s="29">
        <v>104.0</v>
      </c>
      <c r="N191" s="30">
        <f>+2.26</f>
        <v>2.26</v>
      </c>
      <c r="O191" s="29">
        <v>126.0</v>
      </c>
      <c r="P191" s="26">
        <v>108.2</v>
      </c>
      <c r="Q191" s="29">
        <v>105.0</v>
      </c>
      <c r="R191" s="26">
        <v>106.0</v>
      </c>
      <c r="S191" s="29">
        <v>163.0</v>
      </c>
      <c r="T191" s="28">
        <v>-1.69</v>
      </c>
      <c r="U191" s="29">
        <v>248.0</v>
      </c>
    </row>
    <row r="192">
      <c r="A192" s="21">
        <v>182.0</v>
      </c>
      <c r="B192" s="15" t="s">
        <v>504</v>
      </c>
      <c r="C192" s="16" t="s">
        <v>505</v>
      </c>
      <c r="D192" s="21" t="s">
        <v>377</v>
      </c>
      <c r="E192" s="21">
        <v>-2.25</v>
      </c>
      <c r="F192" s="23">
        <v>100.4</v>
      </c>
      <c r="G192" s="24">
        <v>278.0</v>
      </c>
      <c r="H192" s="21">
        <v>102.7</v>
      </c>
      <c r="I192" s="24">
        <v>107.0</v>
      </c>
      <c r="J192" s="23">
        <v>68.9</v>
      </c>
      <c r="K192" s="24">
        <v>98.0</v>
      </c>
      <c r="L192" s="23">
        <v>-0.006</v>
      </c>
      <c r="M192" s="24">
        <v>201.0</v>
      </c>
      <c r="N192" s="23">
        <v>-7.55</v>
      </c>
      <c r="O192" s="24">
        <v>348.0</v>
      </c>
      <c r="P192" s="21">
        <v>101.7</v>
      </c>
      <c r="Q192" s="24">
        <v>336.0</v>
      </c>
      <c r="R192" s="21">
        <v>109.3</v>
      </c>
      <c r="S192" s="24">
        <v>341.0</v>
      </c>
      <c r="T192" s="25">
        <f>+1.51</f>
        <v>1.51</v>
      </c>
      <c r="U192" s="24">
        <v>144.0</v>
      </c>
    </row>
    <row r="193">
      <c r="A193" s="26">
        <v>183.0</v>
      </c>
      <c r="B193" s="15" t="s">
        <v>506</v>
      </c>
      <c r="C193" s="16" t="s">
        <v>507</v>
      </c>
      <c r="D193" s="38">
        <v>45558.0</v>
      </c>
      <c r="E193" s="26">
        <v>-2.26</v>
      </c>
      <c r="F193" s="28">
        <v>105.2</v>
      </c>
      <c r="G193" s="29">
        <v>198.0</v>
      </c>
      <c r="H193" s="26">
        <v>107.4</v>
      </c>
      <c r="I193" s="29">
        <v>200.0</v>
      </c>
      <c r="J193" s="28">
        <v>65.7</v>
      </c>
      <c r="K193" s="29">
        <v>285.0</v>
      </c>
      <c r="L193" s="30">
        <f>+0.023</f>
        <v>0.023</v>
      </c>
      <c r="M193" s="29">
        <v>124.0</v>
      </c>
      <c r="N193" s="30">
        <f>+10.3</f>
        <v>10.3</v>
      </c>
      <c r="O193" s="29">
        <v>41.0</v>
      </c>
      <c r="P193" s="26">
        <v>112.2</v>
      </c>
      <c r="Q193" s="29">
        <v>34.0</v>
      </c>
      <c r="R193" s="26">
        <v>101.9</v>
      </c>
      <c r="S193" s="29">
        <v>66.0</v>
      </c>
      <c r="T193" s="28">
        <v>-1.41</v>
      </c>
      <c r="U193" s="29">
        <v>238.0</v>
      </c>
    </row>
    <row r="194">
      <c r="A194" s="21">
        <v>184.0</v>
      </c>
      <c r="B194" s="15" t="s">
        <v>508</v>
      </c>
      <c r="C194" s="16" t="s">
        <v>509</v>
      </c>
      <c r="D194" s="21" t="s">
        <v>510</v>
      </c>
      <c r="E194" s="21">
        <v>-2.27</v>
      </c>
      <c r="F194" s="23">
        <v>103.0</v>
      </c>
      <c r="G194" s="24">
        <v>240.0</v>
      </c>
      <c r="H194" s="21">
        <v>105.3</v>
      </c>
      <c r="I194" s="24">
        <v>152.0</v>
      </c>
      <c r="J194" s="23">
        <v>70.6</v>
      </c>
      <c r="K194" s="24">
        <v>43.0</v>
      </c>
      <c r="L194" s="25">
        <f>+0.001</f>
        <v>0.001</v>
      </c>
      <c r="M194" s="24">
        <v>180.0</v>
      </c>
      <c r="N194" s="23">
        <v>-1.13</v>
      </c>
      <c r="O194" s="24">
        <v>197.0</v>
      </c>
      <c r="P194" s="21">
        <v>105.9</v>
      </c>
      <c r="Q194" s="24">
        <v>187.0</v>
      </c>
      <c r="R194" s="21">
        <v>107.0</v>
      </c>
      <c r="S194" s="24">
        <v>215.0</v>
      </c>
      <c r="T194" s="23">
        <v>-10.43</v>
      </c>
      <c r="U194" s="24">
        <v>360.0</v>
      </c>
    </row>
    <row r="195">
      <c r="A195" s="26">
        <v>185.0</v>
      </c>
      <c r="B195" s="15" t="s">
        <v>511</v>
      </c>
      <c r="C195" s="16" t="s">
        <v>512</v>
      </c>
      <c r="D195" s="38">
        <v>45528.0</v>
      </c>
      <c r="E195" s="26">
        <v>-2.31</v>
      </c>
      <c r="F195" s="28">
        <v>105.9</v>
      </c>
      <c r="G195" s="29">
        <v>184.0</v>
      </c>
      <c r="H195" s="26">
        <v>108.2</v>
      </c>
      <c r="I195" s="29">
        <v>214.0</v>
      </c>
      <c r="J195" s="28">
        <v>69.9</v>
      </c>
      <c r="K195" s="29">
        <v>60.0</v>
      </c>
      <c r="L195" s="28">
        <v>-0.036</v>
      </c>
      <c r="M195" s="29">
        <v>277.0</v>
      </c>
      <c r="N195" s="30">
        <f>+9.33</f>
        <v>9.33</v>
      </c>
      <c r="O195" s="29">
        <v>64.0</v>
      </c>
      <c r="P195" s="26">
        <v>111.4</v>
      </c>
      <c r="Q195" s="29">
        <v>50.0</v>
      </c>
      <c r="R195" s="26">
        <v>102.1</v>
      </c>
      <c r="S195" s="29">
        <v>69.0</v>
      </c>
      <c r="T195" s="28">
        <v>-4.31</v>
      </c>
      <c r="U195" s="29">
        <v>302.0</v>
      </c>
    </row>
    <row r="196">
      <c r="A196" s="21">
        <v>186.0</v>
      </c>
      <c r="B196" s="15" t="s">
        <v>513</v>
      </c>
      <c r="C196" s="16" t="s">
        <v>514</v>
      </c>
      <c r="D196" s="21" t="s">
        <v>187</v>
      </c>
      <c r="E196" s="21">
        <v>-2.33</v>
      </c>
      <c r="F196" s="23">
        <v>103.3</v>
      </c>
      <c r="G196" s="24">
        <v>233.0</v>
      </c>
      <c r="H196" s="21">
        <v>105.6</v>
      </c>
      <c r="I196" s="24">
        <v>163.0</v>
      </c>
      <c r="J196" s="23">
        <v>68.2</v>
      </c>
      <c r="K196" s="24">
        <v>140.0</v>
      </c>
      <c r="L196" s="25">
        <f>+0.018</f>
        <v>0.018</v>
      </c>
      <c r="M196" s="24">
        <v>143.0</v>
      </c>
      <c r="N196" s="23">
        <v>-2.23</v>
      </c>
      <c r="O196" s="24">
        <v>227.0</v>
      </c>
      <c r="P196" s="21">
        <v>106.1</v>
      </c>
      <c r="Q196" s="24">
        <v>178.0</v>
      </c>
      <c r="R196" s="21">
        <v>108.3</v>
      </c>
      <c r="S196" s="24">
        <v>290.0</v>
      </c>
      <c r="T196" s="25">
        <f>+4.23</f>
        <v>4.23</v>
      </c>
      <c r="U196" s="24">
        <v>79.0</v>
      </c>
    </row>
    <row r="197">
      <c r="A197" s="26">
        <v>187.0</v>
      </c>
      <c r="B197" s="15" t="s">
        <v>515</v>
      </c>
      <c r="C197" s="16" t="s">
        <v>516</v>
      </c>
      <c r="D197" s="38">
        <v>45645.0</v>
      </c>
      <c r="E197" s="26">
        <v>-2.37</v>
      </c>
      <c r="F197" s="28">
        <v>108.4</v>
      </c>
      <c r="G197" s="29">
        <v>137.0</v>
      </c>
      <c r="H197" s="26">
        <v>110.7</v>
      </c>
      <c r="I197" s="29">
        <v>266.0</v>
      </c>
      <c r="J197" s="28">
        <v>64.7</v>
      </c>
      <c r="K197" s="29">
        <v>327.0</v>
      </c>
      <c r="L197" s="28">
        <v>-0.112</v>
      </c>
      <c r="M197" s="29">
        <v>359.0</v>
      </c>
      <c r="N197" s="28">
        <v>-0.08</v>
      </c>
      <c r="O197" s="29">
        <v>165.0</v>
      </c>
      <c r="P197" s="26">
        <v>106.5</v>
      </c>
      <c r="Q197" s="29">
        <v>161.0</v>
      </c>
      <c r="R197" s="26">
        <v>106.6</v>
      </c>
      <c r="S197" s="29">
        <v>188.0</v>
      </c>
      <c r="T197" s="28">
        <v>-1.87</v>
      </c>
      <c r="U197" s="29">
        <v>251.0</v>
      </c>
    </row>
    <row r="198">
      <c r="A198" s="21">
        <v>188.0</v>
      </c>
      <c r="B198" s="15" t="s">
        <v>517</v>
      </c>
      <c r="C198" s="16" t="s">
        <v>518</v>
      </c>
      <c r="D198" s="21" t="s">
        <v>336</v>
      </c>
      <c r="E198" s="21">
        <v>-2.41</v>
      </c>
      <c r="F198" s="23">
        <v>101.2</v>
      </c>
      <c r="G198" s="24">
        <v>266.0</v>
      </c>
      <c r="H198" s="21">
        <v>103.6</v>
      </c>
      <c r="I198" s="24">
        <v>123.0</v>
      </c>
      <c r="J198" s="23">
        <v>68.8</v>
      </c>
      <c r="K198" s="24">
        <v>108.0</v>
      </c>
      <c r="L198" s="23">
        <v>-0.027</v>
      </c>
      <c r="M198" s="24">
        <v>260.0</v>
      </c>
      <c r="N198" s="25">
        <f>+1.7</f>
        <v>1.7</v>
      </c>
      <c r="O198" s="24">
        <v>131.0</v>
      </c>
      <c r="P198" s="21">
        <v>106.9</v>
      </c>
      <c r="Q198" s="24">
        <v>143.0</v>
      </c>
      <c r="R198" s="21">
        <v>105.2</v>
      </c>
      <c r="S198" s="24">
        <v>135.0</v>
      </c>
      <c r="T198" s="23">
        <v>-5.96</v>
      </c>
      <c r="U198" s="24">
        <v>335.0</v>
      </c>
    </row>
    <row r="199">
      <c r="A199" s="26">
        <v>189.0</v>
      </c>
      <c r="B199" s="15" t="s">
        <v>519</v>
      </c>
      <c r="C199" s="16" t="s">
        <v>520</v>
      </c>
      <c r="D199" s="26" t="s">
        <v>261</v>
      </c>
      <c r="E199" s="26">
        <v>-2.45</v>
      </c>
      <c r="F199" s="28">
        <v>104.8</v>
      </c>
      <c r="G199" s="29">
        <v>207.0</v>
      </c>
      <c r="H199" s="26">
        <v>107.2</v>
      </c>
      <c r="I199" s="29">
        <v>199.0</v>
      </c>
      <c r="J199" s="28">
        <v>65.0</v>
      </c>
      <c r="K199" s="29">
        <v>313.0</v>
      </c>
      <c r="L199" s="28">
        <v>-0.002</v>
      </c>
      <c r="M199" s="29">
        <v>192.0</v>
      </c>
      <c r="N199" s="30">
        <f>+1.08</f>
        <v>1.08</v>
      </c>
      <c r="O199" s="29">
        <v>137.0</v>
      </c>
      <c r="P199" s="26">
        <v>107.0</v>
      </c>
      <c r="Q199" s="29">
        <v>139.0</v>
      </c>
      <c r="R199" s="26">
        <v>105.9</v>
      </c>
      <c r="S199" s="29">
        <v>162.0</v>
      </c>
      <c r="T199" s="28">
        <v>-6.5</v>
      </c>
      <c r="U199" s="29">
        <v>341.0</v>
      </c>
    </row>
    <row r="200">
      <c r="A200" s="31">
        <v>190.0</v>
      </c>
      <c r="B200" s="32" t="s">
        <v>521</v>
      </c>
      <c r="C200" s="33" t="s">
        <v>522</v>
      </c>
      <c r="D200" s="31" t="s">
        <v>190</v>
      </c>
      <c r="E200" s="31">
        <v>-2.47</v>
      </c>
      <c r="F200" s="35">
        <v>103.2</v>
      </c>
      <c r="G200" s="36">
        <v>236.0</v>
      </c>
      <c r="H200" s="31">
        <v>105.7</v>
      </c>
      <c r="I200" s="36">
        <v>165.0</v>
      </c>
      <c r="J200" s="35">
        <v>63.7</v>
      </c>
      <c r="K200" s="36">
        <v>346.0</v>
      </c>
      <c r="L200" s="35">
        <v>-0.045</v>
      </c>
      <c r="M200" s="36">
        <v>293.0</v>
      </c>
      <c r="N200" s="35">
        <v>-1.4</v>
      </c>
      <c r="O200" s="36">
        <v>205.0</v>
      </c>
      <c r="P200" s="31">
        <v>103.9</v>
      </c>
      <c r="Q200" s="36">
        <v>282.0</v>
      </c>
      <c r="R200" s="31">
        <v>105.3</v>
      </c>
      <c r="S200" s="36">
        <v>137.0</v>
      </c>
      <c r="T200" s="35">
        <v>-6.14</v>
      </c>
      <c r="U200" s="36">
        <v>337.0</v>
      </c>
    </row>
    <row r="201">
      <c r="A201" s="26">
        <v>191.0</v>
      </c>
      <c r="B201" s="15" t="s">
        <v>523</v>
      </c>
      <c r="C201" s="16" t="s">
        <v>524</v>
      </c>
      <c r="D201" s="26" t="s">
        <v>525</v>
      </c>
      <c r="E201" s="26">
        <v>-2.47</v>
      </c>
      <c r="F201" s="28">
        <v>104.3</v>
      </c>
      <c r="G201" s="29">
        <v>216.0</v>
      </c>
      <c r="H201" s="26">
        <v>106.7</v>
      </c>
      <c r="I201" s="29">
        <v>183.0</v>
      </c>
      <c r="J201" s="28">
        <v>67.3</v>
      </c>
      <c r="K201" s="29">
        <v>196.0</v>
      </c>
      <c r="L201" s="28">
        <v>-0.01</v>
      </c>
      <c r="M201" s="29">
        <v>212.0</v>
      </c>
      <c r="N201" s="30">
        <f>+0.93</f>
        <v>0.93</v>
      </c>
      <c r="O201" s="29">
        <v>140.0</v>
      </c>
      <c r="P201" s="26">
        <v>106.5</v>
      </c>
      <c r="Q201" s="29">
        <v>156.0</v>
      </c>
      <c r="R201" s="26">
        <v>105.6</v>
      </c>
      <c r="S201" s="29">
        <v>146.0</v>
      </c>
      <c r="T201" s="30">
        <f>+0.09</f>
        <v>0.09</v>
      </c>
      <c r="U201" s="29">
        <v>194.0</v>
      </c>
    </row>
    <row r="202">
      <c r="A202" s="21">
        <v>192.0</v>
      </c>
      <c r="B202" s="15" t="s">
        <v>526</v>
      </c>
      <c r="C202" s="16" t="s">
        <v>527</v>
      </c>
      <c r="D202" s="39">
        <v>45558.0</v>
      </c>
      <c r="E202" s="21">
        <v>-2.5</v>
      </c>
      <c r="F202" s="23">
        <v>110.6</v>
      </c>
      <c r="G202" s="24">
        <v>96.0</v>
      </c>
      <c r="H202" s="21">
        <v>113.1</v>
      </c>
      <c r="I202" s="24">
        <v>321.0</v>
      </c>
      <c r="J202" s="23">
        <v>66.7</v>
      </c>
      <c r="K202" s="24">
        <v>237.0</v>
      </c>
      <c r="L202" s="23">
        <v>-0.021</v>
      </c>
      <c r="M202" s="24">
        <v>248.0</v>
      </c>
      <c r="N202" s="25">
        <f>+9.93</f>
        <v>9.93</v>
      </c>
      <c r="O202" s="24">
        <v>49.0</v>
      </c>
      <c r="P202" s="21">
        <v>110.5</v>
      </c>
      <c r="Q202" s="24">
        <v>77.0</v>
      </c>
      <c r="R202" s="21">
        <v>100.5</v>
      </c>
      <c r="S202" s="24">
        <v>19.0</v>
      </c>
      <c r="T202" s="23">
        <v>-7.21</v>
      </c>
      <c r="U202" s="24">
        <v>349.0</v>
      </c>
    </row>
    <row r="203">
      <c r="A203" s="26">
        <v>193.0</v>
      </c>
      <c r="B203" s="15" t="s">
        <v>528</v>
      </c>
      <c r="C203" s="16" t="s">
        <v>529</v>
      </c>
      <c r="D203" s="26" t="s">
        <v>184</v>
      </c>
      <c r="E203" s="26">
        <v>-2.57</v>
      </c>
      <c r="F203" s="28">
        <v>107.5</v>
      </c>
      <c r="G203" s="29">
        <v>147.0</v>
      </c>
      <c r="H203" s="26">
        <v>110.1</v>
      </c>
      <c r="I203" s="29">
        <v>254.0</v>
      </c>
      <c r="J203" s="28">
        <v>65.6</v>
      </c>
      <c r="K203" s="29">
        <v>291.0</v>
      </c>
      <c r="L203" s="30">
        <f>+0.06</f>
        <v>0.06</v>
      </c>
      <c r="M203" s="29">
        <v>49.0</v>
      </c>
      <c r="N203" s="30">
        <f>+1.16</f>
        <v>1.16</v>
      </c>
      <c r="O203" s="29">
        <v>134.0</v>
      </c>
      <c r="P203" s="26">
        <v>107.3</v>
      </c>
      <c r="Q203" s="29">
        <v>134.0</v>
      </c>
      <c r="R203" s="26">
        <v>106.1</v>
      </c>
      <c r="S203" s="29">
        <v>167.0</v>
      </c>
      <c r="T203" s="30">
        <f>+3.75</f>
        <v>3.75</v>
      </c>
      <c r="U203" s="29">
        <v>88.0</v>
      </c>
    </row>
    <row r="204">
      <c r="A204" s="21">
        <v>194.0</v>
      </c>
      <c r="B204" s="15" t="s">
        <v>530</v>
      </c>
      <c r="C204" s="16" t="s">
        <v>531</v>
      </c>
      <c r="D204" s="21" t="s">
        <v>84</v>
      </c>
      <c r="E204" s="21">
        <v>-2.62</v>
      </c>
      <c r="F204" s="23">
        <v>106.7</v>
      </c>
      <c r="G204" s="24">
        <v>165.0</v>
      </c>
      <c r="H204" s="21">
        <v>109.3</v>
      </c>
      <c r="I204" s="24">
        <v>240.0</v>
      </c>
      <c r="J204" s="23">
        <v>68.9</v>
      </c>
      <c r="K204" s="24">
        <v>100.0</v>
      </c>
      <c r="L204" s="23">
        <v>-0.014</v>
      </c>
      <c r="M204" s="24">
        <v>225.0</v>
      </c>
      <c r="N204" s="23">
        <v>-8.87</v>
      </c>
      <c r="O204" s="24">
        <v>356.0</v>
      </c>
      <c r="P204" s="21">
        <v>100.9</v>
      </c>
      <c r="Q204" s="24">
        <v>347.0</v>
      </c>
      <c r="R204" s="21">
        <v>109.8</v>
      </c>
      <c r="S204" s="24">
        <v>356.0</v>
      </c>
      <c r="T204" s="23">
        <v>-6.29</v>
      </c>
      <c r="U204" s="24">
        <v>339.0</v>
      </c>
    </row>
    <row r="205">
      <c r="A205" s="26">
        <v>195.0</v>
      </c>
      <c r="B205" s="15" t="s">
        <v>532</v>
      </c>
      <c r="C205" s="16" t="s">
        <v>533</v>
      </c>
      <c r="D205" s="26" t="s">
        <v>190</v>
      </c>
      <c r="E205" s="26">
        <v>-2.74</v>
      </c>
      <c r="F205" s="28">
        <v>106.1</v>
      </c>
      <c r="G205" s="29">
        <v>177.0</v>
      </c>
      <c r="H205" s="26">
        <v>108.8</v>
      </c>
      <c r="I205" s="29">
        <v>230.0</v>
      </c>
      <c r="J205" s="28">
        <v>66.7</v>
      </c>
      <c r="K205" s="29">
        <v>238.0</v>
      </c>
      <c r="L205" s="30">
        <f>+0.045</f>
        <v>0.045</v>
      </c>
      <c r="M205" s="29">
        <v>75.0</v>
      </c>
      <c r="N205" s="30">
        <f>+1.15</f>
        <v>1.15</v>
      </c>
      <c r="O205" s="29">
        <v>135.0</v>
      </c>
      <c r="P205" s="26">
        <v>106.8</v>
      </c>
      <c r="Q205" s="29">
        <v>148.0</v>
      </c>
      <c r="R205" s="26">
        <v>105.6</v>
      </c>
      <c r="S205" s="29">
        <v>148.0</v>
      </c>
      <c r="T205" s="28">
        <v>-7.42</v>
      </c>
      <c r="U205" s="29">
        <v>353.0</v>
      </c>
    </row>
    <row r="206">
      <c r="A206" s="21">
        <v>196.0</v>
      </c>
      <c r="B206" s="15" t="s">
        <v>534</v>
      </c>
      <c r="C206" s="16" t="s">
        <v>535</v>
      </c>
      <c r="D206" s="39">
        <v>45647.0</v>
      </c>
      <c r="E206" s="21">
        <v>-2.76</v>
      </c>
      <c r="F206" s="23">
        <v>100.9</v>
      </c>
      <c r="G206" s="24">
        <v>271.0</v>
      </c>
      <c r="H206" s="21">
        <v>103.6</v>
      </c>
      <c r="I206" s="24">
        <v>124.0</v>
      </c>
      <c r="J206" s="23">
        <v>68.3</v>
      </c>
      <c r="K206" s="24">
        <v>135.0</v>
      </c>
      <c r="L206" s="23">
        <v>-0.064</v>
      </c>
      <c r="M206" s="24">
        <v>323.0</v>
      </c>
      <c r="N206" s="25">
        <f>+2.55</f>
        <v>2.55</v>
      </c>
      <c r="O206" s="24">
        <v>121.0</v>
      </c>
      <c r="P206" s="21">
        <v>107.4</v>
      </c>
      <c r="Q206" s="24">
        <v>125.0</v>
      </c>
      <c r="R206" s="21">
        <v>104.8</v>
      </c>
      <c r="S206" s="24">
        <v>124.0</v>
      </c>
      <c r="T206" s="23">
        <v>-3.02</v>
      </c>
      <c r="U206" s="24">
        <v>274.0</v>
      </c>
    </row>
    <row r="207">
      <c r="A207" s="26">
        <v>197.0</v>
      </c>
      <c r="B207" s="15" t="s">
        <v>536</v>
      </c>
      <c r="C207" s="16" t="s">
        <v>537</v>
      </c>
      <c r="D207" s="26" t="s">
        <v>109</v>
      </c>
      <c r="E207" s="26">
        <v>-2.78</v>
      </c>
      <c r="F207" s="28">
        <v>106.1</v>
      </c>
      <c r="G207" s="29">
        <v>178.0</v>
      </c>
      <c r="H207" s="26">
        <v>108.9</v>
      </c>
      <c r="I207" s="29">
        <v>231.0</v>
      </c>
      <c r="J207" s="28">
        <v>67.5</v>
      </c>
      <c r="K207" s="29">
        <v>174.0</v>
      </c>
      <c r="L207" s="30">
        <f>+0.033</f>
        <v>0.033</v>
      </c>
      <c r="M207" s="29">
        <v>105.0</v>
      </c>
      <c r="N207" s="28">
        <v>-3.43</v>
      </c>
      <c r="O207" s="29">
        <v>262.0</v>
      </c>
      <c r="P207" s="26">
        <v>105.2</v>
      </c>
      <c r="Q207" s="29">
        <v>229.0</v>
      </c>
      <c r="R207" s="26">
        <v>108.6</v>
      </c>
      <c r="S207" s="29">
        <v>310.0</v>
      </c>
      <c r="T207" s="28">
        <v>-1.07</v>
      </c>
      <c r="U207" s="29">
        <v>228.0</v>
      </c>
    </row>
    <row r="208">
      <c r="A208" s="21">
        <v>198.0</v>
      </c>
      <c r="B208" s="15" t="s">
        <v>538</v>
      </c>
      <c r="C208" s="16" t="s">
        <v>539</v>
      </c>
      <c r="D208" s="21" t="s">
        <v>187</v>
      </c>
      <c r="E208" s="21">
        <v>-2.82</v>
      </c>
      <c r="F208" s="23">
        <v>105.7</v>
      </c>
      <c r="G208" s="24">
        <v>186.0</v>
      </c>
      <c r="H208" s="21">
        <v>108.6</v>
      </c>
      <c r="I208" s="24">
        <v>221.0</v>
      </c>
      <c r="J208" s="23">
        <v>67.9</v>
      </c>
      <c r="K208" s="24">
        <v>156.0</v>
      </c>
      <c r="L208" s="25">
        <f>+0.058</f>
        <v>0.058</v>
      </c>
      <c r="M208" s="24">
        <v>53.0</v>
      </c>
      <c r="N208" s="23">
        <v>-1.59</v>
      </c>
      <c r="O208" s="24">
        <v>209.0</v>
      </c>
      <c r="P208" s="21">
        <v>105.8</v>
      </c>
      <c r="Q208" s="24">
        <v>191.0</v>
      </c>
      <c r="R208" s="21">
        <v>107.4</v>
      </c>
      <c r="S208" s="24">
        <v>234.0</v>
      </c>
      <c r="T208" s="25">
        <f>+1.67</f>
        <v>1.67</v>
      </c>
      <c r="U208" s="24">
        <v>138.0</v>
      </c>
    </row>
    <row r="209">
      <c r="A209" s="26">
        <v>199.0</v>
      </c>
      <c r="B209" s="15" t="s">
        <v>540</v>
      </c>
      <c r="C209" s="16" t="s">
        <v>541</v>
      </c>
      <c r="D209" s="26" t="s">
        <v>336</v>
      </c>
      <c r="E209" s="26">
        <v>-2.83</v>
      </c>
      <c r="F209" s="28">
        <v>111.5</v>
      </c>
      <c r="G209" s="29">
        <v>86.0</v>
      </c>
      <c r="H209" s="26">
        <v>114.4</v>
      </c>
      <c r="I209" s="29">
        <v>342.0</v>
      </c>
      <c r="J209" s="28">
        <v>69.5</v>
      </c>
      <c r="K209" s="29">
        <v>75.0</v>
      </c>
      <c r="L209" s="30">
        <f>+0.061</f>
        <v>0.061</v>
      </c>
      <c r="M209" s="29">
        <v>48.0</v>
      </c>
      <c r="N209" s="30">
        <f>+5.59</f>
        <v>5.59</v>
      </c>
      <c r="O209" s="29">
        <v>92.0</v>
      </c>
      <c r="P209" s="26">
        <v>108.3</v>
      </c>
      <c r="Q209" s="29">
        <v>104.0</v>
      </c>
      <c r="R209" s="26">
        <v>102.7</v>
      </c>
      <c r="S209" s="29">
        <v>84.0</v>
      </c>
      <c r="T209" s="30">
        <f>+3.08</f>
        <v>3.08</v>
      </c>
      <c r="U209" s="29">
        <v>100.0</v>
      </c>
    </row>
    <row r="210">
      <c r="A210" s="31">
        <v>200.0</v>
      </c>
      <c r="B210" s="32" t="s">
        <v>542</v>
      </c>
      <c r="C210" s="33" t="s">
        <v>543</v>
      </c>
      <c r="D210" s="31" t="s">
        <v>306</v>
      </c>
      <c r="E210" s="31">
        <v>-2.94</v>
      </c>
      <c r="F210" s="35">
        <v>102.0</v>
      </c>
      <c r="G210" s="36">
        <v>254.0</v>
      </c>
      <c r="H210" s="31">
        <v>105.0</v>
      </c>
      <c r="I210" s="36">
        <v>147.0</v>
      </c>
      <c r="J210" s="35">
        <v>64.8</v>
      </c>
      <c r="K210" s="36">
        <v>321.0</v>
      </c>
      <c r="L210" s="35">
        <v>-0.109</v>
      </c>
      <c r="M210" s="36">
        <v>357.0</v>
      </c>
      <c r="N210" s="35">
        <v>-1.95</v>
      </c>
      <c r="O210" s="36">
        <v>217.0</v>
      </c>
      <c r="P210" s="31">
        <v>104.3</v>
      </c>
      <c r="Q210" s="36">
        <v>266.0</v>
      </c>
      <c r="R210" s="31">
        <v>106.3</v>
      </c>
      <c r="S210" s="36">
        <v>172.0</v>
      </c>
      <c r="T210" s="35">
        <v>-2.65</v>
      </c>
      <c r="U210" s="36">
        <v>268.0</v>
      </c>
    </row>
    <row r="211">
      <c r="A211" s="1"/>
      <c r="B211" s="1"/>
      <c r="C211" s="1"/>
      <c r="D211" s="2"/>
      <c r="E211" s="2"/>
      <c r="F211" s="3"/>
      <c r="J211" s="3"/>
      <c r="L211" s="3"/>
      <c r="N211" s="4" t="s">
        <v>0</v>
      </c>
      <c r="T211" s="4" t="s">
        <v>1</v>
      </c>
    </row>
    <row r="212">
      <c r="A212" s="5" t="s">
        <v>544</v>
      </c>
      <c r="B212" s="6" t="s">
        <v>545</v>
      </c>
      <c r="C212" s="7" t="s">
        <v>4</v>
      </c>
      <c r="D212" s="5" t="s">
        <v>546</v>
      </c>
      <c r="E212" s="5" t="s">
        <v>547</v>
      </c>
      <c r="F212" s="10" t="s">
        <v>548</v>
      </c>
      <c r="H212" s="5" t="s">
        <v>549</v>
      </c>
      <c r="I212" s="2"/>
      <c r="J212" s="10" t="s">
        <v>550</v>
      </c>
      <c r="L212" s="10" t="s">
        <v>551</v>
      </c>
      <c r="N212" s="10" t="s">
        <v>552</v>
      </c>
      <c r="P212" s="5" t="s">
        <v>553</v>
      </c>
      <c r="Q212" s="2"/>
      <c r="R212" s="5" t="s">
        <v>554</v>
      </c>
      <c r="S212" s="2"/>
      <c r="T212" s="10" t="s">
        <v>555</v>
      </c>
    </row>
    <row r="213">
      <c r="A213" s="26">
        <v>201.0</v>
      </c>
      <c r="B213" s="15" t="s">
        <v>556</v>
      </c>
      <c r="C213" s="16" t="s">
        <v>557</v>
      </c>
      <c r="D213" s="26" t="s">
        <v>274</v>
      </c>
      <c r="E213" s="26">
        <v>-3.03</v>
      </c>
      <c r="F213" s="28">
        <v>98.4</v>
      </c>
      <c r="G213" s="29">
        <v>306.0</v>
      </c>
      <c r="H213" s="26">
        <v>101.4</v>
      </c>
      <c r="I213" s="29">
        <v>87.0</v>
      </c>
      <c r="J213" s="28">
        <v>64.1</v>
      </c>
      <c r="K213" s="29">
        <v>339.0</v>
      </c>
      <c r="L213" s="30">
        <f>+0.041</f>
        <v>0.041</v>
      </c>
      <c r="M213" s="29">
        <v>88.0</v>
      </c>
      <c r="N213" s="28">
        <v>-3.95</v>
      </c>
      <c r="O213" s="29">
        <v>279.0</v>
      </c>
      <c r="P213" s="26">
        <v>102.8</v>
      </c>
      <c r="Q213" s="29">
        <v>306.0</v>
      </c>
      <c r="R213" s="26">
        <v>106.8</v>
      </c>
      <c r="S213" s="29">
        <v>202.0</v>
      </c>
      <c r="T213" s="30">
        <f>+0.54</f>
        <v>0.54</v>
      </c>
      <c r="U213" s="29">
        <v>174.0</v>
      </c>
    </row>
    <row r="214">
      <c r="A214" s="21">
        <v>202.0</v>
      </c>
      <c r="B214" s="15" t="s">
        <v>558</v>
      </c>
      <c r="C214" s="16" t="s">
        <v>559</v>
      </c>
      <c r="D214" s="21" t="s">
        <v>274</v>
      </c>
      <c r="E214" s="21">
        <v>-3.25</v>
      </c>
      <c r="F214" s="23">
        <v>107.6</v>
      </c>
      <c r="G214" s="24">
        <v>145.0</v>
      </c>
      <c r="H214" s="21">
        <v>110.8</v>
      </c>
      <c r="I214" s="24">
        <v>271.0</v>
      </c>
      <c r="J214" s="23">
        <v>70.0</v>
      </c>
      <c r="K214" s="24">
        <v>58.0</v>
      </c>
      <c r="L214" s="25">
        <f>+0.011</f>
        <v>0.011</v>
      </c>
      <c r="M214" s="24">
        <v>157.0</v>
      </c>
      <c r="N214" s="23">
        <v>-4.41</v>
      </c>
      <c r="O214" s="24">
        <v>290.0</v>
      </c>
      <c r="P214" s="21">
        <v>104.6</v>
      </c>
      <c r="Q214" s="24">
        <v>258.0</v>
      </c>
      <c r="R214" s="21">
        <v>109.0</v>
      </c>
      <c r="S214" s="24">
        <v>329.0</v>
      </c>
      <c r="T214" s="23">
        <v>-2.54</v>
      </c>
      <c r="U214" s="24">
        <v>264.0</v>
      </c>
    </row>
    <row r="215">
      <c r="A215" s="26">
        <v>203.0</v>
      </c>
      <c r="B215" s="15" t="s">
        <v>560</v>
      </c>
      <c r="C215" s="16" t="s">
        <v>561</v>
      </c>
      <c r="D215" s="26" t="s">
        <v>286</v>
      </c>
      <c r="E215" s="26">
        <v>-3.41</v>
      </c>
      <c r="F215" s="28">
        <v>107.3</v>
      </c>
      <c r="G215" s="29">
        <v>153.0</v>
      </c>
      <c r="H215" s="26">
        <v>110.7</v>
      </c>
      <c r="I215" s="29">
        <v>264.0</v>
      </c>
      <c r="J215" s="28">
        <v>69.8</v>
      </c>
      <c r="K215" s="29">
        <v>65.0</v>
      </c>
      <c r="L215" s="28">
        <v>-0.011</v>
      </c>
      <c r="M215" s="29">
        <v>216.0</v>
      </c>
      <c r="N215" s="30">
        <f>+0.18</f>
        <v>0.18</v>
      </c>
      <c r="O215" s="29">
        <v>155.0</v>
      </c>
      <c r="P215" s="26">
        <v>105.6</v>
      </c>
      <c r="Q215" s="29">
        <v>205.0</v>
      </c>
      <c r="R215" s="26">
        <v>105.4</v>
      </c>
      <c r="S215" s="29">
        <v>140.0</v>
      </c>
      <c r="T215" s="28">
        <v>-10.51</v>
      </c>
      <c r="U215" s="29">
        <v>361.0</v>
      </c>
    </row>
    <row r="216">
      <c r="A216" s="21">
        <v>204.0</v>
      </c>
      <c r="B216" s="15" t="s">
        <v>562</v>
      </c>
      <c r="C216" s="16" t="s">
        <v>563</v>
      </c>
      <c r="D216" s="21" t="s">
        <v>201</v>
      </c>
      <c r="E216" s="21">
        <v>-3.59</v>
      </c>
      <c r="F216" s="23">
        <v>102.3</v>
      </c>
      <c r="G216" s="24">
        <v>248.0</v>
      </c>
      <c r="H216" s="21">
        <v>105.9</v>
      </c>
      <c r="I216" s="24">
        <v>169.0</v>
      </c>
      <c r="J216" s="23">
        <v>69.5</v>
      </c>
      <c r="K216" s="24">
        <v>74.0</v>
      </c>
      <c r="L216" s="25">
        <f>+0.078</f>
        <v>0.078</v>
      </c>
      <c r="M216" s="24">
        <v>25.0</v>
      </c>
      <c r="N216" s="25">
        <f>+0.69</f>
        <v>0.69</v>
      </c>
      <c r="O216" s="24">
        <v>144.0</v>
      </c>
      <c r="P216" s="21">
        <v>107.4</v>
      </c>
      <c r="Q216" s="24">
        <v>127.0</v>
      </c>
      <c r="R216" s="21">
        <v>106.7</v>
      </c>
      <c r="S216" s="24">
        <v>198.0</v>
      </c>
      <c r="T216" s="25">
        <f>+7.03</f>
        <v>7.03</v>
      </c>
      <c r="U216" s="24">
        <v>34.0</v>
      </c>
    </row>
    <row r="217">
      <c r="A217" s="26">
        <v>205.0</v>
      </c>
      <c r="B217" s="15" t="s">
        <v>564</v>
      </c>
      <c r="C217" s="16" t="s">
        <v>565</v>
      </c>
      <c r="D217" s="26" t="s">
        <v>510</v>
      </c>
      <c r="E217" s="26">
        <v>-3.63</v>
      </c>
      <c r="F217" s="28">
        <v>106.2</v>
      </c>
      <c r="G217" s="29">
        <v>174.0</v>
      </c>
      <c r="H217" s="26">
        <v>109.8</v>
      </c>
      <c r="I217" s="29">
        <v>245.0</v>
      </c>
      <c r="J217" s="28">
        <v>67.4</v>
      </c>
      <c r="K217" s="29">
        <v>191.0</v>
      </c>
      <c r="L217" s="28">
        <v>-0.014</v>
      </c>
      <c r="M217" s="29">
        <v>221.0</v>
      </c>
      <c r="N217" s="28">
        <v>-2.82</v>
      </c>
      <c r="O217" s="29">
        <v>243.0</v>
      </c>
      <c r="P217" s="26">
        <v>103.6</v>
      </c>
      <c r="Q217" s="29">
        <v>288.0</v>
      </c>
      <c r="R217" s="26">
        <v>106.4</v>
      </c>
      <c r="S217" s="29">
        <v>179.0</v>
      </c>
      <c r="T217" s="28">
        <v>-4.59</v>
      </c>
      <c r="U217" s="29">
        <v>310.0</v>
      </c>
    </row>
    <row r="218">
      <c r="A218" s="21">
        <v>206.0</v>
      </c>
      <c r="B218" s="15" t="s">
        <v>566</v>
      </c>
      <c r="C218" s="16" t="s">
        <v>567</v>
      </c>
      <c r="D218" s="39">
        <v>45646.0</v>
      </c>
      <c r="E218" s="21">
        <v>-3.85</v>
      </c>
      <c r="F218" s="23">
        <v>106.7</v>
      </c>
      <c r="G218" s="24">
        <v>166.0</v>
      </c>
      <c r="H218" s="21">
        <v>110.5</v>
      </c>
      <c r="I218" s="24">
        <v>261.0</v>
      </c>
      <c r="J218" s="23">
        <v>68.8</v>
      </c>
      <c r="K218" s="24">
        <v>106.0</v>
      </c>
      <c r="L218" s="23">
        <v>-0.001</v>
      </c>
      <c r="M218" s="24">
        <v>190.0</v>
      </c>
      <c r="N218" s="25">
        <f>+3.49</f>
        <v>3.49</v>
      </c>
      <c r="O218" s="24">
        <v>105.0</v>
      </c>
      <c r="P218" s="21">
        <v>107.8</v>
      </c>
      <c r="Q218" s="24">
        <v>114.0</v>
      </c>
      <c r="R218" s="21">
        <v>104.3</v>
      </c>
      <c r="S218" s="24">
        <v>109.0</v>
      </c>
      <c r="T218" s="25">
        <f>+0.62</f>
        <v>0.62</v>
      </c>
      <c r="U218" s="24">
        <v>170.0</v>
      </c>
    </row>
    <row r="219">
      <c r="A219" s="26">
        <v>207.0</v>
      </c>
      <c r="B219" s="15" t="s">
        <v>568</v>
      </c>
      <c r="C219" s="16" t="s">
        <v>569</v>
      </c>
      <c r="D219" s="26" t="s">
        <v>174</v>
      </c>
      <c r="E219" s="26">
        <v>-3.86</v>
      </c>
      <c r="F219" s="28">
        <v>101.8</v>
      </c>
      <c r="G219" s="29">
        <v>259.0</v>
      </c>
      <c r="H219" s="26">
        <v>105.6</v>
      </c>
      <c r="I219" s="29">
        <v>162.0</v>
      </c>
      <c r="J219" s="28">
        <v>68.6</v>
      </c>
      <c r="K219" s="29">
        <v>114.0</v>
      </c>
      <c r="L219" s="30">
        <f>+0.05</f>
        <v>0.05</v>
      </c>
      <c r="M219" s="29">
        <v>65.0</v>
      </c>
      <c r="N219" s="30">
        <f>+0.5</f>
        <v>0.5</v>
      </c>
      <c r="O219" s="29">
        <v>150.0</v>
      </c>
      <c r="P219" s="26">
        <v>104.8</v>
      </c>
      <c r="Q219" s="29">
        <v>247.0</v>
      </c>
      <c r="R219" s="26">
        <v>104.3</v>
      </c>
      <c r="S219" s="29">
        <v>108.0</v>
      </c>
      <c r="T219" s="30">
        <f>+0.49</f>
        <v>0.49</v>
      </c>
      <c r="U219" s="29">
        <v>177.0</v>
      </c>
    </row>
    <row r="220">
      <c r="A220" s="21">
        <v>208.0</v>
      </c>
      <c r="B220" s="15" t="s">
        <v>570</v>
      </c>
      <c r="C220" s="16" t="s">
        <v>571</v>
      </c>
      <c r="D220" s="21" t="s">
        <v>500</v>
      </c>
      <c r="E220" s="21">
        <v>-3.92</v>
      </c>
      <c r="F220" s="23">
        <v>102.1</v>
      </c>
      <c r="G220" s="24">
        <v>252.0</v>
      </c>
      <c r="H220" s="21">
        <v>106.1</v>
      </c>
      <c r="I220" s="24">
        <v>174.0</v>
      </c>
      <c r="J220" s="23">
        <v>68.6</v>
      </c>
      <c r="K220" s="24">
        <v>118.0</v>
      </c>
      <c r="L220" s="25">
        <f>+0.071</f>
        <v>0.071</v>
      </c>
      <c r="M220" s="24">
        <v>35.0</v>
      </c>
      <c r="N220" s="25">
        <f>+2.14</f>
        <v>2.14</v>
      </c>
      <c r="O220" s="24">
        <v>127.0</v>
      </c>
      <c r="P220" s="21">
        <v>106.9</v>
      </c>
      <c r="Q220" s="24">
        <v>142.0</v>
      </c>
      <c r="R220" s="21">
        <v>104.8</v>
      </c>
      <c r="S220" s="24">
        <v>123.0</v>
      </c>
      <c r="T220" s="23">
        <v>-6.06</v>
      </c>
      <c r="U220" s="24">
        <v>336.0</v>
      </c>
    </row>
    <row r="221">
      <c r="A221" s="26">
        <v>209.0</v>
      </c>
      <c r="B221" s="15" t="s">
        <v>572</v>
      </c>
      <c r="C221" s="16" t="s">
        <v>573</v>
      </c>
      <c r="D221" s="26" t="s">
        <v>190</v>
      </c>
      <c r="E221" s="26">
        <v>-3.94</v>
      </c>
      <c r="F221" s="28">
        <v>104.4</v>
      </c>
      <c r="G221" s="29">
        <v>214.0</v>
      </c>
      <c r="H221" s="26">
        <v>108.4</v>
      </c>
      <c r="I221" s="29">
        <v>217.0</v>
      </c>
      <c r="J221" s="28">
        <v>66.2</v>
      </c>
      <c r="K221" s="29">
        <v>268.0</v>
      </c>
      <c r="L221" s="30">
        <f>+0.035</f>
        <v>0.035</v>
      </c>
      <c r="M221" s="29">
        <v>99.0</v>
      </c>
      <c r="N221" s="28">
        <v>-0.68</v>
      </c>
      <c r="O221" s="29">
        <v>185.0</v>
      </c>
      <c r="P221" s="26">
        <v>106.5</v>
      </c>
      <c r="Q221" s="29">
        <v>157.0</v>
      </c>
      <c r="R221" s="26">
        <v>107.2</v>
      </c>
      <c r="S221" s="29">
        <v>223.0</v>
      </c>
      <c r="T221" s="28">
        <v>-2.4</v>
      </c>
      <c r="U221" s="29">
        <v>261.0</v>
      </c>
    </row>
    <row r="222">
      <c r="A222" s="31">
        <v>210.0</v>
      </c>
      <c r="B222" s="32" t="s">
        <v>574</v>
      </c>
      <c r="C222" s="33" t="s">
        <v>575</v>
      </c>
      <c r="D222" s="31" t="s">
        <v>274</v>
      </c>
      <c r="E222" s="31">
        <v>-3.97</v>
      </c>
      <c r="F222" s="35">
        <v>104.3</v>
      </c>
      <c r="G222" s="36">
        <v>215.0</v>
      </c>
      <c r="H222" s="31">
        <v>108.3</v>
      </c>
      <c r="I222" s="36">
        <v>216.0</v>
      </c>
      <c r="J222" s="35">
        <v>68.3</v>
      </c>
      <c r="K222" s="36">
        <v>134.0</v>
      </c>
      <c r="L222" s="35">
        <v>-0.03</v>
      </c>
      <c r="M222" s="36">
        <v>266.0</v>
      </c>
      <c r="N222" s="35">
        <v>-7.84</v>
      </c>
      <c r="O222" s="36">
        <v>351.0</v>
      </c>
      <c r="P222" s="31">
        <v>101.8</v>
      </c>
      <c r="Q222" s="36">
        <v>333.0</v>
      </c>
      <c r="R222" s="31">
        <v>109.7</v>
      </c>
      <c r="S222" s="36">
        <v>354.0</v>
      </c>
      <c r="T222" s="35">
        <v>-3.27</v>
      </c>
      <c r="U222" s="36">
        <v>281.0</v>
      </c>
    </row>
    <row r="223">
      <c r="A223" s="26">
        <v>211.0</v>
      </c>
      <c r="B223" s="15" t="s">
        <v>576</v>
      </c>
      <c r="C223" s="16" t="s">
        <v>577</v>
      </c>
      <c r="D223" s="26" t="s">
        <v>578</v>
      </c>
      <c r="E223" s="26">
        <v>-4.02</v>
      </c>
      <c r="F223" s="28">
        <v>107.0</v>
      </c>
      <c r="G223" s="29">
        <v>161.0</v>
      </c>
      <c r="H223" s="26">
        <v>111.0</v>
      </c>
      <c r="I223" s="29">
        <v>275.0</v>
      </c>
      <c r="J223" s="28">
        <v>68.9</v>
      </c>
      <c r="K223" s="29">
        <v>103.0</v>
      </c>
      <c r="L223" s="30">
        <f>+0.016</f>
        <v>0.016</v>
      </c>
      <c r="M223" s="29">
        <v>147.0</v>
      </c>
      <c r="N223" s="28">
        <v>-4.03</v>
      </c>
      <c r="O223" s="29">
        <v>281.0</v>
      </c>
      <c r="P223" s="26">
        <v>105.9</v>
      </c>
      <c r="Q223" s="29">
        <v>186.0</v>
      </c>
      <c r="R223" s="26">
        <v>109.9</v>
      </c>
      <c r="S223" s="29">
        <v>358.0</v>
      </c>
      <c r="T223" s="30">
        <f>+3.14</f>
        <v>3.14</v>
      </c>
      <c r="U223" s="29">
        <v>96.0</v>
      </c>
    </row>
    <row r="224">
      <c r="A224" s="21">
        <v>212.0</v>
      </c>
      <c r="B224" s="15" t="s">
        <v>579</v>
      </c>
      <c r="C224" s="16" t="s">
        <v>580</v>
      </c>
      <c r="D224" s="21" t="s">
        <v>377</v>
      </c>
      <c r="E224" s="21">
        <v>-4.03</v>
      </c>
      <c r="F224" s="23">
        <v>96.8</v>
      </c>
      <c r="G224" s="24">
        <v>325.0</v>
      </c>
      <c r="H224" s="21">
        <v>100.9</v>
      </c>
      <c r="I224" s="24">
        <v>79.0</v>
      </c>
      <c r="J224" s="23">
        <v>67.4</v>
      </c>
      <c r="K224" s="24">
        <v>188.0</v>
      </c>
      <c r="L224" s="25">
        <f>+0.018</f>
        <v>0.018</v>
      </c>
      <c r="M224" s="24">
        <v>144.0</v>
      </c>
      <c r="N224" s="23">
        <v>-8.67</v>
      </c>
      <c r="O224" s="24">
        <v>354.0</v>
      </c>
      <c r="P224" s="21">
        <v>100.4</v>
      </c>
      <c r="Q224" s="24">
        <v>353.0</v>
      </c>
      <c r="R224" s="21">
        <v>109.0</v>
      </c>
      <c r="S224" s="24">
        <v>334.0</v>
      </c>
      <c r="T224" s="25">
        <f>+3.91</f>
        <v>3.91</v>
      </c>
      <c r="U224" s="24">
        <v>86.0</v>
      </c>
    </row>
    <row r="225">
      <c r="A225" s="26">
        <v>213.0</v>
      </c>
      <c r="B225" s="15" t="s">
        <v>581</v>
      </c>
      <c r="C225" s="16" t="s">
        <v>582</v>
      </c>
      <c r="D225" s="38">
        <v>45614.0</v>
      </c>
      <c r="E225" s="26">
        <v>-4.08</v>
      </c>
      <c r="F225" s="28">
        <v>109.3</v>
      </c>
      <c r="G225" s="29">
        <v>117.0</v>
      </c>
      <c r="H225" s="26">
        <v>113.3</v>
      </c>
      <c r="I225" s="29">
        <v>324.0</v>
      </c>
      <c r="J225" s="28">
        <v>65.5</v>
      </c>
      <c r="K225" s="29">
        <v>303.0</v>
      </c>
      <c r="L225" s="28">
        <v>-0.071</v>
      </c>
      <c r="M225" s="29">
        <v>329.0</v>
      </c>
      <c r="N225" s="30">
        <f>+1.27</f>
        <v>1.27</v>
      </c>
      <c r="O225" s="29">
        <v>133.0</v>
      </c>
      <c r="P225" s="26">
        <v>106.9</v>
      </c>
      <c r="Q225" s="29">
        <v>145.0</v>
      </c>
      <c r="R225" s="26">
        <v>105.6</v>
      </c>
      <c r="S225" s="29">
        <v>149.0</v>
      </c>
      <c r="T225" s="30">
        <f>+2.36</f>
        <v>2.36</v>
      </c>
      <c r="U225" s="29">
        <v>119.0</v>
      </c>
    </row>
    <row r="226">
      <c r="A226" s="21">
        <v>214.0</v>
      </c>
      <c r="B226" s="15" t="s">
        <v>583</v>
      </c>
      <c r="C226" s="16" t="s">
        <v>584</v>
      </c>
      <c r="D226" s="21" t="s">
        <v>460</v>
      </c>
      <c r="E226" s="21">
        <v>-4.1</v>
      </c>
      <c r="F226" s="23">
        <v>101.3</v>
      </c>
      <c r="G226" s="24">
        <v>265.0</v>
      </c>
      <c r="H226" s="21">
        <v>105.3</v>
      </c>
      <c r="I226" s="24">
        <v>156.0</v>
      </c>
      <c r="J226" s="23">
        <v>66.7</v>
      </c>
      <c r="K226" s="24">
        <v>242.0</v>
      </c>
      <c r="L226" s="23">
        <v>-0.029</v>
      </c>
      <c r="M226" s="24">
        <v>265.0</v>
      </c>
      <c r="N226" s="23">
        <v>-3.63</v>
      </c>
      <c r="O226" s="24">
        <v>271.0</v>
      </c>
      <c r="P226" s="21">
        <v>105.3</v>
      </c>
      <c r="Q226" s="24">
        <v>214.0</v>
      </c>
      <c r="R226" s="21">
        <v>108.9</v>
      </c>
      <c r="S226" s="24">
        <v>327.0</v>
      </c>
      <c r="T226" s="25">
        <f>+0.07</f>
        <v>0.07</v>
      </c>
      <c r="U226" s="24">
        <v>196.0</v>
      </c>
    </row>
    <row r="227">
      <c r="A227" s="26">
        <v>215.0</v>
      </c>
      <c r="B227" s="15" t="s">
        <v>585</v>
      </c>
      <c r="C227" s="16" t="s">
        <v>586</v>
      </c>
      <c r="D227" s="26" t="s">
        <v>587</v>
      </c>
      <c r="E227" s="26">
        <v>-4.15</v>
      </c>
      <c r="F227" s="28">
        <v>97.0</v>
      </c>
      <c r="G227" s="29">
        <v>322.0</v>
      </c>
      <c r="H227" s="26">
        <v>101.1</v>
      </c>
      <c r="I227" s="29">
        <v>83.0</v>
      </c>
      <c r="J227" s="28">
        <v>64.8</v>
      </c>
      <c r="K227" s="29">
        <v>323.0</v>
      </c>
      <c r="L227" s="30">
        <f>+0.001</f>
        <v>0.001</v>
      </c>
      <c r="M227" s="29">
        <v>181.0</v>
      </c>
      <c r="N227" s="28">
        <v>-6.98</v>
      </c>
      <c r="O227" s="29">
        <v>339.0</v>
      </c>
      <c r="P227" s="26">
        <v>101.1</v>
      </c>
      <c r="Q227" s="29">
        <v>342.0</v>
      </c>
      <c r="R227" s="26">
        <v>108.1</v>
      </c>
      <c r="S227" s="29">
        <v>281.0</v>
      </c>
      <c r="T227" s="28">
        <v>-7.76</v>
      </c>
      <c r="U227" s="29">
        <v>356.0</v>
      </c>
    </row>
    <row r="228">
      <c r="A228" s="21">
        <v>216.0</v>
      </c>
      <c r="B228" s="15" t="s">
        <v>588</v>
      </c>
      <c r="C228" s="16" t="s">
        <v>589</v>
      </c>
      <c r="D228" s="21" t="s">
        <v>415</v>
      </c>
      <c r="E228" s="21">
        <v>-4.2</v>
      </c>
      <c r="F228" s="23">
        <v>106.6</v>
      </c>
      <c r="G228" s="24">
        <v>168.0</v>
      </c>
      <c r="H228" s="21">
        <v>110.8</v>
      </c>
      <c r="I228" s="24">
        <v>268.0</v>
      </c>
      <c r="J228" s="23">
        <v>73.0</v>
      </c>
      <c r="K228" s="24">
        <v>7.0</v>
      </c>
      <c r="L228" s="25">
        <f>+0.066</f>
        <v>0.066</v>
      </c>
      <c r="M228" s="24">
        <v>44.0</v>
      </c>
      <c r="N228" s="23">
        <v>-6.29</v>
      </c>
      <c r="O228" s="24">
        <v>327.0</v>
      </c>
      <c r="P228" s="21">
        <v>101.9</v>
      </c>
      <c r="Q228" s="24">
        <v>332.0</v>
      </c>
      <c r="R228" s="21">
        <v>108.2</v>
      </c>
      <c r="S228" s="24">
        <v>283.0</v>
      </c>
      <c r="T228" s="25">
        <f>+3.03</f>
        <v>3.03</v>
      </c>
      <c r="U228" s="24">
        <v>104.0</v>
      </c>
    </row>
    <row r="229">
      <c r="A229" s="26">
        <v>217.0</v>
      </c>
      <c r="B229" s="15" t="s">
        <v>590</v>
      </c>
      <c r="C229" s="16" t="s">
        <v>591</v>
      </c>
      <c r="D229" s="26" t="s">
        <v>174</v>
      </c>
      <c r="E229" s="26">
        <v>-4.21</v>
      </c>
      <c r="F229" s="28">
        <v>104.7</v>
      </c>
      <c r="G229" s="29">
        <v>210.0</v>
      </c>
      <c r="H229" s="26">
        <v>108.9</v>
      </c>
      <c r="I229" s="29">
        <v>234.0</v>
      </c>
      <c r="J229" s="28">
        <v>67.1</v>
      </c>
      <c r="K229" s="29">
        <v>208.0</v>
      </c>
      <c r="L229" s="30">
        <f>+0.021</f>
        <v>0.021</v>
      </c>
      <c r="M229" s="29">
        <v>133.0</v>
      </c>
      <c r="N229" s="28">
        <v>-0.57</v>
      </c>
      <c r="O229" s="29">
        <v>183.0</v>
      </c>
      <c r="P229" s="26">
        <v>105.2</v>
      </c>
      <c r="Q229" s="29">
        <v>228.0</v>
      </c>
      <c r="R229" s="26">
        <v>105.7</v>
      </c>
      <c r="S229" s="29">
        <v>156.0</v>
      </c>
      <c r="T229" s="30">
        <f>+3.72</f>
        <v>3.72</v>
      </c>
      <c r="U229" s="29">
        <v>89.0</v>
      </c>
    </row>
    <row r="230">
      <c r="A230" s="21">
        <v>218.0</v>
      </c>
      <c r="B230" s="15" t="s">
        <v>592</v>
      </c>
      <c r="C230" s="16" t="s">
        <v>593</v>
      </c>
      <c r="D230" s="21" t="s">
        <v>390</v>
      </c>
      <c r="E230" s="21">
        <v>-4.31</v>
      </c>
      <c r="F230" s="23">
        <v>105.7</v>
      </c>
      <c r="G230" s="24">
        <v>187.0</v>
      </c>
      <c r="H230" s="21">
        <v>110.0</v>
      </c>
      <c r="I230" s="24">
        <v>253.0</v>
      </c>
      <c r="J230" s="23">
        <v>68.0</v>
      </c>
      <c r="K230" s="24">
        <v>149.0</v>
      </c>
      <c r="L230" s="23">
        <v>-0.019</v>
      </c>
      <c r="M230" s="24">
        <v>240.0</v>
      </c>
      <c r="N230" s="23">
        <v>-1.05</v>
      </c>
      <c r="O230" s="24">
        <v>193.0</v>
      </c>
      <c r="P230" s="21">
        <v>105.6</v>
      </c>
      <c r="Q230" s="24">
        <v>201.0</v>
      </c>
      <c r="R230" s="21">
        <v>106.6</v>
      </c>
      <c r="S230" s="24">
        <v>194.0</v>
      </c>
      <c r="T230" s="25">
        <f>+0.23</f>
        <v>0.23</v>
      </c>
      <c r="U230" s="24">
        <v>187.0</v>
      </c>
    </row>
    <row r="231">
      <c r="A231" s="26">
        <v>219.0</v>
      </c>
      <c r="B231" s="15" t="s">
        <v>594</v>
      </c>
      <c r="C231" s="16" t="s">
        <v>595</v>
      </c>
      <c r="D231" s="26" t="s">
        <v>55</v>
      </c>
      <c r="E231" s="26">
        <v>-4.41</v>
      </c>
      <c r="F231" s="28">
        <v>104.3</v>
      </c>
      <c r="G231" s="29">
        <v>217.0</v>
      </c>
      <c r="H231" s="26">
        <v>108.7</v>
      </c>
      <c r="I231" s="29">
        <v>224.0</v>
      </c>
      <c r="J231" s="28">
        <v>66.3</v>
      </c>
      <c r="K231" s="29">
        <v>258.0</v>
      </c>
      <c r="L231" s="30">
        <f>+0.087</f>
        <v>0.087</v>
      </c>
      <c r="M231" s="29">
        <v>21.0</v>
      </c>
      <c r="N231" s="28">
        <v>-7.45</v>
      </c>
      <c r="O231" s="29">
        <v>344.0</v>
      </c>
      <c r="P231" s="26">
        <v>100.5</v>
      </c>
      <c r="Q231" s="29">
        <v>352.0</v>
      </c>
      <c r="R231" s="26">
        <v>108.0</v>
      </c>
      <c r="S231" s="29">
        <v>271.0</v>
      </c>
      <c r="T231" s="30">
        <f>+2.15</f>
        <v>2.15</v>
      </c>
      <c r="U231" s="29">
        <v>123.0</v>
      </c>
    </row>
    <row r="232">
      <c r="A232" s="31">
        <v>220.0</v>
      </c>
      <c r="B232" s="32" t="s">
        <v>596</v>
      </c>
      <c r="C232" s="33" t="s">
        <v>597</v>
      </c>
      <c r="D232" s="31" t="s">
        <v>396</v>
      </c>
      <c r="E232" s="31">
        <v>-4.51</v>
      </c>
      <c r="F232" s="35">
        <v>109.8</v>
      </c>
      <c r="G232" s="36">
        <v>106.0</v>
      </c>
      <c r="H232" s="31">
        <v>114.3</v>
      </c>
      <c r="I232" s="36">
        <v>341.0</v>
      </c>
      <c r="J232" s="35">
        <v>66.5</v>
      </c>
      <c r="K232" s="36">
        <v>252.0</v>
      </c>
      <c r="L232" s="37">
        <f>+0.145</f>
        <v>0.145</v>
      </c>
      <c r="M232" s="36">
        <v>3.0</v>
      </c>
      <c r="N232" s="35">
        <v>-2.86</v>
      </c>
      <c r="O232" s="36">
        <v>245.0</v>
      </c>
      <c r="P232" s="31">
        <v>105.7</v>
      </c>
      <c r="Q232" s="36">
        <v>193.0</v>
      </c>
      <c r="R232" s="31">
        <v>108.6</v>
      </c>
      <c r="S232" s="36">
        <v>308.0</v>
      </c>
      <c r="T232" s="37">
        <f>+4.58</f>
        <v>4.58</v>
      </c>
      <c r="U232" s="36">
        <v>75.0</v>
      </c>
    </row>
    <row r="233">
      <c r="A233" s="26">
        <v>221.0</v>
      </c>
      <c r="B233" s="15" t="s">
        <v>598</v>
      </c>
      <c r="C233" s="16" t="s">
        <v>599</v>
      </c>
      <c r="D233" s="26" t="s">
        <v>460</v>
      </c>
      <c r="E233" s="26">
        <v>-4.55</v>
      </c>
      <c r="F233" s="28">
        <v>104.4</v>
      </c>
      <c r="G233" s="29">
        <v>213.0</v>
      </c>
      <c r="H233" s="26">
        <v>109.0</v>
      </c>
      <c r="I233" s="29">
        <v>237.0</v>
      </c>
      <c r="J233" s="28">
        <v>68.3</v>
      </c>
      <c r="K233" s="29">
        <v>132.0</v>
      </c>
      <c r="L233" s="30">
        <f>+0.043</f>
        <v>0.043</v>
      </c>
      <c r="M233" s="29">
        <v>80.0</v>
      </c>
      <c r="N233" s="28">
        <v>-2.53</v>
      </c>
      <c r="O233" s="29">
        <v>235.0</v>
      </c>
      <c r="P233" s="26">
        <v>104.8</v>
      </c>
      <c r="Q233" s="29">
        <v>246.0</v>
      </c>
      <c r="R233" s="26">
        <v>107.4</v>
      </c>
      <c r="S233" s="29">
        <v>233.0</v>
      </c>
      <c r="T233" s="28">
        <v>-5.26</v>
      </c>
      <c r="U233" s="29">
        <v>316.0</v>
      </c>
    </row>
    <row r="234">
      <c r="A234" s="21">
        <v>222.0</v>
      </c>
      <c r="B234" s="15" t="s">
        <v>600</v>
      </c>
      <c r="C234" s="16" t="s">
        <v>601</v>
      </c>
      <c r="D234" s="21" t="s">
        <v>58</v>
      </c>
      <c r="E234" s="21">
        <v>-4.6</v>
      </c>
      <c r="F234" s="23">
        <v>108.0</v>
      </c>
      <c r="G234" s="24">
        <v>143.0</v>
      </c>
      <c r="H234" s="21">
        <v>112.6</v>
      </c>
      <c r="I234" s="24">
        <v>313.0</v>
      </c>
      <c r="J234" s="23">
        <v>70.2</v>
      </c>
      <c r="K234" s="24">
        <v>52.0</v>
      </c>
      <c r="L234" s="25">
        <f>+0.067</f>
        <v>0.067</v>
      </c>
      <c r="M234" s="24">
        <v>41.0</v>
      </c>
      <c r="N234" s="23">
        <v>-3.24</v>
      </c>
      <c r="O234" s="24">
        <v>254.0</v>
      </c>
      <c r="P234" s="21">
        <v>105.2</v>
      </c>
      <c r="Q234" s="24">
        <v>226.0</v>
      </c>
      <c r="R234" s="21">
        <v>108.4</v>
      </c>
      <c r="S234" s="24">
        <v>298.0</v>
      </c>
      <c r="T234" s="25">
        <f>+1.23</f>
        <v>1.23</v>
      </c>
      <c r="U234" s="24">
        <v>152.0</v>
      </c>
    </row>
    <row r="235">
      <c r="A235" s="26">
        <v>223.0</v>
      </c>
      <c r="B235" s="15" t="s">
        <v>602</v>
      </c>
      <c r="C235" s="16" t="s">
        <v>603</v>
      </c>
      <c r="D235" s="26" t="s">
        <v>500</v>
      </c>
      <c r="E235" s="26">
        <v>-4.65</v>
      </c>
      <c r="F235" s="28">
        <v>103.5</v>
      </c>
      <c r="G235" s="29">
        <v>225.0</v>
      </c>
      <c r="H235" s="26">
        <v>108.2</v>
      </c>
      <c r="I235" s="29">
        <v>215.0</v>
      </c>
      <c r="J235" s="28">
        <v>69.0</v>
      </c>
      <c r="K235" s="29">
        <v>97.0</v>
      </c>
      <c r="L235" s="28">
        <v>-0.009</v>
      </c>
      <c r="M235" s="29">
        <v>208.0</v>
      </c>
      <c r="N235" s="28">
        <v>-3.58</v>
      </c>
      <c r="O235" s="29">
        <v>266.0</v>
      </c>
      <c r="P235" s="26">
        <v>105.1</v>
      </c>
      <c r="Q235" s="29">
        <v>231.0</v>
      </c>
      <c r="R235" s="26">
        <v>108.7</v>
      </c>
      <c r="S235" s="29">
        <v>319.0</v>
      </c>
      <c r="T235" s="30">
        <f>+0.08</f>
        <v>0.08</v>
      </c>
      <c r="U235" s="29">
        <v>195.0</v>
      </c>
    </row>
    <row r="236">
      <c r="A236" s="21">
        <v>224.0</v>
      </c>
      <c r="B236" s="15" t="s">
        <v>604</v>
      </c>
      <c r="C236" s="16" t="s">
        <v>605</v>
      </c>
      <c r="D236" s="21" t="s">
        <v>336</v>
      </c>
      <c r="E236" s="21">
        <v>-4.66</v>
      </c>
      <c r="F236" s="23">
        <v>106.1</v>
      </c>
      <c r="G236" s="24">
        <v>176.0</v>
      </c>
      <c r="H236" s="21">
        <v>110.8</v>
      </c>
      <c r="I236" s="24">
        <v>269.0</v>
      </c>
      <c r="J236" s="23">
        <v>67.4</v>
      </c>
      <c r="K236" s="24">
        <v>189.0</v>
      </c>
      <c r="L236" s="23">
        <v>-0.087</v>
      </c>
      <c r="M236" s="24">
        <v>347.0</v>
      </c>
      <c r="N236" s="25">
        <f>+0.57</f>
        <v>0.57</v>
      </c>
      <c r="O236" s="24">
        <v>148.0</v>
      </c>
      <c r="P236" s="21">
        <v>106.8</v>
      </c>
      <c r="Q236" s="24">
        <v>146.0</v>
      </c>
      <c r="R236" s="21">
        <v>106.2</v>
      </c>
      <c r="S236" s="24">
        <v>171.0</v>
      </c>
      <c r="T236" s="25">
        <f>+0.57</f>
        <v>0.57</v>
      </c>
      <c r="U236" s="24">
        <v>171.0</v>
      </c>
    </row>
    <row r="237">
      <c r="A237" s="26">
        <v>225.0</v>
      </c>
      <c r="B237" s="15" t="s">
        <v>606</v>
      </c>
      <c r="C237" s="16" t="s">
        <v>607</v>
      </c>
      <c r="D237" s="26" t="s">
        <v>286</v>
      </c>
      <c r="E237" s="26">
        <v>-4.68</v>
      </c>
      <c r="F237" s="28">
        <v>102.8</v>
      </c>
      <c r="G237" s="29">
        <v>242.0</v>
      </c>
      <c r="H237" s="26">
        <v>107.5</v>
      </c>
      <c r="I237" s="29">
        <v>201.0</v>
      </c>
      <c r="J237" s="28">
        <v>68.1</v>
      </c>
      <c r="K237" s="29">
        <v>146.0</v>
      </c>
      <c r="L237" s="28">
        <v>-0.018</v>
      </c>
      <c r="M237" s="29">
        <v>236.0</v>
      </c>
      <c r="N237" s="28">
        <v>-2.48</v>
      </c>
      <c r="O237" s="29">
        <v>232.0</v>
      </c>
      <c r="P237" s="26">
        <v>103.4</v>
      </c>
      <c r="Q237" s="29">
        <v>295.0</v>
      </c>
      <c r="R237" s="26">
        <v>105.8</v>
      </c>
      <c r="S237" s="29">
        <v>160.0</v>
      </c>
      <c r="T237" s="30">
        <f>+8.98</f>
        <v>8.98</v>
      </c>
      <c r="U237" s="29">
        <v>18.0</v>
      </c>
    </row>
    <row r="238">
      <c r="A238" s="21">
        <v>226.0</v>
      </c>
      <c r="B238" s="15" t="s">
        <v>608</v>
      </c>
      <c r="C238" s="16" t="s">
        <v>609</v>
      </c>
      <c r="D238" s="21" t="s">
        <v>190</v>
      </c>
      <c r="E238" s="21">
        <v>-4.86</v>
      </c>
      <c r="F238" s="23">
        <v>103.5</v>
      </c>
      <c r="G238" s="24">
        <v>223.0</v>
      </c>
      <c r="H238" s="21">
        <v>108.4</v>
      </c>
      <c r="I238" s="24">
        <v>218.0</v>
      </c>
      <c r="J238" s="23">
        <v>67.1</v>
      </c>
      <c r="K238" s="24">
        <v>212.0</v>
      </c>
      <c r="L238" s="23">
        <v>-0.045</v>
      </c>
      <c r="M238" s="24">
        <v>292.0</v>
      </c>
      <c r="N238" s="23">
        <v>-5.11</v>
      </c>
      <c r="O238" s="24">
        <v>304.0</v>
      </c>
      <c r="P238" s="21">
        <v>102.7</v>
      </c>
      <c r="Q238" s="24">
        <v>310.0</v>
      </c>
      <c r="R238" s="21">
        <v>107.9</v>
      </c>
      <c r="S238" s="24">
        <v>268.0</v>
      </c>
      <c r="T238" s="23">
        <v>-0.52</v>
      </c>
      <c r="U238" s="24">
        <v>212.0</v>
      </c>
    </row>
    <row r="239">
      <c r="A239" s="26">
        <v>227.0</v>
      </c>
      <c r="B239" s="15" t="s">
        <v>610</v>
      </c>
      <c r="C239" s="16" t="s">
        <v>611</v>
      </c>
      <c r="D239" s="26" t="s">
        <v>190</v>
      </c>
      <c r="E239" s="26">
        <v>-4.94</v>
      </c>
      <c r="F239" s="28">
        <v>107.4</v>
      </c>
      <c r="G239" s="29">
        <v>149.0</v>
      </c>
      <c r="H239" s="26">
        <v>112.4</v>
      </c>
      <c r="I239" s="29">
        <v>309.0</v>
      </c>
      <c r="J239" s="28">
        <v>63.6</v>
      </c>
      <c r="K239" s="29">
        <v>348.0</v>
      </c>
      <c r="L239" s="30">
        <f>+0.018</f>
        <v>0.018</v>
      </c>
      <c r="M239" s="29">
        <v>142.0</v>
      </c>
      <c r="N239" s="28">
        <v>-1.72</v>
      </c>
      <c r="O239" s="29">
        <v>213.0</v>
      </c>
      <c r="P239" s="26">
        <v>105.6</v>
      </c>
      <c r="Q239" s="29">
        <v>204.0</v>
      </c>
      <c r="R239" s="26">
        <v>107.3</v>
      </c>
      <c r="S239" s="29">
        <v>227.0</v>
      </c>
      <c r="T239" s="30">
        <f>+0.14</f>
        <v>0.14</v>
      </c>
      <c r="U239" s="29">
        <v>193.0</v>
      </c>
    </row>
    <row r="240">
      <c r="A240" s="21">
        <v>228.0</v>
      </c>
      <c r="B240" s="15" t="s">
        <v>612</v>
      </c>
      <c r="C240" s="16" t="s">
        <v>613</v>
      </c>
      <c r="D240" s="21" t="s">
        <v>614</v>
      </c>
      <c r="E240" s="21">
        <v>-4.95</v>
      </c>
      <c r="F240" s="23">
        <v>102.0</v>
      </c>
      <c r="G240" s="24">
        <v>256.0</v>
      </c>
      <c r="H240" s="21">
        <v>106.9</v>
      </c>
      <c r="I240" s="24">
        <v>189.0</v>
      </c>
      <c r="J240" s="23">
        <v>67.5</v>
      </c>
      <c r="K240" s="24">
        <v>177.0</v>
      </c>
      <c r="L240" s="25">
        <f>+0.075</f>
        <v>0.075</v>
      </c>
      <c r="M240" s="24">
        <v>31.0</v>
      </c>
      <c r="N240" s="23">
        <v>-0.53</v>
      </c>
      <c r="O240" s="24">
        <v>181.0</v>
      </c>
      <c r="P240" s="21">
        <v>107.0</v>
      </c>
      <c r="Q240" s="24">
        <v>141.0</v>
      </c>
      <c r="R240" s="21">
        <v>107.5</v>
      </c>
      <c r="S240" s="24">
        <v>243.0</v>
      </c>
      <c r="T240" s="23">
        <v>-2.08</v>
      </c>
      <c r="U240" s="24">
        <v>256.0</v>
      </c>
    </row>
    <row r="241">
      <c r="A241" s="26">
        <v>229.0</v>
      </c>
      <c r="B241" s="15" t="s">
        <v>615</v>
      </c>
      <c r="C241" s="16" t="s">
        <v>616</v>
      </c>
      <c r="D241" s="38">
        <v>45617.0</v>
      </c>
      <c r="E241" s="26">
        <v>-5.09</v>
      </c>
      <c r="F241" s="28">
        <v>106.6</v>
      </c>
      <c r="G241" s="29">
        <v>169.0</v>
      </c>
      <c r="H241" s="26">
        <v>111.7</v>
      </c>
      <c r="I241" s="29">
        <v>294.0</v>
      </c>
      <c r="J241" s="28">
        <v>65.9</v>
      </c>
      <c r="K241" s="29">
        <v>274.0</v>
      </c>
      <c r="L241" s="28">
        <v>-0.059</v>
      </c>
      <c r="M241" s="29">
        <v>316.0</v>
      </c>
      <c r="N241" s="30">
        <f>+2.6</f>
        <v>2.6</v>
      </c>
      <c r="O241" s="29">
        <v>117.0</v>
      </c>
      <c r="P241" s="26">
        <v>107.7</v>
      </c>
      <c r="Q241" s="29">
        <v>119.0</v>
      </c>
      <c r="R241" s="26">
        <v>105.1</v>
      </c>
      <c r="S241" s="29">
        <v>129.0</v>
      </c>
      <c r="T241" s="28">
        <v>-0.51</v>
      </c>
      <c r="U241" s="29">
        <v>211.0</v>
      </c>
    </row>
    <row r="242">
      <c r="A242" s="31">
        <v>230.0</v>
      </c>
      <c r="B242" s="32" t="s">
        <v>617</v>
      </c>
      <c r="C242" s="33" t="s">
        <v>618</v>
      </c>
      <c r="D242" s="31" t="s">
        <v>393</v>
      </c>
      <c r="E242" s="31">
        <v>-5.1</v>
      </c>
      <c r="F242" s="35">
        <v>104.0</v>
      </c>
      <c r="G242" s="36">
        <v>221.0</v>
      </c>
      <c r="H242" s="31">
        <v>109.0</v>
      </c>
      <c r="I242" s="36">
        <v>239.0</v>
      </c>
      <c r="J242" s="35">
        <v>63.7</v>
      </c>
      <c r="K242" s="36">
        <v>345.0</v>
      </c>
      <c r="L242" s="37">
        <f>+0.07</f>
        <v>0.07</v>
      </c>
      <c r="M242" s="36">
        <v>38.0</v>
      </c>
      <c r="N242" s="35">
        <v>-3.05</v>
      </c>
      <c r="O242" s="36">
        <v>246.0</v>
      </c>
      <c r="P242" s="31">
        <v>105.3</v>
      </c>
      <c r="Q242" s="36">
        <v>213.0</v>
      </c>
      <c r="R242" s="31">
        <v>108.4</v>
      </c>
      <c r="S242" s="36">
        <v>295.0</v>
      </c>
      <c r="T242" s="37">
        <f>+1.99</f>
        <v>1.99</v>
      </c>
      <c r="U242" s="36">
        <v>129.0</v>
      </c>
    </row>
    <row r="243">
      <c r="A243" s="26">
        <v>231.0</v>
      </c>
      <c r="B243" s="15" t="s">
        <v>619</v>
      </c>
      <c r="C243" s="16" t="s">
        <v>620</v>
      </c>
      <c r="D243" s="26" t="s">
        <v>286</v>
      </c>
      <c r="E243" s="26">
        <v>-5.23</v>
      </c>
      <c r="F243" s="28">
        <v>97.3</v>
      </c>
      <c r="G243" s="29">
        <v>319.0</v>
      </c>
      <c r="H243" s="26">
        <v>102.5</v>
      </c>
      <c r="I243" s="29">
        <v>102.0</v>
      </c>
      <c r="J243" s="28">
        <v>65.5</v>
      </c>
      <c r="K243" s="29">
        <v>300.0</v>
      </c>
      <c r="L243" s="30">
        <f>+0.003</f>
        <v>0.003</v>
      </c>
      <c r="M243" s="29">
        <v>175.0</v>
      </c>
      <c r="N243" s="28">
        <v>-2.74</v>
      </c>
      <c r="O243" s="29">
        <v>239.0</v>
      </c>
      <c r="P243" s="26">
        <v>104.2</v>
      </c>
      <c r="Q243" s="29">
        <v>272.0</v>
      </c>
      <c r="R243" s="26">
        <v>106.9</v>
      </c>
      <c r="S243" s="29">
        <v>213.0</v>
      </c>
      <c r="T243" s="28">
        <v>-1.33</v>
      </c>
      <c r="U243" s="29">
        <v>234.0</v>
      </c>
    </row>
    <row r="244">
      <c r="A244" s="21">
        <v>232.0</v>
      </c>
      <c r="B244" s="15" t="s">
        <v>621</v>
      </c>
      <c r="C244" s="16" t="s">
        <v>622</v>
      </c>
      <c r="D244" s="21" t="s">
        <v>623</v>
      </c>
      <c r="E244" s="21">
        <v>-5.39</v>
      </c>
      <c r="F244" s="23">
        <v>106.7</v>
      </c>
      <c r="G244" s="24">
        <v>167.0</v>
      </c>
      <c r="H244" s="21">
        <v>112.1</v>
      </c>
      <c r="I244" s="24">
        <v>300.0</v>
      </c>
      <c r="J244" s="23">
        <v>68.6</v>
      </c>
      <c r="K244" s="24">
        <v>115.0</v>
      </c>
      <c r="L244" s="23">
        <v>-0.036</v>
      </c>
      <c r="M244" s="24">
        <v>276.0</v>
      </c>
      <c r="N244" s="23">
        <v>-2.61</v>
      </c>
      <c r="O244" s="24">
        <v>237.0</v>
      </c>
      <c r="P244" s="21">
        <v>104.2</v>
      </c>
      <c r="Q244" s="24">
        <v>273.0</v>
      </c>
      <c r="R244" s="21">
        <v>106.8</v>
      </c>
      <c r="S244" s="24">
        <v>203.0</v>
      </c>
      <c r="T244" s="23">
        <v>-7.48</v>
      </c>
      <c r="U244" s="24">
        <v>355.0</v>
      </c>
    </row>
    <row r="245">
      <c r="A245" s="26">
        <v>233.0</v>
      </c>
      <c r="B245" s="15" t="s">
        <v>624</v>
      </c>
      <c r="C245" s="16" t="s">
        <v>625</v>
      </c>
      <c r="D245" s="26" t="s">
        <v>177</v>
      </c>
      <c r="E245" s="26">
        <v>-5.41</v>
      </c>
      <c r="F245" s="28">
        <v>100.1</v>
      </c>
      <c r="G245" s="29">
        <v>285.0</v>
      </c>
      <c r="H245" s="26">
        <v>105.5</v>
      </c>
      <c r="I245" s="29">
        <v>160.0</v>
      </c>
      <c r="J245" s="28">
        <v>72.7</v>
      </c>
      <c r="K245" s="29">
        <v>13.0</v>
      </c>
      <c r="L245" s="30">
        <f>+0.051</f>
        <v>0.051</v>
      </c>
      <c r="M245" s="29">
        <v>63.0</v>
      </c>
      <c r="N245" s="28">
        <v>-3.37</v>
      </c>
      <c r="O245" s="29">
        <v>259.0</v>
      </c>
      <c r="P245" s="26">
        <v>103.8</v>
      </c>
      <c r="Q245" s="29">
        <v>283.0</v>
      </c>
      <c r="R245" s="26">
        <v>107.2</v>
      </c>
      <c r="S245" s="29">
        <v>225.0</v>
      </c>
      <c r="T245" s="28">
        <v>-7.46</v>
      </c>
      <c r="U245" s="29">
        <v>354.0</v>
      </c>
    </row>
    <row r="246">
      <c r="A246" s="21">
        <v>234.0</v>
      </c>
      <c r="B246" s="15" t="s">
        <v>626</v>
      </c>
      <c r="C246" s="16" t="s">
        <v>627</v>
      </c>
      <c r="D246" s="21" t="s">
        <v>322</v>
      </c>
      <c r="E246" s="21">
        <v>-5.43</v>
      </c>
      <c r="F246" s="23">
        <v>104.5</v>
      </c>
      <c r="G246" s="24">
        <v>212.0</v>
      </c>
      <c r="H246" s="21">
        <v>109.9</v>
      </c>
      <c r="I246" s="24">
        <v>248.0</v>
      </c>
      <c r="J246" s="23">
        <v>66.3</v>
      </c>
      <c r="K246" s="24">
        <v>260.0</v>
      </c>
      <c r="L246" s="25">
        <f>+0.101</f>
        <v>0.101</v>
      </c>
      <c r="M246" s="24">
        <v>14.0</v>
      </c>
      <c r="N246" s="23">
        <v>-3.56</v>
      </c>
      <c r="O246" s="24">
        <v>265.0</v>
      </c>
      <c r="P246" s="21">
        <v>103.8</v>
      </c>
      <c r="Q246" s="24">
        <v>285.0</v>
      </c>
      <c r="R246" s="21">
        <v>107.4</v>
      </c>
      <c r="S246" s="24">
        <v>237.0</v>
      </c>
      <c r="T246" s="25">
        <f>+9.64</f>
        <v>9.64</v>
      </c>
      <c r="U246" s="24">
        <v>15.0</v>
      </c>
    </row>
    <row r="247">
      <c r="A247" s="26">
        <v>235.0</v>
      </c>
      <c r="B247" s="15" t="s">
        <v>628</v>
      </c>
      <c r="C247" s="16" t="s">
        <v>629</v>
      </c>
      <c r="D247" s="26" t="s">
        <v>306</v>
      </c>
      <c r="E247" s="26">
        <v>-5.45</v>
      </c>
      <c r="F247" s="28">
        <v>100.1</v>
      </c>
      <c r="G247" s="29">
        <v>289.0</v>
      </c>
      <c r="H247" s="26">
        <v>105.5</v>
      </c>
      <c r="I247" s="29">
        <v>158.0</v>
      </c>
      <c r="J247" s="28">
        <v>66.5</v>
      </c>
      <c r="K247" s="29">
        <v>249.0</v>
      </c>
      <c r="L247" s="30">
        <f>+0.019</f>
        <v>0.019</v>
      </c>
      <c r="M247" s="29">
        <v>137.0</v>
      </c>
      <c r="N247" s="30">
        <f>+0.09</f>
        <v>0.09</v>
      </c>
      <c r="O247" s="29">
        <v>159.0</v>
      </c>
      <c r="P247" s="26">
        <v>105.7</v>
      </c>
      <c r="Q247" s="29">
        <v>194.0</v>
      </c>
      <c r="R247" s="26">
        <v>105.6</v>
      </c>
      <c r="S247" s="29">
        <v>150.0</v>
      </c>
      <c r="T247" s="30">
        <f>+5.3</f>
        <v>5.3</v>
      </c>
      <c r="U247" s="29">
        <v>58.0</v>
      </c>
    </row>
    <row r="248">
      <c r="A248" s="21">
        <v>236.0</v>
      </c>
      <c r="B248" s="15" t="s">
        <v>630</v>
      </c>
      <c r="C248" s="16" t="s">
        <v>631</v>
      </c>
      <c r="D248" s="21" t="s">
        <v>393</v>
      </c>
      <c r="E248" s="21">
        <v>-5.48</v>
      </c>
      <c r="F248" s="23">
        <v>105.4</v>
      </c>
      <c r="G248" s="24">
        <v>194.0</v>
      </c>
      <c r="H248" s="21">
        <v>110.9</v>
      </c>
      <c r="I248" s="24">
        <v>272.0</v>
      </c>
      <c r="J248" s="23">
        <v>66.8</v>
      </c>
      <c r="K248" s="24">
        <v>236.0</v>
      </c>
      <c r="L248" s="25">
        <f>+0.025</f>
        <v>0.025</v>
      </c>
      <c r="M248" s="24">
        <v>120.0</v>
      </c>
      <c r="N248" s="23">
        <v>-5.57</v>
      </c>
      <c r="O248" s="24">
        <v>318.0</v>
      </c>
      <c r="P248" s="21">
        <v>104.7</v>
      </c>
      <c r="Q248" s="24">
        <v>251.0</v>
      </c>
      <c r="R248" s="21">
        <v>110.3</v>
      </c>
      <c r="S248" s="24">
        <v>362.0</v>
      </c>
      <c r="T248" s="23">
        <v>-5.85</v>
      </c>
      <c r="U248" s="24">
        <v>333.0</v>
      </c>
    </row>
    <row r="249">
      <c r="A249" s="26">
        <v>237.0</v>
      </c>
      <c r="B249" s="15" t="s">
        <v>632</v>
      </c>
      <c r="C249" s="16" t="s">
        <v>633</v>
      </c>
      <c r="D249" s="38">
        <v>45647.0</v>
      </c>
      <c r="E249" s="26">
        <v>-5.53</v>
      </c>
      <c r="F249" s="28">
        <v>103.5</v>
      </c>
      <c r="G249" s="29">
        <v>226.0</v>
      </c>
      <c r="H249" s="26">
        <v>109.0</v>
      </c>
      <c r="I249" s="29">
        <v>238.0</v>
      </c>
      <c r="J249" s="28">
        <v>65.6</v>
      </c>
      <c r="K249" s="29">
        <v>290.0</v>
      </c>
      <c r="L249" s="30">
        <f>+0.002</f>
        <v>0.002</v>
      </c>
      <c r="M249" s="29">
        <v>177.0</v>
      </c>
      <c r="N249" s="30">
        <f>+5.22</f>
        <v>5.22</v>
      </c>
      <c r="O249" s="29">
        <v>95.0</v>
      </c>
      <c r="P249" s="26">
        <v>109.4</v>
      </c>
      <c r="Q249" s="29">
        <v>92.0</v>
      </c>
      <c r="R249" s="26">
        <v>104.1</v>
      </c>
      <c r="S249" s="29">
        <v>101.0</v>
      </c>
      <c r="T249" s="28">
        <v>-4.05</v>
      </c>
      <c r="U249" s="29">
        <v>295.0</v>
      </c>
    </row>
    <row r="250">
      <c r="A250" s="21">
        <v>238.0</v>
      </c>
      <c r="B250" s="15" t="s">
        <v>634</v>
      </c>
      <c r="C250" s="16" t="s">
        <v>635</v>
      </c>
      <c r="D250" s="21" t="s">
        <v>336</v>
      </c>
      <c r="E250" s="21">
        <v>-5.55</v>
      </c>
      <c r="F250" s="23">
        <v>101.4</v>
      </c>
      <c r="G250" s="24">
        <v>262.0</v>
      </c>
      <c r="H250" s="21">
        <v>106.9</v>
      </c>
      <c r="I250" s="24">
        <v>192.0</v>
      </c>
      <c r="J250" s="23">
        <v>70.5</v>
      </c>
      <c r="K250" s="24">
        <v>46.0</v>
      </c>
      <c r="L250" s="23">
        <v>-0.013</v>
      </c>
      <c r="M250" s="24">
        <v>219.0</v>
      </c>
      <c r="N250" s="23">
        <v>-0.24</v>
      </c>
      <c r="O250" s="24">
        <v>173.0</v>
      </c>
      <c r="P250" s="21">
        <v>106.6</v>
      </c>
      <c r="Q250" s="24">
        <v>154.0</v>
      </c>
      <c r="R250" s="21">
        <v>106.8</v>
      </c>
      <c r="S250" s="24">
        <v>208.0</v>
      </c>
      <c r="T250" s="25">
        <f>+1.92</f>
        <v>1.92</v>
      </c>
      <c r="U250" s="24">
        <v>133.0</v>
      </c>
    </row>
    <row r="251">
      <c r="A251" s="26">
        <v>239.0</v>
      </c>
      <c r="B251" s="15" t="s">
        <v>636</v>
      </c>
      <c r="C251" s="16" t="s">
        <v>637</v>
      </c>
      <c r="D251" s="26" t="s">
        <v>322</v>
      </c>
      <c r="E251" s="26">
        <v>-5.57</v>
      </c>
      <c r="F251" s="28">
        <v>102.4</v>
      </c>
      <c r="G251" s="29">
        <v>247.0</v>
      </c>
      <c r="H251" s="26">
        <v>107.9</v>
      </c>
      <c r="I251" s="29">
        <v>209.0</v>
      </c>
      <c r="J251" s="28">
        <v>67.8</v>
      </c>
      <c r="K251" s="29">
        <v>161.0</v>
      </c>
      <c r="L251" s="30">
        <f>+0.048</f>
        <v>0.048</v>
      </c>
      <c r="M251" s="29">
        <v>69.0</v>
      </c>
      <c r="N251" s="28">
        <v>-5.56</v>
      </c>
      <c r="O251" s="29">
        <v>317.0</v>
      </c>
      <c r="P251" s="26">
        <v>103.0</v>
      </c>
      <c r="Q251" s="29">
        <v>300.0</v>
      </c>
      <c r="R251" s="26">
        <v>108.6</v>
      </c>
      <c r="S251" s="29">
        <v>305.0</v>
      </c>
      <c r="T251" s="28">
        <v>-5.5</v>
      </c>
      <c r="U251" s="29">
        <v>326.0</v>
      </c>
    </row>
    <row r="252">
      <c r="A252" s="31">
        <v>240.0</v>
      </c>
      <c r="B252" s="32" t="s">
        <v>638</v>
      </c>
      <c r="C252" s="33" t="s">
        <v>639</v>
      </c>
      <c r="D252" s="31" t="s">
        <v>460</v>
      </c>
      <c r="E252" s="31">
        <v>-5.61</v>
      </c>
      <c r="F252" s="35">
        <v>107.1</v>
      </c>
      <c r="G252" s="36">
        <v>159.0</v>
      </c>
      <c r="H252" s="31">
        <v>112.7</v>
      </c>
      <c r="I252" s="36">
        <v>318.0</v>
      </c>
      <c r="J252" s="35">
        <v>67.2</v>
      </c>
      <c r="K252" s="36">
        <v>206.0</v>
      </c>
      <c r="L252" s="35">
        <v>-0.007</v>
      </c>
      <c r="M252" s="36">
        <v>202.0</v>
      </c>
      <c r="N252" s="35">
        <v>-3.61</v>
      </c>
      <c r="O252" s="36">
        <v>269.0</v>
      </c>
      <c r="P252" s="31">
        <v>105.9</v>
      </c>
      <c r="Q252" s="36">
        <v>183.0</v>
      </c>
      <c r="R252" s="31">
        <v>109.5</v>
      </c>
      <c r="S252" s="36">
        <v>351.0</v>
      </c>
      <c r="T252" s="37">
        <f>+1.05</f>
        <v>1.05</v>
      </c>
      <c r="U252" s="36">
        <v>159.0</v>
      </c>
    </row>
    <row r="253">
      <c r="A253" s="1"/>
      <c r="B253" s="1"/>
      <c r="C253" s="1"/>
      <c r="D253" s="2"/>
      <c r="E253" s="2"/>
      <c r="F253" s="3"/>
      <c r="J253" s="3"/>
      <c r="L253" s="3"/>
      <c r="N253" s="4" t="s">
        <v>0</v>
      </c>
      <c r="T253" s="4" t="s">
        <v>1</v>
      </c>
    </row>
    <row r="254">
      <c r="A254" s="5" t="s">
        <v>640</v>
      </c>
      <c r="B254" s="6" t="s">
        <v>641</v>
      </c>
      <c r="C254" s="7" t="s">
        <v>4</v>
      </c>
      <c r="D254" s="5" t="s">
        <v>642</v>
      </c>
      <c r="E254" s="5" t="s">
        <v>643</v>
      </c>
      <c r="F254" s="10" t="s">
        <v>644</v>
      </c>
      <c r="H254" s="5" t="s">
        <v>645</v>
      </c>
      <c r="I254" s="2"/>
      <c r="J254" s="10" t="s">
        <v>646</v>
      </c>
      <c r="L254" s="10" t="s">
        <v>647</v>
      </c>
      <c r="N254" s="10" t="s">
        <v>648</v>
      </c>
      <c r="P254" s="5" t="s">
        <v>649</v>
      </c>
      <c r="Q254" s="2"/>
      <c r="R254" s="5" t="s">
        <v>650</v>
      </c>
      <c r="S254" s="2"/>
      <c r="T254" s="10" t="s">
        <v>651</v>
      </c>
    </row>
    <row r="255">
      <c r="A255" s="26">
        <v>241.0</v>
      </c>
      <c r="B255" s="15" t="s">
        <v>652</v>
      </c>
      <c r="C255" s="16" t="s">
        <v>653</v>
      </c>
      <c r="D255" s="26" t="s">
        <v>306</v>
      </c>
      <c r="E255" s="26">
        <v>-5.63</v>
      </c>
      <c r="F255" s="28">
        <v>103.3</v>
      </c>
      <c r="G255" s="29">
        <v>232.0</v>
      </c>
      <c r="H255" s="26">
        <v>109.0</v>
      </c>
      <c r="I255" s="29">
        <v>236.0</v>
      </c>
      <c r="J255" s="28">
        <v>63.9</v>
      </c>
      <c r="K255" s="29">
        <v>342.0</v>
      </c>
      <c r="L255" s="28">
        <v>-0.054</v>
      </c>
      <c r="M255" s="29">
        <v>306.0</v>
      </c>
      <c r="N255" s="28">
        <v>-2.49</v>
      </c>
      <c r="O255" s="29">
        <v>234.0</v>
      </c>
      <c r="P255" s="26">
        <v>106.8</v>
      </c>
      <c r="Q255" s="29">
        <v>147.0</v>
      </c>
      <c r="R255" s="26">
        <v>109.3</v>
      </c>
      <c r="S255" s="29">
        <v>340.0</v>
      </c>
      <c r="T255" s="30">
        <f>+4.75</f>
        <v>4.75</v>
      </c>
      <c r="U255" s="29">
        <v>72.0</v>
      </c>
    </row>
    <row r="256">
      <c r="A256" s="21">
        <v>242.0</v>
      </c>
      <c r="B256" s="15" t="s">
        <v>654</v>
      </c>
      <c r="C256" s="16" t="s">
        <v>655</v>
      </c>
      <c r="D256" s="39">
        <v>45586.0</v>
      </c>
      <c r="E256" s="21">
        <v>-5.73</v>
      </c>
      <c r="F256" s="23">
        <v>106.0</v>
      </c>
      <c r="G256" s="24">
        <v>179.0</v>
      </c>
      <c r="H256" s="21">
        <v>111.8</v>
      </c>
      <c r="I256" s="24">
        <v>295.0</v>
      </c>
      <c r="J256" s="23">
        <v>69.6</v>
      </c>
      <c r="K256" s="24">
        <v>72.0</v>
      </c>
      <c r="L256" s="23">
        <v>-0.076</v>
      </c>
      <c r="M256" s="24">
        <v>334.0</v>
      </c>
      <c r="N256" s="25">
        <f>+0.89</f>
        <v>0.89</v>
      </c>
      <c r="O256" s="24">
        <v>141.0</v>
      </c>
      <c r="P256" s="21">
        <v>104.9</v>
      </c>
      <c r="Q256" s="24">
        <v>245.0</v>
      </c>
      <c r="R256" s="21">
        <v>104.0</v>
      </c>
      <c r="S256" s="24">
        <v>96.0</v>
      </c>
      <c r="T256" s="25">
        <f>+2.06</f>
        <v>2.06</v>
      </c>
      <c r="U256" s="24">
        <v>126.0</v>
      </c>
    </row>
    <row r="257">
      <c r="A257" s="26">
        <v>243.0</v>
      </c>
      <c r="B257" s="15" t="s">
        <v>656</v>
      </c>
      <c r="C257" s="16" t="s">
        <v>657</v>
      </c>
      <c r="D257" s="26" t="s">
        <v>460</v>
      </c>
      <c r="E257" s="26">
        <v>-5.77</v>
      </c>
      <c r="F257" s="28">
        <v>101.3</v>
      </c>
      <c r="G257" s="29">
        <v>263.0</v>
      </c>
      <c r="H257" s="26">
        <v>107.1</v>
      </c>
      <c r="I257" s="29">
        <v>195.0</v>
      </c>
      <c r="J257" s="28">
        <v>68.1</v>
      </c>
      <c r="K257" s="29">
        <v>143.0</v>
      </c>
      <c r="L257" s="30">
        <f>+0.055</f>
        <v>0.055</v>
      </c>
      <c r="M257" s="29">
        <v>56.0</v>
      </c>
      <c r="N257" s="28">
        <v>-0.88</v>
      </c>
      <c r="O257" s="29">
        <v>191.0</v>
      </c>
      <c r="P257" s="26">
        <v>105.6</v>
      </c>
      <c r="Q257" s="29">
        <v>200.0</v>
      </c>
      <c r="R257" s="26">
        <v>106.5</v>
      </c>
      <c r="S257" s="29">
        <v>183.0</v>
      </c>
      <c r="T257" s="30">
        <f>+1.18</f>
        <v>1.18</v>
      </c>
      <c r="U257" s="29">
        <v>155.0</v>
      </c>
    </row>
    <row r="258">
      <c r="A258" s="21">
        <v>244.0</v>
      </c>
      <c r="B258" s="15" t="s">
        <v>658</v>
      </c>
      <c r="C258" s="16" t="s">
        <v>659</v>
      </c>
      <c r="D258" s="21" t="s">
        <v>357</v>
      </c>
      <c r="E258" s="21">
        <v>-5.82</v>
      </c>
      <c r="F258" s="23">
        <v>105.3</v>
      </c>
      <c r="G258" s="24">
        <v>196.0</v>
      </c>
      <c r="H258" s="21">
        <v>111.1</v>
      </c>
      <c r="I258" s="24">
        <v>280.0</v>
      </c>
      <c r="J258" s="23">
        <v>73.1</v>
      </c>
      <c r="K258" s="24">
        <v>6.0</v>
      </c>
      <c r="L258" s="23">
        <v>-0.079</v>
      </c>
      <c r="M258" s="24">
        <v>337.0</v>
      </c>
      <c r="N258" s="23">
        <v>-3.32</v>
      </c>
      <c r="O258" s="24">
        <v>258.0</v>
      </c>
      <c r="P258" s="21">
        <v>102.9</v>
      </c>
      <c r="Q258" s="24">
        <v>303.0</v>
      </c>
      <c r="R258" s="21">
        <v>106.2</v>
      </c>
      <c r="S258" s="24">
        <v>170.0</v>
      </c>
      <c r="T258" s="23">
        <v>-3.25</v>
      </c>
      <c r="U258" s="24">
        <v>279.0</v>
      </c>
    </row>
    <row r="259">
      <c r="A259" s="26">
        <v>245.0</v>
      </c>
      <c r="B259" s="15" t="s">
        <v>660</v>
      </c>
      <c r="C259" s="16" t="s">
        <v>661</v>
      </c>
      <c r="D259" s="26" t="s">
        <v>486</v>
      </c>
      <c r="E259" s="26">
        <v>-5.92</v>
      </c>
      <c r="F259" s="28">
        <v>108.2</v>
      </c>
      <c r="G259" s="29">
        <v>142.0</v>
      </c>
      <c r="H259" s="26">
        <v>114.1</v>
      </c>
      <c r="I259" s="29">
        <v>336.0</v>
      </c>
      <c r="J259" s="28">
        <v>64.8</v>
      </c>
      <c r="K259" s="29">
        <v>326.0</v>
      </c>
      <c r="L259" s="30">
        <f>+0.052</f>
        <v>0.052</v>
      </c>
      <c r="M259" s="29">
        <v>60.0</v>
      </c>
      <c r="N259" s="28">
        <v>-3.32</v>
      </c>
      <c r="O259" s="29">
        <v>257.0</v>
      </c>
      <c r="P259" s="26">
        <v>105.6</v>
      </c>
      <c r="Q259" s="29">
        <v>197.0</v>
      </c>
      <c r="R259" s="26">
        <v>109.0</v>
      </c>
      <c r="S259" s="29">
        <v>328.0</v>
      </c>
      <c r="T259" s="30">
        <f>+4.29</f>
        <v>4.29</v>
      </c>
      <c r="U259" s="29">
        <v>77.0</v>
      </c>
    </row>
    <row r="260">
      <c r="A260" s="21">
        <v>246.0</v>
      </c>
      <c r="B260" s="15" t="s">
        <v>662</v>
      </c>
      <c r="C260" s="16" t="s">
        <v>663</v>
      </c>
      <c r="D260" s="21" t="s">
        <v>510</v>
      </c>
      <c r="E260" s="21">
        <v>-5.95</v>
      </c>
      <c r="F260" s="23">
        <v>100.0</v>
      </c>
      <c r="G260" s="24">
        <v>290.0</v>
      </c>
      <c r="H260" s="21">
        <v>106.0</v>
      </c>
      <c r="I260" s="24">
        <v>172.0</v>
      </c>
      <c r="J260" s="23">
        <v>71.5</v>
      </c>
      <c r="K260" s="24">
        <v>25.0</v>
      </c>
      <c r="L260" s="25">
        <f>+0.077</f>
        <v>0.077</v>
      </c>
      <c r="M260" s="24">
        <v>27.0</v>
      </c>
      <c r="N260" s="23">
        <v>-2.48</v>
      </c>
      <c r="O260" s="24">
        <v>233.0</v>
      </c>
      <c r="P260" s="21">
        <v>104.1</v>
      </c>
      <c r="Q260" s="24">
        <v>277.0</v>
      </c>
      <c r="R260" s="21">
        <v>106.6</v>
      </c>
      <c r="S260" s="24">
        <v>190.0</v>
      </c>
      <c r="T260" s="25">
        <f>+0.24</f>
        <v>0.24</v>
      </c>
      <c r="U260" s="24">
        <v>185.0</v>
      </c>
    </row>
    <row r="261">
      <c r="A261" s="26">
        <v>247.0</v>
      </c>
      <c r="B261" s="15" t="s">
        <v>664</v>
      </c>
      <c r="C261" s="16" t="s">
        <v>665</v>
      </c>
      <c r="D261" s="26" t="s">
        <v>357</v>
      </c>
      <c r="E261" s="26">
        <v>-6.05</v>
      </c>
      <c r="F261" s="28">
        <v>101.1</v>
      </c>
      <c r="G261" s="29">
        <v>267.0</v>
      </c>
      <c r="H261" s="26">
        <v>107.2</v>
      </c>
      <c r="I261" s="29">
        <v>196.0</v>
      </c>
      <c r="J261" s="28">
        <v>64.9</v>
      </c>
      <c r="K261" s="29">
        <v>319.0</v>
      </c>
      <c r="L261" s="28">
        <v>-0.035</v>
      </c>
      <c r="M261" s="29">
        <v>272.0</v>
      </c>
      <c r="N261" s="28">
        <v>-1.31</v>
      </c>
      <c r="O261" s="29">
        <v>202.0</v>
      </c>
      <c r="P261" s="26">
        <v>105.5</v>
      </c>
      <c r="Q261" s="29">
        <v>206.0</v>
      </c>
      <c r="R261" s="26">
        <v>106.8</v>
      </c>
      <c r="S261" s="29">
        <v>205.0</v>
      </c>
      <c r="T261" s="30">
        <f>+0.4</f>
        <v>0.4</v>
      </c>
      <c r="U261" s="29">
        <v>179.0</v>
      </c>
    </row>
    <row r="262">
      <c r="A262" s="21">
        <v>248.0</v>
      </c>
      <c r="B262" s="15" t="s">
        <v>666</v>
      </c>
      <c r="C262" s="16" t="s">
        <v>667</v>
      </c>
      <c r="D262" s="39">
        <v>45558.0</v>
      </c>
      <c r="E262" s="21">
        <v>-6.18</v>
      </c>
      <c r="F262" s="23">
        <v>105.8</v>
      </c>
      <c r="G262" s="24">
        <v>185.0</v>
      </c>
      <c r="H262" s="21">
        <v>112.0</v>
      </c>
      <c r="I262" s="24">
        <v>298.0</v>
      </c>
      <c r="J262" s="23">
        <v>65.8</v>
      </c>
      <c r="K262" s="24">
        <v>278.0</v>
      </c>
      <c r="L262" s="23">
        <v>-0.038</v>
      </c>
      <c r="M262" s="24">
        <v>282.0</v>
      </c>
      <c r="N262" s="25">
        <f>+5.08</f>
        <v>5.08</v>
      </c>
      <c r="O262" s="24">
        <v>97.0</v>
      </c>
      <c r="P262" s="21">
        <v>109.4</v>
      </c>
      <c r="Q262" s="24">
        <v>93.0</v>
      </c>
      <c r="R262" s="21">
        <v>104.3</v>
      </c>
      <c r="S262" s="24">
        <v>107.0</v>
      </c>
      <c r="T262" s="23">
        <v>-4.1</v>
      </c>
      <c r="U262" s="24">
        <v>296.0</v>
      </c>
    </row>
    <row r="263">
      <c r="A263" s="26">
        <v>249.0</v>
      </c>
      <c r="B263" s="15" t="s">
        <v>668</v>
      </c>
      <c r="C263" s="16" t="s">
        <v>669</v>
      </c>
      <c r="D263" s="26" t="s">
        <v>357</v>
      </c>
      <c r="E263" s="26">
        <v>-6.25</v>
      </c>
      <c r="F263" s="28">
        <v>102.5</v>
      </c>
      <c r="G263" s="29">
        <v>246.0</v>
      </c>
      <c r="H263" s="26">
        <v>108.7</v>
      </c>
      <c r="I263" s="29">
        <v>228.0</v>
      </c>
      <c r="J263" s="28">
        <v>69.2</v>
      </c>
      <c r="K263" s="29">
        <v>89.0</v>
      </c>
      <c r="L263" s="28">
        <v>-0.118</v>
      </c>
      <c r="M263" s="29">
        <v>361.0</v>
      </c>
      <c r="N263" s="28">
        <v>-6.42</v>
      </c>
      <c r="O263" s="29">
        <v>330.0</v>
      </c>
      <c r="P263" s="26">
        <v>101.3</v>
      </c>
      <c r="Q263" s="29">
        <v>341.0</v>
      </c>
      <c r="R263" s="26">
        <v>107.7</v>
      </c>
      <c r="S263" s="29">
        <v>261.0</v>
      </c>
      <c r="T263" s="28">
        <v>-5.44</v>
      </c>
      <c r="U263" s="29">
        <v>323.0</v>
      </c>
    </row>
    <row r="264">
      <c r="A264" s="31">
        <v>250.0</v>
      </c>
      <c r="B264" s="32" t="s">
        <v>670</v>
      </c>
      <c r="C264" s="33" t="s">
        <v>671</v>
      </c>
      <c r="D264" s="40">
        <v>45646.0</v>
      </c>
      <c r="E264" s="31">
        <v>-6.29</v>
      </c>
      <c r="F264" s="35">
        <v>105.3</v>
      </c>
      <c r="G264" s="36">
        <v>195.0</v>
      </c>
      <c r="H264" s="31">
        <v>111.6</v>
      </c>
      <c r="I264" s="36">
        <v>292.0</v>
      </c>
      <c r="J264" s="35">
        <v>65.8</v>
      </c>
      <c r="K264" s="36">
        <v>279.0</v>
      </c>
      <c r="L264" s="35">
        <v>-0.018</v>
      </c>
      <c r="M264" s="36">
        <v>237.0</v>
      </c>
      <c r="N264" s="35">
        <v>-1.28</v>
      </c>
      <c r="O264" s="36">
        <v>201.0</v>
      </c>
      <c r="P264" s="31">
        <v>105.6</v>
      </c>
      <c r="Q264" s="36">
        <v>199.0</v>
      </c>
      <c r="R264" s="31">
        <v>106.9</v>
      </c>
      <c r="S264" s="36">
        <v>210.0</v>
      </c>
      <c r="T264" s="37">
        <f>+1.05</f>
        <v>1.05</v>
      </c>
      <c r="U264" s="36">
        <v>158.0</v>
      </c>
    </row>
    <row r="265">
      <c r="A265" s="26">
        <v>251.0</v>
      </c>
      <c r="B265" s="15" t="s">
        <v>672</v>
      </c>
      <c r="C265" s="16" t="s">
        <v>673</v>
      </c>
      <c r="D265" s="26" t="s">
        <v>184</v>
      </c>
      <c r="E265" s="26">
        <v>-6.32</v>
      </c>
      <c r="F265" s="28">
        <v>99.6</v>
      </c>
      <c r="G265" s="29">
        <v>295.0</v>
      </c>
      <c r="H265" s="26">
        <v>105.9</v>
      </c>
      <c r="I265" s="29">
        <v>171.0</v>
      </c>
      <c r="J265" s="28">
        <v>69.4</v>
      </c>
      <c r="K265" s="29">
        <v>77.0</v>
      </c>
      <c r="L265" s="30">
        <f>+0.033</f>
        <v>0.033</v>
      </c>
      <c r="M265" s="29">
        <v>107.0</v>
      </c>
      <c r="N265" s="28">
        <v>-3.5</v>
      </c>
      <c r="O265" s="29">
        <v>264.0</v>
      </c>
      <c r="P265" s="26">
        <v>105.3</v>
      </c>
      <c r="Q265" s="29">
        <v>212.0</v>
      </c>
      <c r="R265" s="26">
        <v>108.8</v>
      </c>
      <c r="S265" s="29">
        <v>322.0</v>
      </c>
      <c r="T265" s="28">
        <v>-0.81</v>
      </c>
      <c r="U265" s="29">
        <v>220.0</v>
      </c>
    </row>
    <row r="266">
      <c r="A266" s="21">
        <v>252.0</v>
      </c>
      <c r="B266" s="15" t="s">
        <v>674</v>
      </c>
      <c r="C266" s="16" t="s">
        <v>675</v>
      </c>
      <c r="D266" s="21" t="s">
        <v>286</v>
      </c>
      <c r="E266" s="21">
        <v>-6.41</v>
      </c>
      <c r="F266" s="23">
        <v>105.7</v>
      </c>
      <c r="G266" s="24">
        <v>188.0</v>
      </c>
      <c r="H266" s="21">
        <v>112.1</v>
      </c>
      <c r="I266" s="24">
        <v>301.0</v>
      </c>
      <c r="J266" s="23">
        <v>67.9</v>
      </c>
      <c r="K266" s="24">
        <v>155.0</v>
      </c>
      <c r="L266" s="25">
        <f>+0.009</f>
        <v>0.009</v>
      </c>
      <c r="M266" s="24">
        <v>163.0</v>
      </c>
      <c r="N266" s="23">
        <v>-3.28</v>
      </c>
      <c r="O266" s="24">
        <v>255.0</v>
      </c>
      <c r="P266" s="21">
        <v>105.8</v>
      </c>
      <c r="Q266" s="24">
        <v>190.0</v>
      </c>
      <c r="R266" s="21">
        <v>109.1</v>
      </c>
      <c r="S266" s="24">
        <v>335.0</v>
      </c>
      <c r="T266" s="25">
        <f>+1.97</f>
        <v>1.97</v>
      </c>
      <c r="U266" s="24">
        <v>130.0</v>
      </c>
    </row>
    <row r="267">
      <c r="A267" s="26">
        <v>253.0</v>
      </c>
      <c r="B267" s="15" t="s">
        <v>676</v>
      </c>
      <c r="C267" s="16" t="s">
        <v>677</v>
      </c>
      <c r="D267" s="26" t="s">
        <v>587</v>
      </c>
      <c r="E267" s="26">
        <v>-6.62</v>
      </c>
      <c r="F267" s="28">
        <v>105.0</v>
      </c>
      <c r="G267" s="29">
        <v>203.0</v>
      </c>
      <c r="H267" s="26">
        <v>111.6</v>
      </c>
      <c r="I267" s="29">
        <v>291.0</v>
      </c>
      <c r="J267" s="28">
        <v>66.7</v>
      </c>
      <c r="K267" s="29">
        <v>240.0</v>
      </c>
      <c r="L267" s="28">
        <v>-0.004</v>
      </c>
      <c r="M267" s="29">
        <v>197.0</v>
      </c>
      <c r="N267" s="28">
        <v>-8.18</v>
      </c>
      <c r="O267" s="29">
        <v>352.0</v>
      </c>
      <c r="P267" s="26">
        <v>100.0</v>
      </c>
      <c r="Q267" s="29">
        <v>356.0</v>
      </c>
      <c r="R267" s="26">
        <v>108.2</v>
      </c>
      <c r="S267" s="29">
        <v>285.0</v>
      </c>
      <c r="T267" s="30">
        <f>+0.27</f>
        <v>0.27</v>
      </c>
      <c r="U267" s="29">
        <v>184.0</v>
      </c>
    </row>
    <row r="268">
      <c r="A268" s="21">
        <v>254.0</v>
      </c>
      <c r="B268" s="15" t="s">
        <v>678</v>
      </c>
      <c r="C268" s="16" t="s">
        <v>679</v>
      </c>
      <c r="D268" s="39">
        <v>45617.0</v>
      </c>
      <c r="E268" s="21">
        <v>-6.73</v>
      </c>
      <c r="F268" s="23">
        <v>107.0</v>
      </c>
      <c r="G268" s="24">
        <v>163.0</v>
      </c>
      <c r="H268" s="21">
        <v>113.7</v>
      </c>
      <c r="I268" s="24">
        <v>332.0</v>
      </c>
      <c r="J268" s="23">
        <v>70.6</v>
      </c>
      <c r="K268" s="24">
        <v>44.0</v>
      </c>
      <c r="L268" s="23">
        <v>-0.001</v>
      </c>
      <c r="M268" s="24">
        <v>186.0</v>
      </c>
      <c r="N268" s="23">
        <v>-0.01</v>
      </c>
      <c r="O268" s="24">
        <v>162.0</v>
      </c>
      <c r="P268" s="21">
        <v>105.8</v>
      </c>
      <c r="Q268" s="24">
        <v>188.0</v>
      </c>
      <c r="R268" s="21">
        <v>105.9</v>
      </c>
      <c r="S268" s="24">
        <v>161.0</v>
      </c>
      <c r="T268" s="23">
        <v>-7.12</v>
      </c>
      <c r="U268" s="24">
        <v>347.0</v>
      </c>
    </row>
    <row r="269">
      <c r="A269" s="26">
        <v>255.0</v>
      </c>
      <c r="B269" s="15" t="s">
        <v>680</v>
      </c>
      <c r="C269" s="16" t="s">
        <v>681</v>
      </c>
      <c r="D269" s="38">
        <v>45617.0</v>
      </c>
      <c r="E269" s="26">
        <v>-6.92</v>
      </c>
      <c r="F269" s="28">
        <v>103.1</v>
      </c>
      <c r="G269" s="29">
        <v>238.0</v>
      </c>
      <c r="H269" s="26">
        <v>110.0</v>
      </c>
      <c r="I269" s="29">
        <v>252.0</v>
      </c>
      <c r="J269" s="28">
        <v>65.6</v>
      </c>
      <c r="K269" s="29">
        <v>299.0</v>
      </c>
      <c r="L269" s="28">
        <v>-0.111</v>
      </c>
      <c r="M269" s="29">
        <v>358.0</v>
      </c>
      <c r="N269" s="28">
        <v>-0.15</v>
      </c>
      <c r="O269" s="29">
        <v>169.0</v>
      </c>
      <c r="P269" s="26">
        <v>106.5</v>
      </c>
      <c r="Q269" s="29">
        <v>162.0</v>
      </c>
      <c r="R269" s="26">
        <v>106.6</v>
      </c>
      <c r="S269" s="29">
        <v>193.0</v>
      </c>
      <c r="T269" s="28">
        <v>-0.34</v>
      </c>
      <c r="U269" s="29">
        <v>205.0</v>
      </c>
    </row>
    <row r="270">
      <c r="A270" s="21">
        <v>256.0</v>
      </c>
      <c r="B270" s="15" t="s">
        <v>682</v>
      </c>
      <c r="C270" s="16" t="s">
        <v>683</v>
      </c>
      <c r="D270" s="21" t="s">
        <v>187</v>
      </c>
      <c r="E270" s="21">
        <v>-6.98</v>
      </c>
      <c r="F270" s="23">
        <v>100.6</v>
      </c>
      <c r="G270" s="24">
        <v>277.0</v>
      </c>
      <c r="H270" s="21">
        <v>107.6</v>
      </c>
      <c r="I270" s="24">
        <v>204.0</v>
      </c>
      <c r="J270" s="23">
        <v>71.2</v>
      </c>
      <c r="K270" s="24">
        <v>32.0</v>
      </c>
      <c r="L270" s="25">
        <f>+0.147</f>
        <v>0.147</v>
      </c>
      <c r="M270" s="24">
        <v>2.0</v>
      </c>
      <c r="N270" s="23">
        <v>-0.25</v>
      </c>
      <c r="O270" s="24">
        <v>174.0</v>
      </c>
      <c r="P270" s="21">
        <v>107.2</v>
      </c>
      <c r="Q270" s="24">
        <v>137.0</v>
      </c>
      <c r="R270" s="21">
        <v>107.4</v>
      </c>
      <c r="S270" s="24">
        <v>238.0</v>
      </c>
      <c r="T270" s="23">
        <v>-4.26</v>
      </c>
      <c r="U270" s="24">
        <v>301.0</v>
      </c>
    </row>
    <row r="271">
      <c r="A271" s="26">
        <v>257.0</v>
      </c>
      <c r="B271" s="15" t="s">
        <v>684</v>
      </c>
      <c r="C271" s="16" t="s">
        <v>685</v>
      </c>
      <c r="D271" s="26" t="s">
        <v>286</v>
      </c>
      <c r="E271" s="26">
        <v>-6.98</v>
      </c>
      <c r="F271" s="28">
        <v>99.8</v>
      </c>
      <c r="G271" s="29">
        <v>294.0</v>
      </c>
      <c r="H271" s="26">
        <v>106.7</v>
      </c>
      <c r="I271" s="29">
        <v>184.0</v>
      </c>
      <c r="J271" s="28">
        <v>67.5</v>
      </c>
      <c r="K271" s="29">
        <v>184.0</v>
      </c>
      <c r="L271" s="28">
        <v>-0.016</v>
      </c>
      <c r="M271" s="29">
        <v>229.0</v>
      </c>
      <c r="N271" s="28">
        <v>-3.2</v>
      </c>
      <c r="O271" s="29">
        <v>251.0</v>
      </c>
      <c r="P271" s="26">
        <v>104.1</v>
      </c>
      <c r="Q271" s="29">
        <v>278.0</v>
      </c>
      <c r="R271" s="26">
        <v>107.3</v>
      </c>
      <c r="S271" s="29">
        <v>229.0</v>
      </c>
      <c r="T271" s="30">
        <f>+0.78</f>
        <v>0.78</v>
      </c>
      <c r="U271" s="29">
        <v>166.0</v>
      </c>
    </row>
    <row r="272">
      <c r="A272" s="21">
        <v>258.0</v>
      </c>
      <c r="B272" s="15" t="s">
        <v>686</v>
      </c>
      <c r="C272" s="16" t="s">
        <v>687</v>
      </c>
      <c r="D272" s="21" t="s">
        <v>688</v>
      </c>
      <c r="E272" s="21">
        <v>-7.07</v>
      </c>
      <c r="F272" s="23">
        <v>103.4</v>
      </c>
      <c r="G272" s="24">
        <v>230.0</v>
      </c>
      <c r="H272" s="21">
        <v>110.5</v>
      </c>
      <c r="I272" s="24">
        <v>259.0</v>
      </c>
      <c r="J272" s="23">
        <v>64.1</v>
      </c>
      <c r="K272" s="24">
        <v>340.0</v>
      </c>
      <c r="L272" s="23">
        <v>-0.054</v>
      </c>
      <c r="M272" s="24">
        <v>305.0</v>
      </c>
      <c r="N272" s="23">
        <v>-3.78</v>
      </c>
      <c r="O272" s="24">
        <v>273.0</v>
      </c>
      <c r="P272" s="21">
        <v>105.1</v>
      </c>
      <c r="Q272" s="24">
        <v>232.0</v>
      </c>
      <c r="R272" s="21">
        <v>108.9</v>
      </c>
      <c r="S272" s="24">
        <v>326.0</v>
      </c>
      <c r="T272" s="23">
        <v>-1.14</v>
      </c>
      <c r="U272" s="24">
        <v>230.0</v>
      </c>
    </row>
    <row r="273">
      <c r="A273" s="26">
        <v>259.0</v>
      </c>
      <c r="B273" s="15" t="s">
        <v>689</v>
      </c>
      <c r="C273" s="16" t="s">
        <v>690</v>
      </c>
      <c r="D273" s="26" t="s">
        <v>109</v>
      </c>
      <c r="E273" s="26">
        <v>-7.09</v>
      </c>
      <c r="F273" s="28">
        <v>100.1</v>
      </c>
      <c r="G273" s="29">
        <v>287.0</v>
      </c>
      <c r="H273" s="26">
        <v>107.2</v>
      </c>
      <c r="I273" s="29">
        <v>197.0</v>
      </c>
      <c r="J273" s="28">
        <v>64.8</v>
      </c>
      <c r="K273" s="29">
        <v>324.0</v>
      </c>
      <c r="L273" s="30">
        <f>+0.139</f>
        <v>0.139</v>
      </c>
      <c r="M273" s="29">
        <v>5.0</v>
      </c>
      <c r="N273" s="28">
        <v>-4.42</v>
      </c>
      <c r="O273" s="29">
        <v>291.0</v>
      </c>
      <c r="P273" s="26">
        <v>101.9</v>
      </c>
      <c r="Q273" s="29">
        <v>331.0</v>
      </c>
      <c r="R273" s="26">
        <v>106.3</v>
      </c>
      <c r="S273" s="29">
        <v>173.0</v>
      </c>
      <c r="T273" s="30">
        <f>+15</f>
        <v>15</v>
      </c>
      <c r="U273" s="29">
        <v>4.0</v>
      </c>
    </row>
    <row r="274">
      <c r="A274" s="31">
        <v>260.0</v>
      </c>
      <c r="B274" s="32" t="s">
        <v>691</v>
      </c>
      <c r="C274" s="33" t="s">
        <v>692</v>
      </c>
      <c r="D274" s="31" t="s">
        <v>261</v>
      </c>
      <c r="E274" s="31">
        <v>-7.17</v>
      </c>
      <c r="F274" s="35">
        <v>103.9</v>
      </c>
      <c r="G274" s="36">
        <v>222.0</v>
      </c>
      <c r="H274" s="31">
        <v>111.1</v>
      </c>
      <c r="I274" s="36">
        <v>278.0</v>
      </c>
      <c r="J274" s="35">
        <v>67.4</v>
      </c>
      <c r="K274" s="36">
        <v>187.0</v>
      </c>
      <c r="L274" s="35">
        <v>-0.056</v>
      </c>
      <c r="M274" s="36">
        <v>309.0</v>
      </c>
      <c r="N274" s="35">
        <v>-4.17</v>
      </c>
      <c r="O274" s="36">
        <v>283.0</v>
      </c>
      <c r="P274" s="31">
        <v>105.4</v>
      </c>
      <c r="Q274" s="36">
        <v>209.0</v>
      </c>
      <c r="R274" s="31">
        <v>109.6</v>
      </c>
      <c r="S274" s="36">
        <v>352.0</v>
      </c>
      <c r="T274" s="35">
        <v>-1.88</v>
      </c>
      <c r="U274" s="36">
        <v>252.0</v>
      </c>
    </row>
    <row r="275">
      <c r="A275" s="26">
        <v>261.0</v>
      </c>
      <c r="B275" s="15" t="s">
        <v>693</v>
      </c>
      <c r="C275" s="16" t="s">
        <v>694</v>
      </c>
      <c r="D275" s="26" t="s">
        <v>393</v>
      </c>
      <c r="E275" s="26">
        <v>-7.33</v>
      </c>
      <c r="F275" s="28">
        <v>97.2</v>
      </c>
      <c r="G275" s="29">
        <v>320.0</v>
      </c>
      <c r="H275" s="26">
        <v>104.6</v>
      </c>
      <c r="I275" s="29">
        <v>143.0</v>
      </c>
      <c r="J275" s="28">
        <v>67.5</v>
      </c>
      <c r="K275" s="29">
        <v>175.0</v>
      </c>
      <c r="L275" s="30">
        <f>+0.068</f>
        <v>0.068</v>
      </c>
      <c r="M275" s="29">
        <v>39.0</v>
      </c>
      <c r="N275" s="28">
        <v>-5.52</v>
      </c>
      <c r="O275" s="29">
        <v>316.0</v>
      </c>
      <c r="P275" s="26">
        <v>101.8</v>
      </c>
      <c r="Q275" s="29">
        <v>335.0</v>
      </c>
      <c r="R275" s="26">
        <v>107.3</v>
      </c>
      <c r="S275" s="29">
        <v>228.0</v>
      </c>
      <c r="T275" s="30">
        <f>+14.75</f>
        <v>14.75</v>
      </c>
      <c r="U275" s="29">
        <v>5.0</v>
      </c>
    </row>
    <row r="276">
      <c r="A276" s="21">
        <v>262.0</v>
      </c>
      <c r="B276" s="15" t="s">
        <v>695</v>
      </c>
      <c r="C276" s="16" t="s">
        <v>696</v>
      </c>
      <c r="D276" s="21" t="s">
        <v>277</v>
      </c>
      <c r="E276" s="21">
        <v>-7.41</v>
      </c>
      <c r="F276" s="23">
        <v>101.0</v>
      </c>
      <c r="G276" s="24">
        <v>270.0</v>
      </c>
      <c r="H276" s="21">
        <v>108.4</v>
      </c>
      <c r="I276" s="24">
        <v>219.0</v>
      </c>
      <c r="J276" s="23">
        <v>67.0</v>
      </c>
      <c r="K276" s="24">
        <v>219.0</v>
      </c>
      <c r="L276" s="25">
        <f>+0.049</f>
        <v>0.049</v>
      </c>
      <c r="M276" s="24">
        <v>68.0</v>
      </c>
      <c r="N276" s="23">
        <v>-10.13</v>
      </c>
      <c r="O276" s="24">
        <v>362.0</v>
      </c>
      <c r="P276" s="21">
        <v>99.4</v>
      </c>
      <c r="Q276" s="24">
        <v>362.0</v>
      </c>
      <c r="R276" s="21">
        <v>109.5</v>
      </c>
      <c r="S276" s="24">
        <v>349.0</v>
      </c>
      <c r="T276" s="23">
        <v>-1.48</v>
      </c>
      <c r="U276" s="24">
        <v>243.0</v>
      </c>
    </row>
    <row r="277">
      <c r="A277" s="26">
        <v>263.0</v>
      </c>
      <c r="B277" s="15" t="s">
        <v>697</v>
      </c>
      <c r="C277" s="16" t="s">
        <v>698</v>
      </c>
      <c r="D277" s="26" t="s">
        <v>306</v>
      </c>
      <c r="E277" s="26">
        <v>-7.43</v>
      </c>
      <c r="F277" s="28">
        <v>99.5</v>
      </c>
      <c r="G277" s="29">
        <v>297.0</v>
      </c>
      <c r="H277" s="26">
        <v>106.9</v>
      </c>
      <c r="I277" s="29">
        <v>187.0</v>
      </c>
      <c r="J277" s="28">
        <v>70.1</v>
      </c>
      <c r="K277" s="29">
        <v>54.0</v>
      </c>
      <c r="L277" s="28">
        <v>-0.073</v>
      </c>
      <c r="M277" s="29">
        <v>332.0</v>
      </c>
      <c r="N277" s="28">
        <v>-6.16</v>
      </c>
      <c r="O277" s="29">
        <v>325.0</v>
      </c>
      <c r="P277" s="26">
        <v>101.6</v>
      </c>
      <c r="Q277" s="29">
        <v>337.0</v>
      </c>
      <c r="R277" s="26">
        <v>107.8</v>
      </c>
      <c r="S277" s="29">
        <v>264.0</v>
      </c>
      <c r="T277" s="30">
        <f>+7.42</f>
        <v>7.42</v>
      </c>
      <c r="U277" s="29">
        <v>28.0</v>
      </c>
    </row>
    <row r="278">
      <c r="A278" s="21">
        <v>264.0</v>
      </c>
      <c r="B278" s="15" t="s">
        <v>699</v>
      </c>
      <c r="C278" s="16" t="s">
        <v>700</v>
      </c>
      <c r="D278" s="39">
        <v>45557.0</v>
      </c>
      <c r="E278" s="21">
        <v>-7.43</v>
      </c>
      <c r="F278" s="23">
        <v>105.9</v>
      </c>
      <c r="G278" s="24">
        <v>181.0</v>
      </c>
      <c r="H278" s="21">
        <v>113.4</v>
      </c>
      <c r="I278" s="24">
        <v>327.0</v>
      </c>
      <c r="J278" s="23">
        <v>61.9</v>
      </c>
      <c r="K278" s="24">
        <v>359.0</v>
      </c>
      <c r="L278" s="23">
        <v>-0.046</v>
      </c>
      <c r="M278" s="24">
        <v>294.0</v>
      </c>
      <c r="N278" s="25">
        <f>+2.83</f>
        <v>2.83</v>
      </c>
      <c r="O278" s="24">
        <v>114.0</v>
      </c>
      <c r="P278" s="21">
        <v>108.0</v>
      </c>
      <c r="Q278" s="24">
        <v>108.0</v>
      </c>
      <c r="R278" s="21">
        <v>105.1</v>
      </c>
      <c r="S278" s="24">
        <v>132.0</v>
      </c>
      <c r="T278" s="23">
        <v>-9.84</v>
      </c>
      <c r="U278" s="24">
        <v>359.0</v>
      </c>
    </row>
    <row r="279">
      <c r="A279" s="26">
        <v>265.0</v>
      </c>
      <c r="B279" s="15" t="s">
        <v>701</v>
      </c>
      <c r="C279" s="16" t="s">
        <v>702</v>
      </c>
      <c r="D279" s="26" t="s">
        <v>703</v>
      </c>
      <c r="E279" s="26">
        <v>-7.57</v>
      </c>
      <c r="F279" s="28">
        <v>105.3</v>
      </c>
      <c r="G279" s="29">
        <v>197.0</v>
      </c>
      <c r="H279" s="26">
        <v>112.9</v>
      </c>
      <c r="I279" s="29">
        <v>319.0</v>
      </c>
      <c r="J279" s="28">
        <v>74.1</v>
      </c>
      <c r="K279" s="29">
        <v>4.0</v>
      </c>
      <c r="L279" s="30">
        <f>+0.019</f>
        <v>0.019</v>
      </c>
      <c r="M279" s="29">
        <v>136.0</v>
      </c>
      <c r="N279" s="28">
        <v>-4.23</v>
      </c>
      <c r="O279" s="29">
        <v>286.0</v>
      </c>
      <c r="P279" s="26">
        <v>105.7</v>
      </c>
      <c r="Q279" s="29">
        <v>195.0</v>
      </c>
      <c r="R279" s="26">
        <v>109.9</v>
      </c>
      <c r="S279" s="29">
        <v>359.0</v>
      </c>
      <c r="T279" s="28">
        <v>-0.49</v>
      </c>
      <c r="U279" s="29">
        <v>208.0</v>
      </c>
    </row>
    <row r="280">
      <c r="A280" s="21">
        <v>266.0</v>
      </c>
      <c r="B280" s="15" t="s">
        <v>704</v>
      </c>
      <c r="C280" s="16" t="s">
        <v>705</v>
      </c>
      <c r="D280" s="21" t="s">
        <v>703</v>
      </c>
      <c r="E280" s="21">
        <v>-7.85</v>
      </c>
      <c r="F280" s="23">
        <v>103.0</v>
      </c>
      <c r="G280" s="24">
        <v>241.0</v>
      </c>
      <c r="H280" s="21">
        <v>110.8</v>
      </c>
      <c r="I280" s="24">
        <v>270.0</v>
      </c>
      <c r="J280" s="23">
        <v>67.0</v>
      </c>
      <c r="K280" s="24">
        <v>220.0</v>
      </c>
      <c r="L280" s="23">
        <v>-0.025</v>
      </c>
      <c r="M280" s="24">
        <v>256.0</v>
      </c>
      <c r="N280" s="23">
        <v>-6.34</v>
      </c>
      <c r="O280" s="24">
        <v>328.0</v>
      </c>
      <c r="P280" s="21">
        <v>102.7</v>
      </c>
      <c r="Q280" s="24">
        <v>311.0</v>
      </c>
      <c r="R280" s="21">
        <v>109.0</v>
      </c>
      <c r="S280" s="24">
        <v>333.0</v>
      </c>
      <c r="T280" s="23">
        <v>-5.61</v>
      </c>
      <c r="U280" s="24">
        <v>328.0</v>
      </c>
    </row>
    <row r="281">
      <c r="A281" s="26">
        <v>267.0</v>
      </c>
      <c r="B281" s="15" t="s">
        <v>706</v>
      </c>
      <c r="C281" s="16" t="s">
        <v>707</v>
      </c>
      <c r="D281" s="26" t="s">
        <v>190</v>
      </c>
      <c r="E281" s="26">
        <v>-7.85</v>
      </c>
      <c r="F281" s="28">
        <v>98.9</v>
      </c>
      <c r="G281" s="29">
        <v>303.0</v>
      </c>
      <c r="H281" s="26">
        <v>106.7</v>
      </c>
      <c r="I281" s="29">
        <v>185.0</v>
      </c>
      <c r="J281" s="28">
        <v>68.1</v>
      </c>
      <c r="K281" s="29">
        <v>144.0</v>
      </c>
      <c r="L281" s="30">
        <f>+0.019</f>
        <v>0.019</v>
      </c>
      <c r="M281" s="29">
        <v>138.0</v>
      </c>
      <c r="N281" s="28">
        <v>-6.45</v>
      </c>
      <c r="O281" s="29">
        <v>332.0</v>
      </c>
      <c r="P281" s="26">
        <v>101.9</v>
      </c>
      <c r="Q281" s="29">
        <v>329.0</v>
      </c>
      <c r="R281" s="26">
        <v>108.4</v>
      </c>
      <c r="S281" s="29">
        <v>292.0</v>
      </c>
      <c r="T281" s="30">
        <f>+11.69</f>
        <v>11.69</v>
      </c>
      <c r="U281" s="29">
        <v>8.0</v>
      </c>
    </row>
    <row r="282">
      <c r="A282" s="21">
        <v>268.0</v>
      </c>
      <c r="B282" s="15" t="s">
        <v>708</v>
      </c>
      <c r="C282" s="16" t="s">
        <v>709</v>
      </c>
      <c r="D282" s="21" t="s">
        <v>479</v>
      </c>
      <c r="E282" s="21">
        <v>-7.96</v>
      </c>
      <c r="F282" s="23">
        <v>107.8</v>
      </c>
      <c r="G282" s="24">
        <v>144.0</v>
      </c>
      <c r="H282" s="21">
        <v>115.8</v>
      </c>
      <c r="I282" s="24">
        <v>351.0</v>
      </c>
      <c r="J282" s="23">
        <v>70.5</v>
      </c>
      <c r="K282" s="24">
        <v>47.0</v>
      </c>
      <c r="L282" s="25">
        <f>+0.018</f>
        <v>0.018</v>
      </c>
      <c r="M282" s="24">
        <v>140.0</v>
      </c>
      <c r="N282" s="23">
        <v>-3.6</v>
      </c>
      <c r="O282" s="24">
        <v>267.0</v>
      </c>
      <c r="P282" s="21">
        <v>105.2</v>
      </c>
      <c r="Q282" s="24">
        <v>221.0</v>
      </c>
      <c r="R282" s="21">
        <v>108.8</v>
      </c>
      <c r="S282" s="24">
        <v>321.0</v>
      </c>
      <c r="T282" s="23">
        <v>-1.61</v>
      </c>
      <c r="U282" s="24">
        <v>246.0</v>
      </c>
    </row>
    <row r="283">
      <c r="A283" s="26">
        <v>269.0</v>
      </c>
      <c r="B283" s="15" t="s">
        <v>710</v>
      </c>
      <c r="C283" s="16" t="s">
        <v>711</v>
      </c>
      <c r="D283" s="26" t="s">
        <v>712</v>
      </c>
      <c r="E283" s="26">
        <v>-7.98</v>
      </c>
      <c r="F283" s="28">
        <v>104.0</v>
      </c>
      <c r="G283" s="29">
        <v>219.0</v>
      </c>
      <c r="H283" s="26">
        <v>112.0</v>
      </c>
      <c r="I283" s="29">
        <v>297.0</v>
      </c>
      <c r="J283" s="28">
        <v>72.8</v>
      </c>
      <c r="K283" s="29">
        <v>10.0</v>
      </c>
      <c r="L283" s="30">
        <f>+0.037</f>
        <v>0.037</v>
      </c>
      <c r="M283" s="29">
        <v>93.0</v>
      </c>
      <c r="N283" s="28">
        <v>-1.57</v>
      </c>
      <c r="O283" s="29">
        <v>207.0</v>
      </c>
      <c r="P283" s="26">
        <v>107.1</v>
      </c>
      <c r="Q283" s="29">
        <v>138.0</v>
      </c>
      <c r="R283" s="26">
        <v>108.6</v>
      </c>
      <c r="S283" s="29">
        <v>313.0</v>
      </c>
      <c r="T283" s="30">
        <f>+5.26</f>
        <v>5.26</v>
      </c>
      <c r="U283" s="29">
        <v>59.0</v>
      </c>
    </row>
    <row r="284">
      <c r="A284" s="31">
        <v>270.0</v>
      </c>
      <c r="B284" s="32" t="s">
        <v>713</v>
      </c>
      <c r="C284" s="33" t="s">
        <v>714</v>
      </c>
      <c r="D284" s="31" t="s">
        <v>377</v>
      </c>
      <c r="E284" s="31">
        <v>-8.03</v>
      </c>
      <c r="F284" s="35">
        <v>97.9</v>
      </c>
      <c r="G284" s="36">
        <v>314.0</v>
      </c>
      <c r="H284" s="31">
        <v>105.9</v>
      </c>
      <c r="I284" s="36">
        <v>168.0</v>
      </c>
      <c r="J284" s="35">
        <v>64.8</v>
      </c>
      <c r="K284" s="36">
        <v>325.0</v>
      </c>
      <c r="L284" s="37">
        <f>+0.121</f>
        <v>0.121</v>
      </c>
      <c r="M284" s="36">
        <v>10.0</v>
      </c>
      <c r="N284" s="35">
        <v>-7.26</v>
      </c>
      <c r="O284" s="36">
        <v>343.0</v>
      </c>
      <c r="P284" s="31">
        <v>102.1</v>
      </c>
      <c r="Q284" s="36">
        <v>321.0</v>
      </c>
      <c r="R284" s="31">
        <v>109.4</v>
      </c>
      <c r="S284" s="36">
        <v>346.0</v>
      </c>
      <c r="T284" s="37">
        <f>+1.41</f>
        <v>1.41</v>
      </c>
      <c r="U284" s="36">
        <v>148.0</v>
      </c>
    </row>
    <row r="285">
      <c r="A285" s="26">
        <v>271.0</v>
      </c>
      <c r="B285" s="15" t="s">
        <v>715</v>
      </c>
      <c r="C285" s="16" t="s">
        <v>716</v>
      </c>
      <c r="D285" s="26" t="s">
        <v>712</v>
      </c>
      <c r="E285" s="26">
        <v>-8.04</v>
      </c>
      <c r="F285" s="28">
        <v>103.1</v>
      </c>
      <c r="G285" s="29">
        <v>237.0</v>
      </c>
      <c r="H285" s="26">
        <v>111.2</v>
      </c>
      <c r="I285" s="29">
        <v>282.0</v>
      </c>
      <c r="J285" s="28">
        <v>67.5</v>
      </c>
      <c r="K285" s="29">
        <v>185.0</v>
      </c>
      <c r="L285" s="28">
        <v>-0.031</v>
      </c>
      <c r="M285" s="29">
        <v>267.0</v>
      </c>
      <c r="N285" s="28">
        <v>-4.29</v>
      </c>
      <c r="O285" s="29">
        <v>289.0</v>
      </c>
      <c r="P285" s="26">
        <v>104.3</v>
      </c>
      <c r="Q285" s="29">
        <v>265.0</v>
      </c>
      <c r="R285" s="26">
        <v>108.6</v>
      </c>
      <c r="S285" s="29">
        <v>311.0</v>
      </c>
      <c r="T285" s="28">
        <v>-7.22</v>
      </c>
      <c r="U285" s="29">
        <v>350.0</v>
      </c>
    </row>
    <row r="286">
      <c r="A286" s="21">
        <v>272.0</v>
      </c>
      <c r="B286" s="15" t="s">
        <v>717</v>
      </c>
      <c r="C286" s="16" t="s">
        <v>718</v>
      </c>
      <c r="D286" s="21" t="s">
        <v>460</v>
      </c>
      <c r="E286" s="21">
        <v>-8.15</v>
      </c>
      <c r="F286" s="23">
        <v>103.3</v>
      </c>
      <c r="G286" s="24">
        <v>235.0</v>
      </c>
      <c r="H286" s="21">
        <v>111.4</v>
      </c>
      <c r="I286" s="24">
        <v>286.0</v>
      </c>
      <c r="J286" s="23">
        <v>67.4</v>
      </c>
      <c r="K286" s="24">
        <v>190.0</v>
      </c>
      <c r="L286" s="25">
        <f>+0.021</f>
        <v>0.021</v>
      </c>
      <c r="M286" s="24">
        <v>132.0</v>
      </c>
      <c r="N286" s="23">
        <v>-6.28</v>
      </c>
      <c r="O286" s="24">
        <v>326.0</v>
      </c>
      <c r="P286" s="21">
        <v>101.1</v>
      </c>
      <c r="Q286" s="24">
        <v>343.0</v>
      </c>
      <c r="R286" s="21">
        <v>107.3</v>
      </c>
      <c r="S286" s="24">
        <v>232.0</v>
      </c>
      <c r="T286" s="23">
        <v>-3.99</v>
      </c>
      <c r="U286" s="24">
        <v>292.0</v>
      </c>
    </row>
    <row r="287">
      <c r="A287" s="26">
        <v>273.0</v>
      </c>
      <c r="B287" s="15" t="s">
        <v>719</v>
      </c>
      <c r="C287" s="16" t="s">
        <v>720</v>
      </c>
      <c r="D287" s="26" t="s">
        <v>190</v>
      </c>
      <c r="E287" s="26">
        <v>-8.28</v>
      </c>
      <c r="F287" s="28">
        <v>101.1</v>
      </c>
      <c r="G287" s="29">
        <v>269.0</v>
      </c>
      <c r="H287" s="26">
        <v>109.3</v>
      </c>
      <c r="I287" s="29">
        <v>242.0</v>
      </c>
      <c r="J287" s="28">
        <v>65.6</v>
      </c>
      <c r="K287" s="29">
        <v>293.0</v>
      </c>
      <c r="L287" s="30">
        <f>+0.043</f>
        <v>0.043</v>
      </c>
      <c r="M287" s="29">
        <v>83.0</v>
      </c>
      <c r="N287" s="28">
        <v>-3.86</v>
      </c>
      <c r="O287" s="29">
        <v>276.0</v>
      </c>
      <c r="P287" s="26">
        <v>106.3</v>
      </c>
      <c r="Q287" s="29">
        <v>167.0</v>
      </c>
      <c r="R287" s="26">
        <v>110.2</v>
      </c>
      <c r="S287" s="29">
        <v>361.0</v>
      </c>
      <c r="T287" s="30">
        <f>+0.17</f>
        <v>0.17</v>
      </c>
      <c r="U287" s="29">
        <v>190.0</v>
      </c>
    </row>
    <row r="288">
      <c r="A288" s="21">
        <v>274.0</v>
      </c>
      <c r="B288" s="15" t="s">
        <v>721</v>
      </c>
      <c r="C288" s="16" t="s">
        <v>722</v>
      </c>
      <c r="D288" s="39">
        <v>45617.0</v>
      </c>
      <c r="E288" s="21">
        <v>-8.34</v>
      </c>
      <c r="F288" s="23">
        <v>105.0</v>
      </c>
      <c r="G288" s="24">
        <v>201.0</v>
      </c>
      <c r="H288" s="21">
        <v>113.4</v>
      </c>
      <c r="I288" s="24">
        <v>325.0</v>
      </c>
      <c r="J288" s="23">
        <v>73.2</v>
      </c>
      <c r="K288" s="24">
        <v>5.0</v>
      </c>
      <c r="L288" s="23">
        <v>-0.079</v>
      </c>
      <c r="M288" s="24">
        <v>336.0</v>
      </c>
      <c r="N288" s="23">
        <v>-4.85</v>
      </c>
      <c r="O288" s="24">
        <v>299.0</v>
      </c>
      <c r="P288" s="21">
        <v>101.9</v>
      </c>
      <c r="Q288" s="24">
        <v>330.0</v>
      </c>
      <c r="R288" s="21">
        <v>106.8</v>
      </c>
      <c r="S288" s="24">
        <v>201.0</v>
      </c>
      <c r="T288" s="23">
        <v>-7.12</v>
      </c>
      <c r="U288" s="24">
        <v>348.0</v>
      </c>
    </row>
    <row r="289">
      <c r="A289" s="26">
        <v>275.0</v>
      </c>
      <c r="B289" s="15" t="s">
        <v>723</v>
      </c>
      <c r="C289" s="16" t="s">
        <v>724</v>
      </c>
      <c r="D289" s="26" t="s">
        <v>725</v>
      </c>
      <c r="E289" s="26">
        <v>-8.38</v>
      </c>
      <c r="F289" s="28">
        <v>105.6</v>
      </c>
      <c r="G289" s="29">
        <v>190.0</v>
      </c>
      <c r="H289" s="26">
        <v>113.9</v>
      </c>
      <c r="I289" s="29">
        <v>334.0</v>
      </c>
      <c r="J289" s="28">
        <v>67.8</v>
      </c>
      <c r="K289" s="29">
        <v>159.0</v>
      </c>
      <c r="L289" s="30">
        <f>+0.011</f>
        <v>0.011</v>
      </c>
      <c r="M289" s="29">
        <v>156.0</v>
      </c>
      <c r="N289" s="28">
        <v>-7.02</v>
      </c>
      <c r="O289" s="29">
        <v>340.0</v>
      </c>
      <c r="P289" s="26">
        <v>100.6</v>
      </c>
      <c r="Q289" s="29">
        <v>349.0</v>
      </c>
      <c r="R289" s="26">
        <v>107.6</v>
      </c>
      <c r="S289" s="29">
        <v>253.0</v>
      </c>
      <c r="T289" s="28">
        <v>-0.13</v>
      </c>
      <c r="U289" s="29">
        <v>202.0</v>
      </c>
    </row>
    <row r="290">
      <c r="A290" s="21">
        <v>276.0</v>
      </c>
      <c r="B290" s="15" t="s">
        <v>726</v>
      </c>
      <c r="C290" s="16" t="s">
        <v>727</v>
      </c>
      <c r="D290" s="21" t="s">
        <v>712</v>
      </c>
      <c r="E290" s="21">
        <v>-8.46</v>
      </c>
      <c r="F290" s="23">
        <v>100.2</v>
      </c>
      <c r="G290" s="24">
        <v>282.0</v>
      </c>
      <c r="H290" s="21">
        <v>108.7</v>
      </c>
      <c r="I290" s="24">
        <v>225.0</v>
      </c>
      <c r="J290" s="23">
        <v>64.9</v>
      </c>
      <c r="K290" s="24">
        <v>318.0</v>
      </c>
      <c r="L290" s="23">
        <v>-0.023</v>
      </c>
      <c r="M290" s="24">
        <v>252.0</v>
      </c>
      <c r="N290" s="23">
        <v>-5.98</v>
      </c>
      <c r="O290" s="24">
        <v>323.0</v>
      </c>
      <c r="P290" s="21">
        <v>102.0</v>
      </c>
      <c r="Q290" s="24">
        <v>326.0</v>
      </c>
      <c r="R290" s="21">
        <v>108.0</v>
      </c>
      <c r="S290" s="24">
        <v>275.0</v>
      </c>
      <c r="T290" s="25">
        <f>+1.92</f>
        <v>1.92</v>
      </c>
      <c r="U290" s="24">
        <v>132.0</v>
      </c>
    </row>
    <row r="291">
      <c r="A291" s="26">
        <v>277.0</v>
      </c>
      <c r="B291" s="15" t="s">
        <v>728</v>
      </c>
      <c r="C291" s="16" t="s">
        <v>729</v>
      </c>
      <c r="D291" s="26" t="s">
        <v>393</v>
      </c>
      <c r="E291" s="26">
        <v>-8.46</v>
      </c>
      <c r="F291" s="28">
        <v>96.6</v>
      </c>
      <c r="G291" s="29">
        <v>328.0</v>
      </c>
      <c r="H291" s="26">
        <v>105.0</v>
      </c>
      <c r="I291" s="29">
        <v>149.0</v>
      </c>
      <c r="J291" s="28">
        <v>65.1</v>
      </c>
      <c r="K291" s="29">
        <v>312.0</v>
      </c>
      <c r="L291" s="30">
        <f>+0.148</f>
        <v>0.148</v>
      </c>
      <c r="M291" s="29">
        <v>1.0</v>
      </c>
      <c r="N291" s="28">
        <v>-3.62</v>
      </c>
      <c r="O291" s="29">
        <v>270.0</v>
      </c>
      <c r="P291" s="26">
        <v>104.2</v>
      </c>
      <c r="Q291" s="29">
        <v>271.0</v>
      </c>
      <c r="R291" s="26">
        <v>107.8</v>
      </c>
      <c r="S291" s="29">
        <v>267.0</v>
      </c>
      <c r="T291" s="30">
        <f>+3.06</f>
        <v>3.06</v>
      </c>
      <c r="U291" s="29">
        <v>102.0</v>
      </c>
    </row>
    <row r="292">
      <c r="A292" s="21">
        <v>278.0</v>
      </c>
      <c r="B292" s="15" t="s">
        <v>730</v>
      </c>
      <c r="C292" s="16" t="s">
        <v>731</v>
      </c>
      <c r="D292" s="21" t="s">
        <v>306</v>
      </c>
      <c r="E292" s="21">
        <v>-8.54</v>
      </c>
      <c r="F292" s="23">
        <v>100.1</v>
      </c>
      <c r="G292" s="24">
        <v>284.0</v>
      </c>
      <c r="H292" s="21">
        <v>108.7</v>
      </c>
      <c r="I292" s="24">
        <v>226.0</v>
      </c>
      <c r="J292" s="23">
        <v>66.9</v>
      </c>
      <c r="K292" s="24">
        <v>224.0</v>
      </c>
      <c r="L292" s="25">
        <f>+0.026</f>
        <v>0.026</v>
      </c>
      <c r="M292" s="24">
        <v>118.0</v>
      </c>
      <c r="N292" s="23">
        <v>-3.1</v>
      </c>
      <c r="O292" s="24">
        <v>249.0</v>
      </c>
      <c r="P292" s="21">
        <v>103.8</v>
      </c>
      <c r="Q292" s="24">
        <v>287.0</v>
      </c>
      <c r="R292" s="21">
        <v>106.9</v>
      </c>
      <c r="S292" s="24">
        <v>212.0</v>
      </c>
      <c r="T292" s="25">
        <f>+5.19</f>
        <v>5.19</v>
      </c>
      <c r="U292" s="24">
        <v>63.0</v>
      </c>
    </row>
    <row r="293">
      <c r="A293" s="26">
        <v>279.0</v>
      </c>
      <c r="B293" s="15" t="s">
        <v>732</v>
      </c>
      <c r="C293" s="16" t="s">
        <v>733</v>
      </c>
      <c r="D293" s="26" t="s">
        <v>286</v>
      </c>
      <c r="E293" s="26">
        <v>-8.54</v>
      </c>
      <c r="F293" s="28">
        <v>104.0</v>
      </c>
      <c r="G293" s="29">
        <v>220.0</v>
      </c>
      <c r="H293" s="26">
        <v>112.5</v>
      </c>
      <c r="I293" s="29">
        <v>311.0</v>
      </c>
      <c r="J293" s="28">
        <v>65.7</v>
      </c>
      <c r="K293" s="29">
        <v>284.0</v>
      </c>
      <c r="L293" s="30">
        <f>+0.076</f>
        <v>0.076</v>
      </c>
      <c r="M293" s="29">
        <v>30.0</v>
      </c>
      <c r="N293" s="28">
        <v>-1.73</v>
      </c>
      <c r="O293" s="29">
        <v>214.0</v>
      </c>
      <c r="P293" s="26">
        <v>106.9</v>
      </c>
      <c r="Q293" s="29">
        <v>144.0</v>
      </c>
      <c r="R293" s="26">
        <v>108.6</v>
      </c>
      <c r="S293" s="29">
        <v>312.0</v>
      </c>
      <c r="T293" s="30">
        <f>+2.72</f>
        <v>2.72</v>
      </c>
      <c r="U293" s="29">
        <v>113.0</v>
      </c>
    </row>
    <row r="294">
      <c r="A294" s="31">
        <v>280.0</v>
      </c>
      <c r="B294" s="32" t="s">
        <v>734</v>
      </c>
      <c r="C294" s="33" t="s">
        <v>735</v>
      </c>
      <c r="D294" s="40">
        <v>45559.0</v>
      </c>
      <c r="E294" s="31">
        <v>-8.63</v>
      </c>
      <c r="F294" s="35">
        <v>104.8</v>
      </c>
      <c r="G294" s="36">
        <v>206.0</v>
      </c>
      <c r="H294" s="31">
        <v>113.4</v>
      </c>
      <c r="I294" s="36">
        <v>329.0</v>
      </c>
      <c r="J294" s="35">
        <v>69.0</v>
      </c>
      <c r="K294" s="36">
        <v>93.0</v>
      </c>
      <c r="L294" s="35">
        <v>-0.048</v>
      </c>
      <c r="M294" s="36">
        <v>297.0</v>
      </c>
      <c r="N294" s="35">
        <v>-1.08</v>
      </c>
      <c r="O294" s="36">
        <v>196.0</v>
      </c>
      <c r="P294" s="31">
        <v>105.4</v>
      </c>
      <c r="Q294" s="36">
        <v>211.0</v>
      </c>
      <c r="R294" s="31">
        <v>106.4</v>
      </c>
      <c r="S294" s="36">
        <v>180.0</v>
      </c>
      <c r="T294" s="35">
        <v>-0.88</v>
      </c>
      <c r="U294" s="36">
        <v>222.0</v>
      </c>
    </row>
    <row r="295">
      <c r="A295" s="1"/>
      <c r="B295" s="1"/>
      <c r="C295" s="1"/>
      <c r="D295" s="2"/>
      <c r="E295" s="2"/>
      <c r="F295" s="3"/>
      <c r="J295" s="3"/>
      <c r="L295" s="3"/>
      <c r="N295" s="4" t="s">
        <v>0</v>
      </c>
      <c r="T295" s="4" t="s">
        <v>1</v>
      </c>
    </row>
    <row r="296">
      <c r="A296" s="5" t="s">
        <v>736</v>
      </c>
      <c r="B296" s="6" t="s">
        <v>737</v>
      </c>
      <c r="C296" s="7" t="s">
        <v>4</v>
      </c>
      <c r="D296" s="5" t="s">
        <v>738</v>
      </c>
      <c r="E296" s="5" t="s">
        <v>739</v>
      </c>
      <c r="F296" s="10" t="s">
        <v>740</v>
      </c>
      <c r="H296" s="5" t="s">
        <v>741</v>
      </c>
      <c r="I296" s="2"/>
      <c r="J296" s="10" t="s">
        <v>742</v>
      </c>
      <c r="L296" s="10" t="s">
        <v>743</v>
      </c>
      <c r="N296" s="10" t="s">
        <v>744</v>
      </c>
      <c r="P296" s="5" t="s">
        <v>745</v>
      </c>
      <c r="Q296" s="2"/>
      <c r="R296" s="5" t="s">
        <v>746</v>
      </c>
      <c r="S296" s="2"/>
      <c r="T296" s="10" t="s">
        <v>747</v>
      </c>
    </row>
    <row r="297">
      <c r="A297" s="26">
        <v>281.0</v>
      </c>
      <c r="B297" s="15" t="s">
        <v>748</v>
      </c>
      <c r="C297" s="16" t="s">
        <v>749</v>
      </c>
      <c r="D297" s="38">
        <v>45616.0</v>
      </c>
      <c r="E297" s="26">
        <v>-8.81</v>
      </c>
      <c r="F297" s="28">
        <v>99.9</v>
      </c>
      <c r="G297" s="29">
        <v>293.0</v>
      </c>
      <c r="H297" s="26">
        <v>108.7</v>
      </c>
      <c r="I297" s="29">
        <v>227.0</v>
      </c>
      <c r="J297" s="28">
        <v>70.4</v>
      </c>
      <c r="K297" s="29">
        <v>48.0</v>
      </c>
      <c r="L297" s="30">
        <f>+0.042</f>
        <v>0.042</v>
      </c>
      <c r="M297" s="29">
        <v>87.0</v>
      </c>
      <c r="N297" s="30">
        <f>+0.67</f>
        <v>0.67</v>
      </c>
      <c r="O297" s="29">
        <v>145.0</v>
      </c>
      <c r="P297" s="26">
        <v>105.3</v>
      </c>
      <c r="Q297" s="29">
        <v>215.0</v>
      </c>
      <c r="R297" s="26">
        <v>104.6</v>
      </c>
      <c r="S297" s="29">
        <v>118.0</v>
      </c>
      <c r="T297" s="30">
        <f>+0.5</f>
        <v>0.5</v>
      </c>
      <c r="U297" s="29">
        <v>176.0</v>
      </c>
    </row>
    <row r="298">
      <c r="A298" s="21">
        <v>282.0</v>
      </c>
      <c r="B298" s="15" t="s">
        <v>750</v>
      </c>
      <c r="C298" s="16" t="s">
        <v>751</v>
      </c>
      <c r="D298" s="21" t="s">
        <v>712</v>
      </c>
      <c r="E298" s="21">
        <v>-8.82</v>
      </c>
      <c r="F298" s="23">
        <v>98.1</v>
      </c>
      <c r="G298" s="24">
        <v>311.0</v>
      </c>
      <c r="H298" s="21">
        <v>106.9</v>
      </c>
      <c r="I298" s="24">
        <v>186.0</v>
      </c>
      <c r="J298" s="23">
        <v>65.6</v>
      </c>
      <c r="K298" s="24">
        <v>297.0</v>
      </c>
      <c r="L298" s="25">
        <f>+0.072</f>
        <v>0.072</v>
      </c>
      <c r="M298" s="24">
        <v>33.0</v>
      </c>
      <c r="N298" s="25">
        <f>+0.41</f>
        <v>0.41</v>
      </c>
      <c r="O298" s="24">
        <v>153.0</v>
      </c>
      <c r="P298" s="21">
        <v>105.2</v>
      </c>
      <c r="Q298" s="24">
        <v>222.0</v>
      </c>
      <c r="R298" s="21">
        <v>104.8</v>
      </c>
      <c r="S298" s="24">
        <v>122.0</v>
      </c>
      <c r="T298" s="25">
        <f>+0.31</f>
        <v>0.31</v>
      </c>
      <c r="U298" s="24">
        <v>183.0</v>
      </c>
    </row>
    <row r="299">
      <c r="A299" s="26">
        <v>283.0</v>
      </c>
      <c r="B299" s="15" t="s">
        <v>752</v>
      </c>
      <c r="C299" s="16" t="s">
        <v>753</v>
      </c>
      <c r="D299" s="38">
        <v>45645.0</v>
      </c>
      <c r="E299" s="26">
        <v>-8.86</v>
      </c>
      <c r="F299" s="28">
        <v>103.4</v>
      </c>
      <c r="G299" s="29">
        <v>231.0</v>
      </c>
      <c r="H299" s="26">
        <v>112.2</v>
      </c>
      <c r="I299" s="29">
        <v>304.0</v>
      </c>
      <c r="J299" s="28">
        <v>67.7</v>
      </c>
      <c r="K299" s="29">
        <v>162.0</v>
      </c>
      <c r="L299" s="28">
        <v>0.0</v>
      </c>
      <c r="M299" s="29">
        <v>183.0</v>
      </c>
      <c r="N299" s="28">
        <v>-1.04</v>
      </c>
      <c r="O299" s="29">
        <v>192.0</v>
      </c>
      <c r="P299" s="26">
        <v>106.7</v>
      </c>
      <c r="Q299" s="29">
        <v>152.0</v>
      </c>
      <c r="R299" s="26">
        <v>107.7</v>
      </c>
      <c r="S299" s="29">
        <v>263.0</v>
      </c>
      <c r="T299" s="30">
        <f>+6.91</f>
        <v>6.91</v>
      </c>
      <c r="U299" s="29">
        <v>37.0</v>
      </c>
    </row>
    <row r="300">
      <c r="A300" s="21">
        <v>284.0</v>
      </c>
      <c r="B300" s="15" t="s">
        <v>754</v>
      </c>
      <c r="C300" s="16" t="s">
        <v>755</v>
      </c>
      <c r="D300" s="21" t="s">
        <v>756</v>
      </c>
      <c r="E300" s="21">
        <v>-8.98</v>
      </c>
      <c r="F300" s="23">
        <v>102.5</v>
      </c>
      <c r="G300" s="24">
        <v>245.0</v>
      </c>
      <c r="H300" s="21">
        <v>111.5</v>
      </c>
      <c r="I300" s="24">
        <v>289.0</v>
      </c>
      <c r="J300" s="23">
        <v>66.3</v>
      </c>
      <c r="K300" s="24">
        <v>257.0</v>
      </c>
      <c r="L300" s="25">
        <f>+0.07</f>
        <v>0.07</v>
      </c>
      <c r="M300" s="24">
        <v>37.0</v>
      </c>
      <c r="N300" s="23">
        <v>-3.78</v>
      </c>
      <c r="O300" s="24">
        <v>274.0</v>
      </c>
      <c r="P300" s="21">
        <v>102.8</v>
      </c>
      <c r="Q300" s="24">
        <v>308.0</v>
      </c>
      <c r="R300" s="21">
        <v>106.5</v>
      </c>
      <c r="S300" s="24">
        <v>187.0</v>
      </c>
      <c r="T300" s="23">
        <v>-4.03</v>
      </c>
      <c r="U300" s="24">
        <v>294.0</v>
      </c>
    </row>
    <row r="301">
      <c r="A301" s="26">
        <v>285.0</v>
      </c>
      <c r="B301" s="15" t="s">
        <v>757</v>
      </c>
      <c r="C301" s="16" t="s">
        <v>758</v>
      </c>
      <c r="D301" s="38">
        <v>45618.0</v>
      </c>
      <c r="E301" s="26">
        <v>-9.1</v>
      </c>
      <c r="F301" s="28">
        <v>101.6</v>
      </c>
      <c r="G301" s="29">
        <v>260.0</v>
      </c>
      <c r="H301" s="26">
        <v>110.7</v>
      </c>
      <c r="I301" s="29">
        <v>263.0</v>
      </c>
      <c r="J301" s="28">
        <v>70.3</v>
      </c>
      <c r="K301" s="29">
        <v>50.0</v>
      </c>
      <c r="L301" s="28">
        <v>-0.01</v>
      </c>
      <c r="M301" s="29">
        <v>211.0</v>
      </c>
      <c r="N301" s="28">
        <v>-1.27</v>
      </c>
      <c r="O301" s="29">
        <v>199.0</v>
      </c>
      <c r="P301" s="26">
        <v>104.2</v>
      </c>
      <c r="Q301" s="29">
        <v>268.0</v>
      </c>
      <c r="R301" s="26">
        <v>105.5</v>
      </c>
      <c r="S301" s="29">
        <v>144.0</v>
      </c>
      <c r="T301" s="28">
        <v>-3.01</v>
      </c>
      <c r="U301" s="29">
        <v>272.0</v>
      </c>
    </row>
    <row r="302">
      <c r="A302" s="21">
        <v>286.0</v>
      </c>
      <c r="B302" s="15" t="s">
        <v>759</v>
      </c>
      <c r="C302" s="16" t="s">
        <v>760</v>
      </c>
      <c r="D302" s="21" t="s">
        <v>201</v>
      </c>
      <c r="E302" s="21">
        <v>-9.69</v>
      </c>
      <c r="F302" s="23">
        <v>101.3</v>
      </c>
      <c r="G302" s="24">
        <v>264.0</v>
      </c>
      <c r="H302" s="21">
        <v>111.0</v>
      </c>
      <c r="I302" s="24">
        <v>273.0</v>
      </c>
      <c r="J302" s="23">
        <v>67.2</v>
      </c>
      <c r="K302" s="24">
        <v>200.0</v>
      </c>
      <c r="L302" s="25">
        <f>+0.015</f>
        <v>0.015</v>
      </c>
      <c r="M302" s="24">
        <v>149.0</v>
      </c>
      <c r="N302" s="23">
        <v>-6.87</v>
      </c>
      <c r="O302" s="24">
        <v>337.0</v>
      </c>
      <c r="P302" s="21">
        <v>102.0</v>
      </c>
      <c r="Q302" s="24">
        <v>327.0</v>
      </c>
      <c r="R302" s="21">
        <v>108.8</v>
      </c>
      <c r="S302" s="24">
        <v>323.0</v>
      </c>
      <c r="T302" s="25">
        <f>+0.9</f>
        <v>0.9</v>
      </c>
      <c r="U302" s="24">
        <v>164.0</v>
      </c>
    </row>
    <row r="303">
      <c r="A303" s="26">
        <v>287.0</v>
      </c>
      <c r="B303" s="15" t="s">
        <v>761</v>
      </c>
      <c r="C303" s="16" t="s">
        <v>762</v>
      </c>
      <c r="D303" s="38">
        <v>45498.0</v>
      </c>
      <c r="E303" s="26">
        <v>-9.89</v>
      </c>
      <c r="F303" s="28">
        <v>99.0</v>
      </c>
      <c r="G303" s="29">
        <v>302.0</v>
      </c>
      <c r="H303" s="26">
        <v>108.9</v>
      </c>
      <c r="I303" s="29">
        <v>233.0</v>
      </c>
      <c r="J303" s="28">
        <v>70.1</v>
      </c>
      <c r="K303" s="29">
        <v>55.0</v>
      </c>
      <c r="L303" s="28">
        <v>-0.086</v>
      </c>
      <c r="M303" s="29">
        <v>345.0</v>
      </c>
      <c r="N303" s="28">
        <v>-0.18</v>
      </c>
      <c r="O303" s="29">
        <v>170.0</v>
      </c>
      <c r="P303" s="26">
        <v>106.3</v>
      </c>
      <c r="Q303" s="29">
        <v>171.0</v>
      </c>
      <c r="R303" s="26">
        <v>106.5</v>
      </c>
      <c r="S303" s="29">
        <v>181.0</v>
      </c>
      <c r="T303" s="30">
        <f>+1.58</f>
        <v>1.58</v>
      </c>
      <c r="U303" s="29">
        <v>141.0</v>
      </c>
    </row>
    <row r="304">
      <c r="A304" s="21">
        <v>288.0</v>
      </c>
      <c r="B304" s="15" t="s">
        <v>763</v>
      </c>
      <c r="C304" s="16" t="s">
        <v>764</v>
      </c>
      <c r="D304" s="39">
        <v>45585.0</v>
      </c>
      <c r="E304" s="21">
        <v>-9.95</v>
      </c>
      <c r="F304" s="23">
        <v>100.0</v>
      </c>
      <c r="G304" s="24">
        <v>291.0</v>
      </c>
      <c r="H304" s="21">
        <v>110.0</v>
      </c>
      <c r="I304" s="24">
        <v>250.0</v>
      </c>
      <c r="J304" s="23">
        <v>67.2</v>
      </c>
      <c r="K304" s="24">
        <v>203.0</v>
      </c>
      <c r="L304" s="25">
        <f>+0.02</f>
        <v>0.02</v>
      </c>
      <c r="M304" s="24">
        <v>135.0</v>
      </c>
      <c r="N304" s="23">
        <v>-0.73</v>
      </c>
      <c r="O304" s="24">
        <v>189.0</v>
      </c>
      <c r="P304" s="21">
        <v>106.7</v>
      </c>
      <c r="Q304" s="24">
        <v>149.0</v>
      </c>
      <c r="R304" s="21">
        <v>107.5</v>
      </c>
      <c r="S304" s="24">
        <v>241.0</v>
      </c>
      <c r="T304" s="25">
        <f>+2.72</f>
        <v>2.72</v>
      </c>
      <c r="U304" s="24">
        <v>111.0</v>
      </c>
    </row>
    <row r="305">
      <c r="A305" s="26">
        <v>289.0</v>
      </c>
      <c r="B305" s="15" t="s">
        <v>765</v>
      </c>
      <c r="C305" s="16" t="s">
        <v>766</v>
      </c>
      <c r="D305" s="26" t="s">
        <v>430</v>
      </c>
      <c r="E305" s="26">
        <v>-9.98</v>
      </c>
      <c r="F305" s="28">
        <v>95.8</v>
      </c>
      <c r="G305" s="29">
        <v>335.0</v>
      </c>
      <c r="H305" s="26">
        <v>105.8</v>
      </c>
      <c r="I305" s="29">
        <v>166.0</v>
      </c>
      <c r="J305" s="28">
        <v>68.9</v>
      </c>
      <c r="K305" s="29">
        <v>101.0</v>
      </c>
      <c r="L305" s="28">
        <v>-0.01</v>
      </c>
      <c r="M305" s="29">
        <v>213.0</v>
      </c>
      <c r="N305" s="28">
        <v>-6.61</v>
      </c>
      <c r="O305" s="29">
        <v>335.0</v>
      </c>
      <c r="P305" s="26">
        <v>102.0</v>
      </c>
      <c r="Q305" s="29">
        <v>328.0</v>
      </c>
      <c r="R305" s="26">
        <v>108.6</v>
      </c>
      <c r="S305" s="29">
        <v>309.0</v>
      </c>
      <c r="T305" s="28">
        <v>-0.79</v>
      </c>
      <c r="U305" s="29">
        <v>218.0</v>
      </c>
    </row>
    <row r="306">
      <c r="A306" s="31">
        <v>290.0</v>
      </c>
      <c r="B306" s="32" t="s">
        <v>767</v>
      </c>
      <c r="C306" s="33" t="s">
        <v>768</v>
      </c>
      <c r="D306" s="31" t="s">
        <v>357</v>
      </c>
      <c r="E306" s="31">
        <v>-9.98</v>
      </c>
      <c r="F306" s="35">
        <v>99.4</v>
      </c>
      <c r="G306" s="36">
        <v>299.0</v>
      </c>
      <c r="H306" s="31">
        <v>109.3</v>
      </c>
      <c r="I306" s="36">
        <v>241.0</v>
      </c>
      <c r="J306" s="35">
        <v>66.3</v>
      </c>
      <c r="K306" s="36">
        <v>263.0</v>
      </c>
      <c r="L306" s="37">
        <f>+0.065</f>
        <v>0.065</v>
      </c>
      <c r="M306" s="36">
        <v>46.0</v>
      </c>
      <c r="N306" s="37">
        <f>+2.53</f>
        <v>2.53</v>
      </c>
      <c r="O306" s="36">
        <v>122.0</v>
      </c>
      <c r="P306" s="31">
        <v>106.2</v>
      </c>
      <c r="Q306" s="36">
        <v>175.0</v>
      </c>
      <c r="R306" s="31">
        <v>103.6</v>
      </c>
      <c r="S306" s="36">
        <v>91.0</v>
      </c>
      <c r="T306" s="37">
        <f>+6.67</f>
        <v>6.67</v>
      </c>
      <c r="U306" s="36">
        <v>39.0</v>
      </c>
    </row>
    <row r="307">
      <c r="A307" s="26">
        <v>291.0</v>
      </c>
      <c r="B307" s="15" t="s">
        <v>769</v>
      </c>
      <c r="C307" s="16" t="s">
        <v>770</v>
      </c>
      <c r="D307" s="26" t="s">
        <v>187</v>
      </c>
      <c r="E307" s="26">
        <v>-10.0</v>
      </c>
      <c r="F307" s="28">
        <v>98.9</v>
      </c>
      <c r="G307" s="29">
        <v>304.0</v>
      </c>
      <c r="H307" s="26">
        <v>108.9</v>
      </c>
      <c r="I307" s="29">
        <v>232.0</v>
      </c>
      <c r="J307" s="28">
        <v>68.5</v>
      </c>
      <c r="K307" s="29">
        <v>127.0</v>
      </c>
      <c r="L307" s="30">
        <f>+0.036</f>
        <v>0.036</v>
      </c>
      <c r="M307" s="29">
        <v>96.0</v>
      </c>
      <c r="N307" s="28">
        <v>-6.95</v>
      </c>
      <c r="O307" s="29">
        <v>338.0</v>
      </c>
      <c r="P307" s="26">
        <v>102.2</v>
      </c>
      <c r="Q307" s="29">
        <v>319.0</v>
      </c>
      <c r="R307" s="26">
        <v>109.2</v>
      </c>
      <c r="S307" s="29">
        <v>337.0</v>
      </c>
      <c r="T307" s="30">
        <f>+1.2</f>
        <v>1.2</v>
      </c>
      <c r="U307" s="29">
        <v>153.0</v>
      </c>
    </row>
    <row r="308">
      <c r="A308" s="21">
        <v>292.0</v>
      </c>
      <c r="B308" s="15" t="s">
        <v>771</v>
      </c>
      <c r="C308" s="16" t="s">
        <v>772</v>
      </c>
      <c r="D308" s="21" t="s">
        <v>201</v>
      </c>
      <c r="E308" s="21">
        <v>-10.0</v>
      </c>
      <c r="F308" s="23">
        <v>96.4</v>
      </c>
      <c r="G308" s="24">
        <v>330.0</v>
      </c>
      <c r="H308" s="21">
        <v>106.4</v>
      </c>
      <c r="I308" s="24">
        <v>177.0</v>
      </c>
      <c r="J308" s="23">
        <v>61.6</v>
      </c>
      <c r="K308" s="24">
        <v>361.0</v>
      </c>
      <c r="L308" s="25">
        <f>+0.043</f>
        <v>0.043</v>
      </c>
      <c r="M308" s="24">
        <v>82.0</v>
      </c>
      <c r="N308" s="23">
        <v>-7.47</v>
      </c>
      <c r="O308" s="24">
        <v>346.0</v>
      </c>
      <c r="P308" s="21">
        <v>100.8</v>
      </c>
      <c r="Q308" s="24">
        <v>348.0</v>
      </c>
      <c r="R308" s="21">
        <v>108.3</v>
      </c>
      <c r="S308" s="24">
        <v>287.0</v>
      </c>
      <c r="T308" s="23">
        <v>-1.22</v>
      </c>
      <c r="U308" s="24">
        <v>232.0</v>
      </c>
    </row>
    <row r="309">
      <c r="A309" s="26">
        <v>293.0</v>
      </c>
      <c r="B309" s="15" t="s">
        <v>773</v>
      </c>
      <c r="C309" s="16" t="s">
        <v>774</v>
      </c>
      <c r="D309" s="26" t="s">
        <v>460</v>
      </c>
      <c r="E309" s="26">
        <v>-10.09</v>
      </c>
      <c r="F309" s="28">
        <v>102.1</v>
      </c>
      <c r="G309" s="29">
        <v>253.0</v>
      </c>
      <c r="H309" s="26">
        <v>112.2</v>
      </c>
      <c r="I309" s="29">
        <v>303.0</v>
      </c>
      <c r="J309" s="28">
        <v>69.3</v>
      </c>
      <c r="K309" s="29">
        <v>79.0</v>
      </c>
      <c r="L309" s="28">
        <v>-0.028</v>
      </c>
      <c r="M309" s="29">
        <v>262.0</v>
      </c>
      <c r="N309" s="28">
        <v>-9.83</v>
      </c>
      <c r="O309" s="29">
        <v>360.0</v>
      </c>
      <c r="P309" s="26">
        <v>99.6</v>
      </c>
      <c r="Q309" s="29">
        <v>360.0</v>
      </c>
      <c r="R309" s="26">
        <v>109.5</v>
      </c>
      <c r="S309" s="29">
        <v>348.0</v>
      </c>
      <c r="T309" s="28">
        <v>-4.24</v>
      </c>
      <c r="U309" s="29">
        <v>300.0</v>
      </c>
    </row>
    <row r="310">
      <c r="A310" s="21">
        <v>294.0</v>
      </c>
      <c r="B310" s="15" t="s">
        <v>775</v>
      </c>
      <c r="C310" s="16" t="s">
        <v>776</v>
      </c>
      <c r="D310" s="21" t="s">
        <v>306</v>
      </c>
      <c r="E310" s="21">
        <v>-10.15</v>
      </c>
      <c r="F310" s="23">
        <v>106.5</v>
      </c>
      <c r="G310" s="24">
        <v>171.0</v>
      </c>
      <c r="H310" s="21">
        <v>116.6</v>
      </c>
      <c r="I310" s="24">
        <v>354.0</v>
      </c>
      <c r="J310" s="23">
        <v>66.5</v>
      </c>
      <c r="K310" s="24">
        <v>247.0</v>
      </c>
      <c r="L310" s="25">
        <f>+0.054</f>
        <v>0.054</v>
      </c>
      <c r="M310" s="24">
        <v>57.0</v>
      </c>
      <c r="N310" s="23">
        <v>-3.48</v>
      </c>
      <c r="O310" s="24">
        <v>263.0</v>
      </c>
      <c r="P310" s="21">
        <v>103.0</v>
      </c>
      <c r="Q310" s="24">
        <v>299.0</v>
      </c>
      <c r="R310" s="21">
        <v>106.5</v>
      </c>
      <c r="S310" s="24">
        <v>186.0</v>
      </c>
      <c r="T310" s="25">
        <f>+15.12</f>
        <v>15.12</v>
      </c>
      <c r="U310" s="24">
        <v>3.0</v>
      </c>
    </row>
    <row r="311">
      <c r="A311" s="26">
        <v>295.0</v>
      </c>
      <c r="B311" s="15" t="s">
        <v>777</v>
      </c>
      <c r="C311" s="16" t="s">
        <v>778</v>
      </c>
      <c r="D311" s="26" t="s">
        <v>357</v>
      </c>
      <c r="E311" s="26">
        <v>-10.15</v>
      </c>
      <c r="F311" s="28">
        <v>100.3</v>
      </c>
      <c r="G311" s="29">
        <v>281.0</v>
      </c>
      <c r="H311" s="26">
        <v>110.4</v>
      </c>
      <c r="I311" s="29">
        <v>258.0</v>
      </c>
      <c r="J311" s="28">
        <v>64.6</v>
      </c>
      <c r="K311" s="29">
        <v>331.0</v>
      </c>
      <c r="L311" s="30">
        <f>+0.05</f>
        <v>0.05</v>
      </c>
      <c r="M311" s="29">
        <v>66.0</v>
      </c>
      <c r="N311" s="28">
        <v>-1.08</v>
      </c>
      <c r="O311" s="29">
        <v>195.0</v>
      </c>
      <c r="P311" s="26">
        <v>105.4</v>
      </c>
      <c r="Q311" s="29">
        <v>210.0</v>
      </c>
      <c r="R311" s="26">
        <v>106.5</v>
      </c>
      <c r="S311" s="29">
        <v>182.0</v>
      </c>
      <c r="T311" s="28">
        <v>-1.34</v>
      </c>
      <c r="U311" s="29">
        <v>237.0</v>
      </c>
    </row>
    <row r="312">
      <c r="A312" s="21">
        <v>296.0</v>
      </c>
      <c r="B312" s="15" t="s">
        <v>779</v>
      </c>
      <c r="C312" s="16" t="s">
        <v>780</v>
      </c>
      <c r="D312" s="21" t="s">
        <v>460</v>
      </c>
      <c r="E312" s="21">
        <v>-10.4</v>
      </c>
      <c r="F312" s="23">
        <v>103.5</v>
      </c>
      <c r="G312" s="24">
        <v>224.0</v>
      </c>
      <c r="H312" s="21">
        <v>113.9</v>
      </c>
      <c r="I312" s="24">
        <v>335.0</v>
      </c>
      <c r="J312" s="23">
        <v>62.9</v>
      </c>
      <c r="K312" s="24">
        <v>355.0</v>
      </c>
      <c r="L312" s="23">
        <v>-0.006</v>
      </c>
      <c r="M312" s="24">
        <v>200.0</v>
      </c>
      <c r="N312" s="23">
        <v>-9.6</v>
      </c>
      <c r="O312" s="24">
        <v>359.0</v>
      </c>
      <c r="P312" s="21">
        <v>99.8</v>
      </c>
      <c r="Q312" s="24">
        <v>358.0</v>
      </c>
      <c r="R312" s="21">
        <v>109.4</v>
      </c>
      <c r="S312" s="24">
        <v>347.0</v>
      </c>
      <c r="T312" s="23">
        <v>-5.01</v>
      </c>
      <c r="U312" s="24">
        <v>314.0</v>
      </c>
    </row>
    <row r="313">
      <c r="A313" s="26">
        <v>297.0</v>
      </c>
      <c r="B313" s="15" t="s">
        <v>781</v>
      </c>
      <c r="C313" s="16" t="s">
        <v>782</v>
      </c>
      <c r="D313" s="26" t="s">
        <v>190</v>
      </c>
      <c r="E313" s="26">
        <v>-10.47</v>
      </c>
      <c r="F313" s="28">
        <v>98.3</v>
      </c>
      <c r="G313" s="29">
        <v>309.0</v>
      </c>
      <c r="H313" s="26">
        <v>108.7</v>
      </c>
      <c r="I313" s="29">
        <v>229.0</v>
      </c>
      <c r="J313" s="28">
        <v>65.9</v>
      </c>
      <c r="K313" s="29">
        <v>275.0</v>
      </c>
      <c r="L313" s="30">
        <f>+0.008</f>
        <v>0.008</v>
      </c>
      <c r="M313" s="29">
        <v>168.0</v>
      </c>
      <c r="N313" s="28">
        <v>-8.43</v>
      </c>
      <c r="O313" s="29">
        <v>353.0</v>
      </c>
      <c r="P313" s="26">
        <v>99.8</v>
      </c>
      <c r="Q313" s="29">
        <v>359.0</v>
      </c>
      <c r="R313" s="26">
        <v>108.2</v>
      </c>
      <c r="S313" s="29">
        <v>286.0</v>
      </c>
      <c r="T313" s="28">
        <v>-2.43</v>
      </c>
      <c r="U313" s="29">
        <v>262.0</v>
      </c>
    </row>
    <row r="314">
      <c r="A314" s="21">
        <v>298.0</v>
      </c>
      <c r="B314" s="15" t="s">
        <v>783</v>
      </c>
      <c r="C314" s="16" t="s">
        <v>784</v>
      </c>
      <c r="D314" s="39">
        <v>45615.0</v>
      </c>
      <c r="E314" s="21">
        <v>-10.64</v>
      </c>
      <c r="F314" s="23">
        <v>100.1</v>
      </c>
      <c r="G314" s="24">
        <v>288.0</v>
      </c>
      <c r="H314" s="21">
        <v>110.7</v>
      </c>
      <c r="I314" s="24">
        <v>265.0</v>
      </c>
      <c r="J314" s="23">
        <v>67.3</v>
      </c>
      <c r="K314" s="24">
        <v>194.0</v>
      </c>
      <c r="L314" s="25">
        <f>+0.027</f>
        <v>0.027</v>
      </c>
      <c r="M314" s="24">
        <v>115.0</v>
      </c>
      <c r="N314" s="23">
        <v>-0.61</v>
      </c>
      <c r="O314" s="24">
        <v>184.0</v>
      </c>
      <c r="P314" s="21">
        <v>105.0</v>
      </c>
      <c r="Q314" s="24">
        <v>237.0</v>
      </c>
      <c r="R314" s="21">
        <v>105.7</v>
      </c>
      <c r="S314" s="24">
        <v>152.0</v>
      </c>
      <c r="T314" s="25">
        <f>+1.58</f>
        <v>1.58</v>
      </c>
      <c r="U314" s="24">
        <v>142.0</v>
      </c>
    </row>
    <row r="315">
      <c r="A315" s="26">
        <v>299.0</v>
      </c>
      <c r="B315" s="15" t="s">
        <v>785</v>
      </c>
      <c r="C315" s="16" t="s">
        <v>786</v>
      </c>
      <c r="D315" s="38">
        <v>45647.0</v>
      </c>
      <c r="E315" s="26">
        <v>-10.66</v>
      </c>
      <c r="F315" s="28">
        <v>103.5</v>
      </c>
      <c r="G315" s="29">
        <v>227.0</v>
      </c>
      <c r="H315" s="26">
        <v>114.1</v>
      </c>
      <c r="I315" s="29">
        <v>337.0</v>
      </c>
      <c r="J315" s="28">
        <v>67.6</v>
      </c>
      <c r="K315" s="29">
        <v>172.0</v>
      </c>
      <c r="L315" s="30">
        <f>+0.052</f>
        <v>0.052</v>
      </c>
      <c r="M315" s="29">
        <v>61.0</v>
      </c>
      <c r="N315" s="30">
        <f>+2.14</f>
        <v>2.14</v>
      </c>
      <c r="O315" s="29">
        <v>128.0</v>
      </c>
      <c r="P315" s="26">
        <v>107.8</v>
      </c>
      <c r="Q315" s="29">
        <v>112.0</v>
      </c>
      <c r="R315" s="26">
        <v>105.7</v>
      </c>
      <c r="S315" s="29">
        <v>153.0</v>
      </c>
      <c r="T315" s="30">
        <f>+0.05</f>
        <v>0.05</v>
      </c>
      <c r="U315" s="29">
        <v>198.0</v>
      </c>
    </row>
    <row r="316">
      <c r="A316" s="31">
        <v>300.0</v>
      </c>
      <c r="B316" s="32" t="s">
        <v>787</v>
      </c>
      <c r="C316" s="33" t="s">
        <v>788</v>
      </c>
      <c r="D316" s="40">
        <v>45498.0</v>
      </c>
      <c r="E316" s="31">
        <v>-10.73</v>
      </c>
      <c r="F316" s="35">
        <v>100.3</v>
      </c>
      <c r="G316" s="36">
        <v>280.0</v>
      </c>
      <c r="H316" s="31">
        <v>111.0</v>
      </c>
      <c r="I316" s="36">
        <v>276.0</v>
      </c>
      <c r="J316" s="35">
        <v>68.0</v>
      </c>
      <c r="K316" s="36">
        <v>152.0</v>
      </c>
      <c r="L316" s="35">
        <v>-0.016</v>
      </c>
      <c r="M316" s="36">
        <v>230.0</v>
      </c>
      <c r="N316" s="37">
        <f>+2.66</f>
        <v>2.66</v>
      </c>
      <c r="O316" s="36">
        <v>115.0</v>
      </c>
      <c r="P316" s="31">
        <v>107.3</v>
      </c>
      <c r="Q316" s="36">
        <v>128.0</v>
      </c>
      <c r="R316" s="31">
        <v>104.7</v>
      </c>
      <c r="S316" s="36">
        <v>120.0</v>
      </c>
      <c r="T316" s="35">
        <v>-4.5</v>
      </c>
      <c r="U316" s="36">
        <v>307.0</v>
      </c>
    </row>
    <row r="317">
      <c r="A317" s="26">
        <v>301.0</v>
      </c>
      <c r="B317" s="15" t="s">
        <v>789</v>
      </c>
      <c r="C317" s="16" t="s">
        <v>790</v>
      </c>
      <c r="D317" s="26" t="s">
        <v>306</v>
      </c>
      <c r="E317" s="26">
        <v>-10.79</v>
      </c>
      <c r="F317" s="28">
        <v>99.1</v>
      </c>
      <c r="G317" s="29">
        <v>300.0</v>
      </c>
      <c r="H317" s="26">
        <v>109.9</v>
      </c>
      <c r="I317" s="29">
        <v>249.0</v>
      </c>
      <c r="J317" s="28">
        <v>68.7</v>
      </c>
      <c r="K317" s="29">
        <v>111.0</v>
      </c>
      <c r="L317" s="30">
        <f>+0.033</f>
        <v>0.033</v>
      </c>
      <c r="M317" s="29">
        <v>108.0</v>
      </c>
      <c r="N317" s="28">
        <v>-4.71</v>
      </c>
      <c r="O317" s="29">
        <v>297.0</v>
      </c>
      <c r="P317" s="26">
        <v>102.8</v>
      </c>
      <c r="Q317" s="29">
        <v>309.0</v>
      </c>
      <c r="R317" s="26">
        <v>107.5</v>
      </c>
      <c r="S317" s="29">
        <v>240.0</v>
      </c>
      <c r="T317" s="30">
        <f>+3.97</f>
        <v>3.97</v>
      </c>
      <c r="U317" s="29">
        <v>83.0</v>
      </c>
    </row>
    <row r="318">
      <c r="A318" s="21">
        <v>302.0</v>
      </c>
      <c r="B318" s="15" t="s">
        <v>791</v>
      </c>
      <c r="C318" s="16" t="s">
        <v>792</v>
      </c>
      <c r="D318" s="21" t="s">
        <v>286</v>
      </c>
      <c r="E318" s="21">
        <v>-10.94</v>
      </c>
      <c r="F318" s="23">
        <v>100.1</v>
      </c>
      <c r="G318" s="24">
        <v>286.0</v>
      </c>
      <c r="H318" s="21">
        <v>111.1</v>
      </c>
      <c r="I318" s="24">
        <v>277.0</v>
      </c>
      <c r="J318" s="23">
        <v>67.4</v>
      </c>
      <c r="K318" s="24">
        <v>192.0</v>
      </c>
      <c r="L318" s="23">
        <v>-0.055</v>
      </c>
      <c r="M318" s="24">
        <v>307.0</v>
      </c>
      <c r="N318" s="23">
        <v>-8.72</v>
      </c>
      <c r="O318" s="24">
        <v>355.0</v>
      </c>
      <c r="P318" s="21">
        <v>99.9</v>
      </c>
      <c r="Q318" s="24">
        <v>357.0</v>
      </c>
      <c r="R318" s="21">
        <v>108.6</v>
      </c>
      <c r="S318" s="24">
        <v>314.0</v>
      </c>
      <c r="T318" s="23">
        <v>-0.97</v>
      </c>
      <c r="U318" s="24">
        <v>224.0</v>
      </c>
    </row>
    <row r="319">
      <c r="A319" s="26">
        <v>303.0</v>
      </c>
      <c r="B319" s="15" t="s">
        <v>793</v>
      </c>
      <c r="C319" s="16" t="s">
        <v>794</v>
      </c>
      <c r="D319" s="26" t="s">
        <v>479</v>
      </c>
      <c r="E319" s="26">
        <v>-10.98</v>
      </c>
      <c r="F319" s="28">
        <v>97.9</v>
      </c>
      <c r="G319" s="29">
        <v>313.0</v>
      </c>
      <c r="H319" s="26">
        <v>108.9</v>
      </c>
      <c r="I319" s="29">
        <v>235.0</v>
      </c>
      <c r="J319" s="28">
        <v>69.9</v>
      </c>
      <c r="K319" s="29">
        <v>62.0</v>
      </c>
      <c r="L319" s="30">
        <f>+0.06</f>
        <v>0.06</v>
      </c>
      <c r="M319" s="29">
        <v>51.0</v>
      </c>
      <c r="N319" s="28">
        <v>-7.77</v>
      </c>
      <c r="O319" s="29">
        <v>349.0</v>
      </c>
      <c r="P319" s="26">
        <v>100.3</v>
      </c>
      <c r="Q319" s="29">
        <v>355.0</v>
      </c>
      <c r="R319" s="26">
        <v>108.0</v>
      </c>
      <c r="S319" s="29">
        <v>277.0</v>
      </c>
      <c r="T319" s="30">
        <f>+0.23</f>
        <v>0.23</v>
      </c>
      <c r="U319" s="29">
        <v>186.0</v>
      </c>
    </row>
    <row r="320">
      <c r="A320" s="21">
        <v>304.0</v>
      </c>
      <c r="B320" s="15" t="s">
        <v>795</v>
      </c>
      <c r="C320" s="16" t="s">
        <v>796</v>
      </c>
      <c r="D320" s="39">
        <v>45380.0</v>
      </c>
      <c r="E320" s="21">
        <v>-11.06</v>
      </c>
      <c r="F320" s="23">
        <v>101.6</v>
      </c>
      <c r="G320" s="24">
        <v>261.0</v>
      </c>
      <c r="H320" s="21">
        <v>112.6</v>
      </c>
      <c r="I320" s="24">
        <v>315.0</v>
      </c>
      <c r="J320" s="23">
        <v>67.6</v>
      </c>
      <c r="K320" s="24">
        <v>167.0</v>
      </c>
      <c r="L320" s="23">
        <v>-0.022</v>
      </c>
      <c r="M320" s="24">
        <v>251.0</v>
      </c>
      <c r="N320" s="25">
        <f>+13.04</f>
        <v>13.04</v>
      </c>
      <c r="O320" s="24">
        <v>10.0</v>
      </c>
      <c r="P320" s="21">
        <v>113.2</v>
      </c>
      <c r="Q320" s="24">
        <v>10.0</v>
      </c>
      <c r="R320" s="21">
        <v>100.2</v>
      </c>
      <c r="S320" s="24">
        <v>10.0</v>
      </c>
      <c r="T320" s="25">
        <f>+1.61</f>
        <v>1.61</v>
      </c>
      <c r="U320" s="24">
        <v>140.0</v>
      </c>
    </row>
    <row r="321">
      <c r="A321" s="26">
        <v>305.0</v>
      </c>
      <c r="B321" s="15" t="s">
        <v>797</v>
      </c>
      <c r="C321" s="16" t="s">
        <v>798</v>
      </c>
      <c r="D321" s="38">
        <v>45646.0</v>
      </c>
      <c r="E321" s="26">
        <v>-11.42</v>
      </c>
      <c r="F321" s="28">
        <v>100.0</v>
      </c>
      <c r="G321" s="29">
        <v>292.0</v>
      </c>
      <c r="H321" s="26">
        <v>111.4</v>
      </c>
      <c r="I321" s="29">
        <v>287.0</v>
      </c>
      <c r="J321" s="28">
        <v>68.6</v>
      </c>
      <c r="K321" s="29">
        <v>117.0</v>
      </c>
      <c r="L321" s="30">
        <f>+0.022</f>
        <v>0.022</v>
      </c>
      <c r="M321" s="29">
        <v>129.0</v>
      </c>
      <c r="N321" s="28">
        <v>-3.3</v>
      </c>
      <c r="O321" s="29">
        <v>256.0</v>
      </c>
      <c r="P321" s="26">
        <v>103.9</v>
      </c>
      <c r="Q321" s="29">
        <v>281.0</v>
      </c>
      <c r="R321" s="26">
        <v>107.2</v>
      </c>
      <c r="S321" s="29">
        <v>226.0</v>
      </c>
      <c r="T321" s="30">
        <f>+0.99</f>
        <v>0.99</v>
      </c>
      <c r="U321" s="29">
        <v>160.0</v>
      </c>
    </row>
    <row r="322">
      <c r="A322" s="21">
        <v>306.0</v>
      </c>
      <c r="B322" s="15" t="s">
        <v>799</v>
      </c>
      <c r="C322" s="16" t="s">
        <v>800</v>
      </c>
      <c r="D322" s="21" t="s">
        <v>286</v>
      </c>
      <c r="E322" s="21">
        <v>-11.52</v>
      </c>
      <c r="F322" s="23">
        <v>98.7</v>
      </c>
      <c r="G322" s="24">
        <v>305.0</v>
      </c>
      <c r="H322" s="21">
        <v>110.3</v>
      </c>
      <c r="I322" s="24">
        <v>256.0</v>
      </c>
      <c r="J322" s="23">
        <v>64.9</v>
      </c>
      <c r="K322" s="24">
        <v>316.0</v>
      </c>
      <c r="L322" s="25">
        <f>+0.041</f>
        <v>0.041</v>
      </c>
      <c r="M322" s="24">
        <v>90.0</v>
      </c>
      <c r="N322" s="23">
        <v>-5.23</v>
      </c>
      <c r="O322" s="24">
        <v>310.0</v>
      </c>
      <c r="P322" s="21">
        <v>103.1</v>
      </c>
      <c r="Q322" s="24">
        <v>298.0</v>
      </c>
      <c r="R322" s="21">
        <v>108.3</v>
      </c>
      <c r="S322" s="24">
        <v>289.0</v>
      </c>
      <c r="T322" s="25">
        <f>+6.82</f>
        <v>6.82</v>
      </c>
      <c r="U322" s="24">
        <v>38.0</v>
      </c>
    </row>
    <row r="323">
      <c r="A323" s="26">
        <v>307.0</v>
      </c>
      <c r="B323" s="15" t="s">
        <v>801</v>
      </c>
      <c r="C323" s="16" t="s">
        <v>802</v>
      </c>
      <c r="D323" s="38">
        <v>45587.0</v>
      </c>
      <c r="E323" s="26">
        <v>-11.55</v>
      </c>
      <c r="F323" s="28">
        <v>101.8</v>
      </c>
      <c r="G323" s="29">
        <v>258.0</v>
      </c>
      <c r="H323" s="26">
        <v>113.4</v>
      </c>
      <c r="I323" s="29">
        <v>328.0</v>
      </c>
      <c r="J323" s="28">
        <v>67.1</v>
      </c>
      <c r="K323" s="29">
        <v>211.0</v>
      </c>
      <c r="L323" s="28">
        <v>-0.097</v>
      </c>
      <c r="M323" s="29">
        <v>353.0</v>
      </c>
      <c r="N323" s="28">
        <v>-2.79</v>
      </c>
      <c r="O323" s="29">
        <v>242.0</v>
      </c>
      <c r="P323" s="26">
        <v>105.6</v>
      </c>
      <c r="Q323" s="29">
        <v>202.0</v>
      </c>
      <c r="R323" s="26">
        <v>108.4</v>
      </c>
      <c r="S323" s="29">
        <v>293.0</v>
      </c>
      <c r="T323" s="28">
        <v>-0.79</v>
      </c>
      <c r="U323" s="29">
        <v>219.0</v>
      </c>
    </row>
    <row r="324">
      <c r="A324" s="21">
        <v>308.0</v>
      </c>
      <c r="B324" s="15" t="s">
        <v>803</v>
      </c>
      <c r="C324" s="16" t="s">
        <v>804</v>
      </c>
      <c r="D324" s="39">
        <v>45616.0</v>
      </c>
      <c r="E324" s="21">
        <v>-11.61</v>
      </c>
      <c r="F324" s="23">
        <v>102.2</v>
      </c>
      <c r="G324" s="24">
        <v>251.0</v>
      </c>
      <c r="H324" s="21">
        <v>113.8</v>
      </c>
      <c r="I324" s="24">
        <v>333.0</v>
      </c>
      <c r="J324" s="23">
        <v>68.1</v>
      </c>
      <c r="K324" s="24">
        <v>142.0</v>
      </c>
      <c r="L324" s="25">
        <f>+0.041</f>
        <v>0.041</v>
      </c>
      <c r="M324" s="24">
        <v>89.0</v>
      </c>
      <c r="N324" s="23">
        <v>-0.15</v>
      </c>
      <c r="O324" s="24">
        <v>168.0</v>
      </c>
      <c r="P324" s="21">
        <v>106.5</v>
      </c>
      <c r="Q324" s="24">
        <v>159.0</v>
      </c>
      <c r="R324" s="21">
        <v>106.6</v>
      </c>
      <c r="S324" s="24">
        <v>195.0</v>
      </c>
      <c r="T324" s="25">
        <f>+7.34</f>
        <v>7.34</v>
      </c>
      <c r="U324" s="24">
        <v>29.0</v>
      </c>
    </row>
    <row r="325">
      <c r="A325" s="26">
        <v>309.0</v>
      </c>
      <c r="B325" s="15" t="s">
        <v>805</v>
      </c>
      <c r="C325" s="16" t="s">
        <v>806</v>
      </c>
      <c r="D325" s="26" t="s">
        <v>286</v>
      </c>
      <c r="E325" s="26">
        <v>-11.66</v>
      </c>
      <c r="F325" s="28">
        <v>100.6</v>
      </c>
      <c r="G325" s="29">
        <v>276.0</v>
      </c>
      <c r="H325" s="26">
        <v>112.3</v>
      </c>
      <c r="I325" s="29">
        <v>306.0</v>
      </c>
      <c r="J325" s="28">
        <v>68.5</v>
      </c>
      <c r="K325" s="29">
        <v>124.0</v>
      </c>
      <c r="L325" s="30">
        <f>+0.095</f>
        <v>0.095</v>
      </c>
      <c r="M325" s="29">
        <v>15.0</v>
      </c>
      <c r="N325" s="28">
        <v>-6.07</v>
      </c>
      <c r="O325" s="29">
        <v>324.0</v>
      </c>
      <c r="P325" s="26">
        <v>102.4</v>
      </c>
      <c r="Q325" s="29">
        <v>317.0</v>
      </c>
      <c r="R325" s="26">
        <v>108.5</v>
      </c>
      <c r="S325" s="29">
        <v>302.0</v>
      </c>
      <c r="T325" s="30">
        <f>+7.3</f>
        <v>7.3</v>
      </c>
      <c r="U325" s="29">
        <v>30.0</v>
      </c>
    </row>
    <row r="326">
      <c r="A326" s="31">
        <v>310.0</v>
      </c>
      <c r="B326" s="32" t="s">
        <v>807</v>
      </c>
      <c r="C326" s="33" t="s">
        <v>808</v>
      </c>
      <c r="D326" s="31" t="s">
        <v>357</v>
      </c>
      <c r="E326" s="31">
        <v>-12.29</v>
      </c>
      <c r="F326" s="35">
        <v>93.1</v>
      </c>
      <c r="G326" s="36">
        <v>352.0</v>
      </c>
      <c r="H326" s="31">
        <v>105.3</v>
      </c>
      <c r="I326" s="36">
        <v>155.0</v>
      </c>
      <c r="J326" s="35">
        <v>67.2</v>
      </c>
      <c r="K326" s="36">
        <v>198.0</v>
      </c>
      <c r="L326" s="35">
        <v>-0.009</v>
      </c>
      <c r="M326" s="36">
        <v>205.0</v>
      </c>
      <c r="N326" s="35">
        <v>-5.62</v>
      </c>
      <c r="O326" s="36">
        <v>319.0</v>
      </c>
      <c r="P326" s="31">
        <v>102.0</v>
      </c>
      <c r="Q326" s="36">
        <v>325.0</v>
      </c>
      <c r="R326" s="31">
        <v>107.7</v>
      </c>
      <c r="S326" s="36">
        <v>255.0</v>
      </c>
      <c r="T326" s="37">
        <f>+11.92</f>
        <v>11.92</v>
      </c>
      <c r="U326" s="36">
        <v>6.0</v>
      </c>
    </row>
    <row r="327">
      <c r="A327" s="26">
        <v>311.0</v>
      </c>
      <c r="B327" s="15" t="s">
        <v>809</v>
      </c>
      <c r="C327" s="16" t="s">
        <v>810</v>
      </c>
      <c r="D327" s="26" t="s">
        <v>306</v>
      </c>
      <c r="E327" s="26">
        <v>-12.32</v>
      </c>
      <c r="F327" s="28">
        <v>100.7</v>
      </c>
      <c r="G327" s="29">
        <v>274.0</v>
      </c>
      <c r="H327" s="26">
        <v>113.0</v>
      </c>
      <c r="I327" s="29">
        <v>320.0</v>
      </c>
      <c r="J327" s="28">
        <v>66.7</v>
      </c>
      <c r="K327" s="29">
        <v>241.0</v>
      </c>
      <c r="L327" s="30">
        <f>+0.03</f>
        <v>0.03</v>
      </c>
      <c r="M327" s="29">
        <v>111.0</v>
      </c>
      <c r="N327" s="28">
        <v>-5.11</v>
      </c>
      <c r="O327" s="29">
        <v>303.0</v>
      </c>
      <c r="P327" s="26">
        <v>104.2</v>
      </c>
      <c r="Q327" s="29">
        <v>274.0</v>
      </c>
      <c r="R327" s="26">
        <v>109.3</v>
      </c>
      <c r="S327" s="29">
        <v>342.0</v>
      </c>
      <c r="T327" s="28">
        <v>-6.85</v>
      </c>
      <c r="U327" s="29">
        <v>344.0</v>
      </c>
    </row>
    <row r="328">
      <c r="A328" s="21">
        <v>312.0</v>
      </c>
      <c r="B328" s="15" t="s">
        <v>811</v>
      </c>
      <c r="C328" s="16" t="s">
        <v>812</v>
      </c>
      <c r="D328" s="21" t="s">
        <v>712</v>
      </c>
      <c r="E328" s="21">
        <v>-12.41</v>
      </c>
      <c r="F328" s="23">
        <v>99.1</v>
      </c>
      <c r="G328" s="24">
        <v>301.0</v>
      </c>
      <c r="H328" s="21">
        <v>111.5</v>
      </c>
      <c r="I328" s="24">
        <v>290.0</v>
      </c>
      <c r="J328" s="23">
        <v>68.3</v>
      </c>
      <c r="K328" s="24">
        <v>131.0</v>
      </c>
      <c r="L328" s="25">
        <f>+0.095</f>
        <v>0.095</v>
      </c>
      <c r="M328" s="24">
        <v>17.0</v>
      </c>
      <c r="N328" s="23">
        <v>-2.83</v>
      </c>
      <c r="O328" s="24">
        <v>244.0</v>
      </c>
      <c r="P328" s="21">
        <v>105.2</v>
      </c>
      <c r="Q328" s="24">
        <v>227.0</v>
      </c>
      <c r="R328" s="21">
        <v>108.0</v>
      </c>
      <c r="S328" s="24">
        <v>273.0</v>
      </c>
      <c r="T328" s="25">
        <f>+0.19</f>
        <v>0.19</v>
      </c>
      <c r="U328" s="24">
        <v>189.0</v>
      </c>
    </row>
    <row r="329">
      <c r="A329" s="26">
        <v>313.0</v>
      </c>
      <c r="B329" s="15" t="s">
        <v>813</v>
      </c>
      <c r="C329" s="16" t="s">
        <v>814</v>
      </c>
      <c r="D329" s="38">
        <v>45557.0</v>
      </c>
      <c r="E329" s="26">
        <v>-12.8</v>
      </c>
      <c r="F329" s="28">
        <v>99.5</v>
      </c>
      <c r="G329" s="29">
        <v>296.0</v>
      </c>
      <c r="H329" s="26">
        <v>112.3</v>
      </c>
      <c r="I329" s="29">
        <v>305.0</v>
      </c>
      <c r="J329" s="28">
        <v>69.6</v>
      </c>
      <c r="K329" s="29">
        <v>73.0</v>
      </c>
      <c r="L329" s="30">
        <f>+0.003</f>
        <v>0.003</v>
      </c>
      <c r="M329" s="29">
        <v>174.0</v>
      </c>
      <c r="N329" s="28">
        <v>-2.43</v>
      </c>
      <c r="O329" s="29">
        <v>230.0</v>
      </c>
      <c r="P329" s="26">
        <v>105.1</v>
      </c>
      <c r="Q329" s="29">
        <v>233.0</v>
      </c>
      <c r="R329" s="26">
        <v>107.5</v>
      </c>
      <c r="S329" s="29">
        <v>248.0</v>
      </c>
      <c r="T329" s="28">
        <v>-5.33</v>
      </c>
      <c r="U329" s="29">
        <v>319.0</v>
      </c>
    </row>
    <row r="330">
      <c r="A330" s="21">
        <v>314.0</v>
      </c>
      <c r="B330" s="15" t="s">
        <v>815</v>
      </c>
      <c r="C330" s="16" t="s">
        <v>816</v>
      </c>
      <c r="D330" s="39">
        <v>45589.0</v>
      </c>
      <c r="E330" s="21">
        <v>-13.0</v>
      </c>
      <c r="F330" s="23">
        <v>98.2</v>
      </c>
      <c r="G330" s="24">
        <v>310.0</v>
      </c>
      <c r="H330" s="21">
        <v>111.2</v>
      </c>
      <c r="I330" s="24">
        <v>281.0</v>
      </c>
      <c r="J330" s="23">
        <v>64.0</v>
      </c>
      <c r="K330" s="24">
        <v>341.0</v>
      </c>
      <c r="L330" s="23">
        <v>-0.004</v>
      </c>
      <c r="M330" s="24">
        <v>195.0</v>
      </c>
      <c r="N330" s="23">
        <v>-2.15</v>
      </c>
      <c r="O330" s="24">
        <v>225.0</v>
      </c>
      <c r="P330" s="21">
        <v>106.0</v>
      </c>
      <c r="Q330" s="24">
        <v>182.0</v>
      </c>
      <c r="R330" s="21">
        <v>108.1</v>
      </c>
      <c r="S330" s="24">
        <v>282.0</v>
      </c>
      <c r="T330" s="25">
        <f>+2.62</f>
        <v>2.62</v>
      </c>
      <c r="U330" s="24">
        <v>114.0</v>
      </c>
    </row>
    <row r="331">
      <c r="A331" s="26">
        <v>315.0</v>
      </c>
      <c r="B331" s="15" t="s">
        <v>817</v>
      </c>
      <c r="C331" s="16" t="s">
        <v>818</v>
      </c>
      <c r="D331" s="38">
        <v>45585.0</v>
      </c>
      <c r="E331" s="26">
        <v>-13.03</v>
      </c>
      <c r="F331" s="28">
        <v>95.5</v>
      </c>
      <c r="G331" s="29">
        <v>337.0</v>
      </c>
      <c r="H331" s="26">
        <v>108.5</v>
      </c>
      <c r="I331" s="29">
        <v>220.0</v>
      </c>
      <c r="J331" s="28">
        <v>67.0</v>
      </c>
      <c r="K331" s="29">
        <v>221.0</v>
      </c>
      <c r="L331" s="30">
        <f>+0.044</f>
        <v>0.044</v>
      </c>
      <c r="M331" s="29">
        <v>78.0</v>
      </c>
      <c r="N331" s="30">
        <f>+0.48</f>
        <v>0.48</v>
      </c>
      <c r="O331" s="29">
        <v>151.0</v>
      </c>
      <c r="P331" s="26">
        <v>107.3</v>
      </c>
      <c r="Q331" s="29">
        <v>129.0</v>
      </c>
      <c r="R331" s="26">
        <v>106.8</v>
      </c>
      <c r="S331" s="29">
        <v>209.0</v>
      </c>
      <c r="T331" s="30">
        <f>+6.55</f>
        <v>6.55</v>
      </c>
      <c r="U331" s="29">
        <v>41.0</v>
      </c>
    </row>
    <row r="332">
      <c r="A332" s="21">
        <v>316.0</v>
      </c>
      <c r="B332" s="15" t="s">
        <v>819</v>
      </c>
      <c r="C332" s="16" t="s">
        <v>820</v>
      </c>
      <c r="D332" s="39">
        <v>45527.0</v>
      </c>
      <c r="E332" s="21">
        <v>-13.11</v>
      </c>
      <c r="F332" s="23">
        <v>100.3</v>
      </c>
      <c r="G332" s="24">
        <v>279.0</v>
      </c>
      <c r="H332" s="21">
        <v>113.4</v>
      </c>
      <c r="I332" s="24">
        <v>330.0</v>
      </c>
      <c r="J332" s="23">
        <v>64.9</v>
      </c>
      <c r="K332" s="24">
        <v>317.0</v>
      </c>
      <c r="L332" s="23">
        <v>-0.058</v>
      </c>
      <c r="M332" s="24">
        <v>312.0</v>
      </c>
      <c r="N332" s="23">
        <v>-0.26</v>
      </c>
      <c r="O332" s="24">
        <v>176.0</v>
      </c>
      <c r="P332" s="21">
        <v>108.2</v>
      </c>
      <c r="Q332" s="24">
        <v>106.0</v>
      </c>
      <c r="R332" s="21">
        <v>108.4</v>
      </c>
      <c r="S332" s="24">
        <v>299.0</v>
      </c>
      <c r="T332" s="25">
        <f>+8.48</f>
        <v>8.48</v>
      </c>
      <c r="U332" s="24">
        <v>22.0</v>
      </c>
    </row>
    <row r="333">
      <c r="A333" s="26">
        <v>317.0</v>
      </c>
      <c r="B333" s="15" t="s">
        <v>821</v>
      </c>
      <c r="C333" s="16" t="s">
        <v>822</v>
      </c>
      <c r="D333" s="26" t="s">
        <v>357</v>
      </c>
      <c r="E333" s="26">
        <v>-13.31</v>
      </c>
      <c r="F333" s="28">
        <v>101.8</v>
      </c>
      <c r="G333" s="29">
        <v>257.0</v>
      </c>
      <c r="H333" s="26">
        <v>115.1</v>
      </c>
      <c r="I333" s="29">
        <v>346.0</v>
      </c>
      <c r="J333" s="28">
        <v>67.5</v>
      </c>
      <c r="K333" s="29">
        <v>176.0</v>
      </c>
      <c r="L333" s="30">
        <f>+0.05</f>
        <v>0.05</v>
      </c>
      <c r="M333" s="29">
        <v>64.0</v>
      </c>
      <c r="N333" s="28">
        <v>-4.6</v>
      </c>
      <c r="O333" s="29">
        <v>295.0</v>
      </c>
      <c r="P333" s="26">
        <v>104.8</v>
      </c>
      <c r="Q333" s="29">
        <v>248.0</v>
      </c>
      <c r="R333" s="26">
        <v>109.4</v>
      </c>
      <c r="S333" s="29">
        <v>344.0</v>
      </c>
      <c r="T333" s="28">
        <v>-2.32</v>
      </c>
      <c r="U333" s="29">
        <v>259.0</v>
      </c>
    </row>
    <row r="334">
      <c r="A334" s="21">
        <v>318.0</v>
      </c>
      <c r="B334" s="15" t="s">
        <v>823</v>
      </c>
      <c r="C334" s="16" t="s">
        <v>824</v>
      </c>
      <c r="D334" s="39">
        <v>45617.0</v>
      </c>
      <c r="E334" s="21">
        <v>-13.48</v>
      </c>
      <c r="F334" s="23">
        <v>93.6</v>
      </c>
      <c r="G334" s="24">
        <v>347.0</v>
      </c>
      <c r="H334" s="21">
        <v>107.1</v>
      </c>
      <c r="I334" s="24">
        <v>194.0</v>
      </c>
      <c r="J334" s="23">
        <v>65.4</v>
      </c>
      <c r="K334" s="24">
        <v>307.0</v>
      </c>
      <c r="L334" s="23">
        <v>-0.028</v>
      </c>
      <c r="M334" s="24">
        <v>264.0</v>
      </c>
      <c r="N334" s="23">
        <v>-5.76</v>
      </c>
      <c r="O334" s="24">
        <v>320.0</v>
      </c>
      <c r="P334" s="21">
        <v>102.7</v>
      </c>
      <c r="Q334" s="24">
        <v>313.0</v>
      </c>
      <c r="R334" s="21">
        <v>108.4</v>
      </c>
      <c r="S334" s="24">
        <v>300.0</v>
      </c>
      <c r="T334" s="25">
        <f>+3.05</f>
        <v>3.05</v>
      </c>
      <c r="U334" s="24">
        <v>103.0</v>
      </c>
    </row>
    <row r="335">
      <c r="A335" s="26">
        <v>319.0</v>
      </c>
      <c r="B335" s="15" t="s">
        <v>825</v>
      </c>
      <c r="C335" s="16" t="s">
        <v>826</v>
      </c>
      <c r="D335" s="38">
        <v>45588.0</v>
      </c>
      <c r="E335" s="26">
        <v>-13.56</v>
      </c>
      <c r="F335" s="28">
        <v>100.7</v>
      </c>
      <c r="G335" s="29">
        <v>273.0</v>
      </c>
      <c r="H335" s="26">
        <v>114.3</v>
      </c>
      <c r="I335" s="29">
        <v>340.0</v>
      </c>
      <c r="J335" s="28">
        <v>65.9</v>
      </c>
      <c r="K335" s="29">
        <v>273.0</v>
      </c>
      <c r="L335" s="28">
        <v>-0.062</v>
      </c>
      <c r="M335" s="29">
        <v>320.0</v>
      </c>
      <c r="N335" s="28">
        <v>-4.65</v>
      </c>
      <c r="O335" s="29">
        <v>296.0</v>
      </c>
      <c r="P335" s="26">
        <v>104.2</v>
      </c>
      <c r="Q335" s="29">
        <v>270.0</v>
      </c>
      <c r="R335" s="26">
        <v>108.9</v>
      </c>
      <c r="S335" s="29">
        <v>324.0</v>
      </c>
      <c r="T335" s="28">
        <v>-5.78</v>
      </c>
      <c r="U335" s="29">
        <v>331.0</v>
      </c>
    </row>
    <row r="336">
      <c r="A336" s="31">
        <v>320.0</v>
      </c>
      <c r="B336" s="32" t="s">
        <v>827</v>
      </c>
      <c r="C336" s="33" t="s">
        <v>828</v>
      </c>
      <c r="D336" s="31" t="s">
        <v>306</v>
      </c>
      <c r="E336" s="31">
        <v>-13.78</v>
      </c>
      <c r="F336" s="35">
        <v>96.1</v>
      </c>
      <c r="G336" s="36">
        <v>332.0</v>
      </c>
      <c r="H336" s="31">
        <v>109.9</v>
      </c>
      <c r="I336" s="36">
        <v>246.0</v>
      </c>
      <c r="J336" s="35">
        <v>66.8</v>
      </c>
      <c r="K336" s="36">
        <v>234.0</v>
      </c>
      <c r="L336" s="37">
        <f>+0.008</f>
        <v>0.008</v>
      </c>
      <c r="M336" s="36">
        <v>165.0</v>
      </c>
      <c r="N336" s="35">
        <v>-6.44</v>
      </c>
      <c r="O336" s="36">
        <v>331.0</v>
      </c>
      <c r="P336" s="31">
        <v>101.6</v>
      </c>
      <c r="Q336" s="36">
        <v>338.0</v>
      </c>
      <c r="R336" s="31">
        <v>108.0</v>
      </c>
      <c r="S336" s="36">
        <v>274.0</v>
      </c>
      <c r="T336" s="37">
        <f>+3.92</f>
        <v>3.92</v>
      </c>
      <c r="U336" s="36">
        <v>85.0</v>
      </c>
    </row>
    <row r="337">
      <c r="A337" s="1"/>
      <c r="B337" s="1"/>
      <c r="C337" s="1"/>
      <c r="D337" s="2"/>
      <c r="E337" s="2"/>
      <c r="F337" s="3"/>
      <c r="J337" s="3"/>
      <c r="L337" s="3"/>
      <c r="N337" s="4" t="s">
        <v>0</v>
      </c>
      <c r="T337" s="4" t="s">
        <v>1</v>
      </c>
    </row>
    <row r="338">
      <c r="A338" s="5" t="s">
        <v>829</v>
      </c>
      <c r="B338" s="6" t="s">
        <v>830</v>
      </c>
      <c r="C338" s="7" t="s">
        <v>4</v>
      </c>
      <c r="D338" s="5" t="s">
        <v>831</v>
      </c>
      <c r="E338" s="5" t="s">
        <v>832</v>
      </c>
      <c r="F338" s="10" t="s">
        <v>833</v>
      </c>
      <c r="H338" s="5" t="s">
        <v>834</v>
      </c>
      <c r="I338" s="2"/>
      <c r="J338" s="10" t="s">
        <v>835</v>
      </c>
      <c r="L338" s="10" t="s">
        <v>836</v>
      </c>
      <c r="N338" s="10" t="s">
        <v>837</v>
      </c>
      <c r="P338" s="5" t="s">
        <v>838</v>
      </c>
      <c r="Q338" s="2"/>
      <c r="R338" s="5" t="s">
        <v>839</v>
      </c>
      <c r="S338" s="2"/>
      <c r="T338" s="10" t="s">
        <v>840</v>
      </c>
    </row>
    <row r="339">
      <c r="A339" s="26">
        <v>321.0</v>
      </c>
      <c r="B339" s="15" t="s">
        <v>841</v>
      </c>
      <c r="C339" s="16" t="s">
        <v>842</v>
      </c>
      <c r="D339" s="38">
        <v>45617.0</v>
      </c>
      <c r="E339" s="26">
        <v>-13.99</v>
      </c>
      <c r="F339" s="28">
        <v>98.3</v>
      </c>
      <c r="G339" s="29">
        <v>308.0</v>
      </c>
      <c r="H339" s="26">
        <v>112.3</v>
      </c>
      <c r="I339" s="29">
        <v>307.0</v>
      </c>
      <c r="J339" s="28">
        <v>65.0</v>
      </c>
      <c r="K339" s="29">
        <v>314.0</v>
      </c>
      <c r="L339" s="28">
        <v>-0.019</v>
      </c>
      <c r="M339" s="29">
        <v>242.0</v>
      </c>
      <c r="N339" s="28">
        <v>-3.95</v>
      </c>
      <c r="O339" s="29">
        <v>278.0</v>
      </c>
      <c r="P339" s="26">
        <v>104.8</v>
      </c>
      <c r="Q339" s="29">
        <v>249.0</v>
      </c>
      <c r="R339" s="26">
        <v>108.7</v>
      </c>
      <c r="S339" s="29">
        <v>318.0</v>
      </c>
      <c r="T339" s="28">
        <v>-2.31</v>
      </c>
      <c r="U339" s="29">
        <v>257.0</v>
      </c>
    </row>
    <row r="340">
      <c r="A340" s="21">
        <v>322.0</v>
      </c>
      <c r="B340" s="15" t="s">
        <v>843</v>
      </c>
      <c r="C340" s="16" t="s">
        <v>844</v>
      </c>
      <c r="D340" s="39">
        <v>45646.0</v>
      </c>
      <c r="E340" s="21">
        <v>-14.01</v>
      </c>
      <c r="F340" s="23">
        <v>103.1</v>
      </c>
      <c r="G340" s="24">
        <v>239.0</v>
      </c>
      <c r="H340" s="21">
        <v>117.1</v>
      </c>
      <c r="I340" s="24">
        <v>356.0</v>
      </c>
      <c r="J340" s="23">
        <v>68.8</v>
      </c>
      <c r="K340" s="24">
        <v>107.0</v>
      </c>
      <c r="L340" s="25">
        <f>+0.01</f>
        <v>0.01</v>
      </c>
      <c r="M340" s="24">
        <v>159.0</v>
      </c>
      <c r="N340" s="23">
        <v>-4.49</v>
      </c>
      <c r="O340" s="24">
        <v>292.0</v>
      </c>
      <c r="P340" s="21">
        <v>104.5</v>
      </c>
      <c r="Q340" s="24">
        <v>260.0</v>
      </c>
      <c r="R340" s="21">
        <v>109.0</v>
      </c>
      <c r="S340" s="24">
        <v>330.0</v>
      </c>
      <c r="T340" s="23">
        <v>-4.49</v>
      </c>
      <c r="U340" s="24">
        <v>306.0</v>
      </c>
    </row>
    <row r="341">
      <c r="A341" s="26">
        <v>323.0</v>
      </c>
      <c r="B341" s="15" t="s">
        <v>845</v>
      </c>
      <c r="C341" s="16" t="s">
        <v>846</v>
      </c>
      <c r="D341" s="26" t="s">
        <v>525</v>
      </c>
      <c r="E341" s="26">
        <v>-14.3</v>
      </c>
      <c r="F341" s="28">
        <v>96.8</v>
      </c>
      <c r="G341" s="29">
        <v>326.0</v>
      </c>
      <c r="H341" s="26">
        <v>111.1</v>
      </c>
      <c r="I341" s="29">
        <v>279.0</v>
      </c>
      <c r="J341" s="28">
        <v>65.6</v>
      </c>
      <c r="K341" s="29">
        <v>296.0</v>
      </c>
      <c r="L341" s="28">
        <v>-0.02</v>
      </c>
      <c r="M341" s="29">
        <v>245.0</v>
      </c>
      <c r="N341" s="28">
        <v>-9.9</v>
      </c>
      <c r="O341" s="29">
        <v>361.0</v>
      </c>
      <c r="P341" s="26">
        <v>99.6</v>
      </c>
      <c r="Q341" s="29">
        <v>361.0</v>
      </c>
      <c r="R341" s="26">
        <v>109.5</v>
      </c>
      <c r="S341" s="29">
        <v>350.0</v>
      </c>
      <c r="T341" s="28">
        <v>-5.76</v>
      </c>
      <c r="U341" s="29">
        <v>330.0</v>
      </c>
    </row>
    <row r="342">
      <c r="A342" s="21">
        <v>324.0</v>
      </c>
      <c r="B342" s="15" t="s">
        <v>847</v>
      </c>
      <c r="C342" s="16" t="s">
        <v>848</v>
      </c>
      <c r="D342" s="39">
        <v>45649.0</v>
      </c>
      <c r="E342" s="21">
        <v>-14.36</v>
      </c>
      <c r="F342" s="23">
        <v>94.2</v>
      </c>
      <c r="G342" s="24">
        <v>346.0</v>
      </c>
      <c r="H342" s="21">
        <v>108.6</v>
      </c>
      <c r="I342" s="24">
        <v>223.0</v>
      </c>
      <c r="J342" s="23">
        <v>70.6</v>
      </c>
      <c r="K342" s="24">
        <v>42.0</v>
      </c>
      <c r="L342" s="25">
        <f>+0.028</f>
        <v>0.028</v>
      </c>
      <c r="M342" s="24">
        <v>112.0</v>
      </c>
      <c r="N342" s="23">
        <v>-5.91</v>
      </c>
      <c r="O342" s="24">
        <v>321.0</v>
      </c>
      <c r="P342" s="21">
        <v>102.6</v>
      </c>
      <c r="Q342" s="24">
        <v>315.0</v>
      </c>
      <c r="R342" s="21">
        <v>108.5</v>
      </c>
      <c r="S342" s="24">
        <v>301.0</v>
      </c>
      <c r="T342" s="25">
        <f>+4.77</f>
        <v>4.77</v>
      </c>
      <c r="U342" s="24">
        <v>71.0</v>
      </c>
    </row>
    <row r="343">
      <c r="A343" s="26">
        <v>325.0</v>
      </c>
      <c r="B343" s="15" t="s">
        <v>849</v>
      </c>
      <c r="C343" s="16" t="s">
        <v>850</v>
      </c>
      <c r="D343" s="38">
        <v>45558.0</v>
      </c>
      <c r="E343" s="26">
        <v>-14.89</v>
      </c>
      <c r="F343" s="28">
        <v>97.7</v>
      </c>
      <c r="G343" s="29">
        <v>316.0</v>
      </c>
      <c r="H343" s="26">
        <v>112.5</v>
      </c>
      <c r="I343" s="29">
        <v>312.0</v>
      </c>
      <c r="J343" s="28">
        <v>67.5</v>
      </c>
      <c r="K343" s="29">
        <v>179.0</v>
      </c>
      <c r="L343" s="28">
        <v>-0.093</v>
      </c>
      <c r="M343" s="29">
        <v>350.0</v>
      </c>
      <c r="N343" s="28">
        <v>-5.47</v>
      </c>
      <c r="O343" s="29">
        <v>315.0</v>
      </c>
      <c r="P343" s="26">
        <v>103.1</v>
      </c>
      <c r="Q343" s="29">
        <v>297.0</v>
      </c>
      <c r="R343" s="26">
        <v>108.6</v>
      </c>
      <c r="S343" s="29">
        <v>306.0</v>
      </c>
      <c r="T343" s="30">
        <f>+2.72</f>
        <v>2.72</v>
      </c>
      <c r="U343" s="29">
        <v>110.0</v>
      </c>
    </row>
    <row r="344">
      <c r="A344" s="21">
        <v>326.0</v>
      </c>
      <c r="B344" s="15" t="s">
        <v>851</v>
      </c>
      <c r="C344" s="16" t="s">
        <v>852</v>
      </c>
      <c r="D344" s="21" t="s">
        <v>525</v>
      </c>
      <c r="E344" s="21">
        <v>-15.12</v>
      </c>
      <c r="F344" s="23">
        <v>96.9</v>
      </c>
      <c r="G344" s="24">
        <v>323.0</v>
      </c>
      <c r="H344" s="21">
        <v>112.1</v>
      </c>
      <c r="I344" s="24">
        <v>299.0</v>
      </c>
      <c r="J344" s="23">
        <v>65.4</v>
      </c>
      <c r="K344" s="24">
        <v>308.0</v>
      </c>
      <c r="L344" s="25">
        <f>+0.09</f>
        <v>0.09</v>
      </c>
      <c r="M344" s="24">
        <v>19.0</v>
      </c>
      <c r="N344" s="23">
        <v>-5.21</v>
      </c>
      <c r="O344" s="24">
        <v>307.0</v>
      </c>
      <c r="P344" s="21">
        <v>103.5</v>
      </c>
      <c r="Q344" s="24">
        <v>290.0</v>
      </c>
      <c r="R344" s="21">
        <v>108.7</v>
      </c>
      <c r="S344" s="24">
        <v>317.0</v>
      </c>
      <c r="T344" s="23">
        <v>-3.65</v>
      </c>
      <c r="U344" s="24">
        <v>288.0</v>
      </c>
    </row>
    <row r="345">
      <c r="A345" s="26">
        <v>327.0</v>
      </c>
      <c r="B345" s="15" t="s">
        <v>853</v>
      </c>
      <c r="C345" s="16" t="s">
        <v>854</v>
      </c>
      <c r="D345" s="26" t="s">
        <v>286</v>
      </c>
      <c r="E345" s="26">
        <v>-15.31</v>
      </c>
      <c r="F345" s="28">
        <v>98.0</v>
      </c>
      <c r="G345" s="29">
        <v>312.0</v>
      </c>
      <c r="H345" s="26">
        <v>113.3</v>
      </c>
      <c r="I345" s="29">
        <v>323.0</v>
      </c>
      <c r="J345" s="28">
        <v>72.2</v>
      </c>
      <c r="K345" s="29">
        <v>15.0</v>
      </c>
      <c r="L345" s="30">
        <f>+0.086</f>
        <v>0.086</v>
      </c>
      <c r="M345" s="29">
        <v>22.0</v>
      </c>
      <c r="N345" s="28">
        <v>-9.09</v>
      </c>
      <c r="O345" s="29">
        <v>357.0</v>
      </c>
      <c r="P345" s="26">
        <v>100.3</v>
      </c>
      <c r="Q345" s="29">
        <v>354.0</v>
      </c>
      <c r="R345" s="26">
        <v>109.4</v>
      </c>
      <c r="S345" s="29">
        <v>343.0</v>
      </c>
      <c r="T345" s="28">
        <v>-4.66</v>
      </c>
      <c r="U345" s="29">
        <v>311.0</v>
      </c>
    </row>
    <row r="346">
      <c r="A346" s="21">
        <v>328.0</v>
      </c>
      <c r="B346" s="15" t="s">
        <v>855</v>
      </c>
      <c r="C346" s="16" t="s">
        <v>856</v>
      </c>
      <c r="D346" s="39">
        <v>45528.0</v>
      </c>
      <c r="E346" s="21">
        <v>-15.87</v>
      </c>
      <c r="F346" s="23">
        <v>96.0</v>
      </c>
      <c r="G346" s="24">
        <v>334.0</v>
      </c>
      <c r="H346" s="21">
        <v>111.9</v>
      </c>
      <c r="I346" s="24">
        <v>296.0</v>
      </c>
      <c r="J346" s="23">
        <v>69.1</v>
      </c>
      <c r="K346" s="24">
        <v>91.0</v>
      </c>
      <c r="L346" s="23">
        <v>-0.082</v>
      </c>
      <c r="M346" s="24">
        <v>341.0</v>
      </c>
      <c r="N346" s="23">
        <v>-5.26</v>
      </c>
      <c r="O346" s="24">
        <v>311.0</v>
      </c>
      <c r="P346" s="21">
        <v>102.8</v>
      </c>
      <c r="Q346" s="24">
        <v>305.0</v>
      </c>
      <c r="R346" s="21">
        <v>108.1</v>
      </c>
      <c r="S346" s="24">
        <v>279.0</v>
      </c>
      <c r="T346" s="25">
        <f>+5.66</f>
        <v>5.66</v>
      </c>
      <c r="U346" s="24">
        <v>54.0</v>
      </c>
    </row>
    <row r="347">
      <c r="A347" s="26">
        <v>329.0</v>
      </c>
      <c r="B347" s="15" t="s">
        <v>857</v>
      </c>
      <c r="C347" s="16" t="s">
        <v>858</v>
      </c>
      <c r="D347" s="38">
        <v>45468.0</v>
      </c>
      <c r="E347" s="26">
        <v>-16.03</v>
      </c>
      <c r="F347" s="28">
        <v>95.6</v>
      </c>
      <c r="G347" s="29">
        <v>336.0</v>
      </c>
      <c r="H347" s="26">
        <v>111.6</v>
      </c>
      <c r="I347" s="29">
        <v>293.0</v>
      </c>
      <c r="J347" s="28">
        <v>71.3</v>
      </c>
      <c r="K347" s="29">
        <v>28.0</v>
      </c>
      <c r="L347" s="28">
        <v>-0.001</v>
      </c>
      <c r="M347" s="29">
        <v>188.0</v>
      </c>
      <c r="N347" s="30">
        <f>+1.01</f>
        <v>1.01</v>
      </c>
      <c r="O347" s="29">
        <v>138.0</v>
      </c>
      <c r="P347" s="26">
        <v>105.6</v>
      </c>
      <c r="Q347" s="29">
        <v>203.0</v>
      </c>
      <c r="R347" s="26">
        <v>104.6</v>
      </c>
      <c r="S347" s="29">
        <v>115.0</v>
      </c>
      <c r="T347" s="30">
        <f>+0.14</f>
        <v>0.14</v>
      </c>
      <c r="U347" s="29">
        <v>191.0</v>
      </c>
    </row>
    <row r="348">
      <c r="A348" s="31">
        <v>330.0</v>
      </c>
      <c r="B348" s="32" t="s">
        <v>859</v>
      </c>
      <c r="C348" s="33" t="s">
        <v>860</v>
      </c>
      <c r="D348" s="40">
        <v>45586.0</v>
      </c>
      <c r="E348" s="31">
        <v>-16.52</v>
      </c>
      <c r="F348" s="35">
        <v>94.7</v>
      </c>
      <c r="G348" s="36">
        <v>341.0</v>
      </c>
      <c r="H348" s="31">
        <v>111.2</v>
      </c>
      <c r="I348" s="36">
        <v>283.0</v>
      </c>
      <c r="J348" s="35">
        <v>70.8</v>
      </c>
      <c r="K348" s="36">
        <v>40.0</v>
      </c>
      <c r="L348" s="37">
        <f>+0.013</f>
        <v>0.013</v>
      </c>
      <c r="M348" s="36">
        <v>154.0</v>
      </c>
      <c r="N348" s="35">
        <v>-5.0</v>
      </c>
      <c r="O348" s="36">
        <v>300.0</v>
      </c>
      <c r="P348" s="31">
        <v>102.8</v>
      </c>
      <c r="Q348" s="36">
        <v>307.0</v>
      </c>
      <c r="R348" s="31">
        <v>107.8</v>
      </c>
      <c r="S348" s="36">
        <v>266.0</v>
      </c>
      <c r="T348" s="37">
        <f>+8.61</f>
        <v>8.61</v>
      </c>
      <c r="U348" s="36">
        <v>21.0</v>
      </c>
    </row>
    <row r="349">
      <c r="A349" s="26">
        <v>331.0</v>
      </c>
      <c r="B349" s="15" t="s">
        <v>861</v>
      </c>
      <c r="C349" s="16" t="s">
        <v>862</v>
      </c>
      <c r="D349" s="26" t="s">
        <v>525</v>
      </c>
      <c r="E349" s="26">
        <v>-16.69</v>
      </c>
      <c r="F349" s="28">
        <v>102.2</v>
      </c>
      <c r="G349" s="29">
        <v>250.0</v>
      </c>
      <c r="H349" s="26">
        <v>118.9</v>
      </c>
      <c r="I349" s="29">
        <v>360.0</v>
      </c>
      <c r="J349" s="28">
        <v>71.9</v>
      </c>
      <c r="K349" s="29">
        <v>18.0</v>
      </c>
      <c r="L349" s="30">
        <f>+0.044</f>
        <v>0.044</v>
      </c>
      <c r="M349" s="29">
        <v>77.0</v>
      </c>
      <c r="N349" s="28">
        <v>-7.53</v>
      </c>
      <c r="O349" s="29">
        <v>347.0</v>
      </c>
      <c r="P349" s="26">
        <v>101.0</v>
      </c>
      <c r="Q349" s="29">
        <v>345.0</v>
      </c>
      <c r="R349" s="26">
        <v>108.5</v>
      </c>
      <c r="S349" s="29">
        <v>303.0</v>
      </c>
      <c r="T349" s="30">
        <f>+10.56</f>
        <v>10.56</v>
      </c>
      <c r="U349" s="29">
        <v>10.0</v>
      </c>
    </row>
    <row r="350">
      <c r="A350" s="21">
        <v>332.0</v>
      </c>
      <c r="B350" s="15" t="s">
        <v>863</v>
      </c>
      <c r="C350" s="16" t="s">
        <v>864</v>
      </c>
      <c r="D350" s="39">
        <v>45586.0</v>
      </c>
      <c r="E350" s="21">
        <v>-16.76</v>
      </c>
      <c r="F350" s="23">
        <v>96.3</v>
      </c>
      <c r="G350" s="24">
        <v>331.0</v>
      </c>
      <c r="H350" s="21">
        <v>113.1</v>
      </c>
      <c r="I350" s="24">
        <v>322.0</v>
      </c>
      <c r="J350" s="23">
        <v>65.7</v>
      </c>
      <c r="K350" s="24">
        <v>288.0</v>
      </c>
      <c r="L350" s="23">
        <v>-0.039</v>
      </c>
      <c r="M350" s="24">
        <v>283.0</v>
      </c>
      <c r="N350" s="23">
        <v>-5.13</v>
      </c>
      <c r="O350" s="24">
        <v>306.0</v>
      </c>
      <c r="P350" s="21">
        <v>103.2</v>
      </c>
      <c r="Q350" s="24">
        <v>296.0</v>
      </c>
      <c r="R350" s="21">
        <v>108.3</v>
      </c>
      <c r="S350" s="24">
        <v>288.0</v>
      </c>
      <c r="T350" s="25">
        <f>+2.62</f>
        <v>2.62</v>
      </c>
      <c r="U350" s="24">
        <v>115.0</v>
      </c>
    </row>
    <row r="351">
      <c r="A351" s="26">
        <v>333.0</v>
      </c>
      <c r="B351" s="15" t="s">
        <v>865</v>
      </c>
      <c r="C351" s="16" t="s">
        <v>866</v>
      </c>
      <c r="D351" s="26" t="s">
        <v>336</v>
      </c>
      <c r="E351" s="26">
        <v>-16.76</v>
      </c>
      <c r="F351" s="28">
        <v>94.7</v>
      </c>
      <c r="G351" s="29">
        <v>342.0</v>
      </c>
      <c r="H351" s="26">
        <v>111.5</v>
      </c>
      <c r="I351" s="29">
        <v>288.0</v>
      </c>
      <c r="J351" s="28">
        <v>66.3</v>
      </c>
      <c r="K351" s="29">
        <v>262.0</v>
      </c>
      <c r="L351" s="30">
        <f>+0.067</f>
        <v>0.067</v>
      </c>
      <c r="M351" s="29">
        <v>42.0</v>
      </c>
      <c r="N351" s="28">
        <v>-4.22</v>
      </c>
      <c r="O351" s="29">
        <v>285.0</v>
      </c>
      <c r="P351" s="26">
        <v>104.4</v>
      </c>
      <c r="Q351" s="29">
        <v>262.0</v>
      </c>
      <c r="R351" s="26">
        <v>108.7</v>
      </c>
      <c r="S351" s="29">
        <v>315.0</v>
      </c>
      <c r="T351" s="30">
        <f>+10</f>
        <v>10</v>
      </c>
      <c r="U351" s="29">
        <v>13.0</v>
      </c>
    </row>
    <row r="352">
      <c r="A352" s="21">
        <v>334.0</v>
      </c>
      <c r="B352" s="15" t="s">
        <v>867</v>
      </c>
      <c r="C352" s="16" t="s">
        <v>868</v>
      </c>
      <c r="D352" s="39">
        <v>45616.0</v>
      </c>
      <c r="E352" s="21">
        <v>-16.8</v>
      </c>
      <c r="F352" s="23">
        <v>97.4</v>
      </c>
      <c r="G352" s="24">
        <v>318.0</v>
      </c>
      <c r="H352" s="21">
        <v>114.2</v>
      </c>
      <c r="I352" s="24">
        <v>338.0</v>
      </c>
      <c r="J352" s="23">
        <v>70.9</v>
      </c>
      <c r="K352" s="24">
        <v>37.0</v>
      </c>
      <c r="L352" s="25">
        <f>+0.009</f>
        <v>0.009</v>
      </c>
      <c r="M352" s="24">
        <v>162.0</v>
      </c>
      <c r="N352" s="23">
        <v>-5.22</v>
      </c>
      <c r="O352" s="24">
        <v>308.0</v>
      </c>
      <c r="P352" s="21">
        <v>102.9</v>
      </c>
      <c r="Q352" s="24">
        <v>304.0</v>
      </c>
      <c r="R352" s="21">
        <v>108.1</v>
      </c>
      <c r="S352" s="24">
        <v>278.0</v>
      </c>
      <c r="T352" s="25">
        <f>+3.06</f>
        <v>3.06</v>
      </c>
      <c r="U352" s="24">
        <v>101.0</v>
      </c>
    </row>
    <row r="353">
      <c r="A353" s="26">
        <v>335.0</v>
      </c>
      <c r="B353" s="15" t="s">
        <v>869</v>
      </c>
      <c r="C353" s="16" t="s">
        <v>870</v>
      </c>
      <c r="D353" s="38">
        <v>45494.0</v>
      </c>
      <c r="E353" s="26">
        <v>-17.03</v>
      </c>
      <c r="F353" s="28">
        <v>97.5</v>
      </c>
      <c r="G353" s="29">
        <v>317.0</v>
      </c>
      <c r="H353" s="26">
        <v>114.5</v>
      </c>
      <c r="I353" s="29">
        <v>343.0</v>
      </c>
      <c r="J353" s="28">
        <v>66.3</v>
      </c>
      <c r="K353" s="29">
        <v>259.0</v>
      </c>
      <c r="L353" s="30">
        <f>+0.026</f>
        <v>0.026</v>
      </c>
      <c r="M353" s="29">
        <v>119.0</v>
      </c>
      <c r="N353" s="28">
        <v>-2.75</v>
      </c>
      <c r="O353" s="29">
        <v>240.0</v>
      </c>
      <c r="P353" s="26">
        <v>103.4</v>
      </c>
      <c r="Q353" s="29">
        <v>293.0</v>
      </c>
      <c r="R353" s="26">
        <v>106.1</v>
      </c>
      <c r="S353" s="29">
        <v>168.0</v>
      </c>
      <c r="T353" s="28">
        <v>-2.32</v>
      </c>
      <c r="U353" s="29">
        <v>258.0</v>
      </c>
    </row>
    <row r="354">
      <c r="A354" s="21">
        <v>336.0</v>
      </c>
      <c r="B354" s="15" t="s">
        <v>871</v>
      </c>
      <c r="C354" s="16" t="s">
        <v>872</v>
      </c>
      <c r="D354" s="39">
        <v>45464.0</v>
      </c>
      <c r="E354" s="21">
        <v>-17.06</v>
      </c>
      <c r="F354" s="23">
        <v>93.2</v>
      </c>
      <c r="G354" s="24">
        <v>351.0</v>
      </c>
      <c r="H354" s="21">
        <v>110.3</v>
      </c>
      <c r="I354" s="24">
        <v>257.0</v>
      </c>
      <c r="J354" s="23">
        <v>65.2</v>
      </c>
      <c r="K354" s="24">
        <v>311.0</v>
      </c>
      <c r="L354" s="25">
        <f>+0.004</f>
        <v>0.004</v>
      </c>
      <c r="M354" s="24">
        <v>173.0</v>
      </c>
      <c r="N354" s="25">
        <f>+0.8</f>
        <v>0.8</v>
      </c>
      <c r="O354" s="24">
        <v>142.0</v>
      </c>
      <c r="P354" s="21">
        <v>107.5</v>
      </c>
      <c r="Q354" s="24">
        <v>124.0</v>
      </c>
      <c r="R354" s="21">
        <v>106.7</v>
      </c>
      <c r="S354" s="24">
        <v>199.0</v>
      </c>
      <c r="T354" s="23">
        <v>-0.86</v>
      </c>
      <c r="U354" s="24">
        <v>221.0</v>
      </c>
    </row>
    <row r="355">
      <c r="A355" s="26">
        <v>337.0</v>
      </c>
      <c r="B355" s="15" t="s">
        <v>873</v>
      </c>
      <c r="C355" s="16" t="s">
        <v>874</v>
      </c>
      <c r="D355" s="38">
        <v>45496.0</v>
      </c>
      <c r="E355" s="26">
        <v>-17.47</v>
      </c>
      <c r="F355" s="28">
        <v>95.2</v>
      </c>
      <c r="G355" s="29">
        <v>340.0</v>
      </c>
      <c r="H355" s="26">
        <v>112.6</v>
      </c>
      <c r="I355" s="29">
        <v>316.0</v>
      </c>
      <c r="J355" s="28">
        <v>68.1</v>
      </c>
      <c r="K355" s="29">
        <v>141.0</v>
      </c>
      <c r="L355" s="28">
        <v>-0.016</v>
      </c>
      <c r="M355" s="29">
        <v>228.0</v>
      </c>
      <c r="N355" s="28">
        <v>-3.6</v>
      </c>
      <c r="O355" s="29">
        <v>268.0</v>
      </c>
      <c r="P355" s="26">
        <v>102.7</v>
      </c>
      <c r="Q355" s="29">
        <v>312.0</v>
      </c>
      <c r="R355" s="26">
        <v>106.3</v>
      </c>
      <c r="S355" s="29">
        <v>174.0</v>
      </c>
      <c r="T355" s="30">
        <f>+3.08</f>
        <v>3.08</v>
      </c>
      <c r="U355" s="29">
        <v>99.0</v>
      </c>
    </row>
    <row r="356">
      <c r="A356" s="21">
        <v>338.0</v>
      </c>
      <c r="B356" s="15" t="s">
        <v>875</v>
      </c>
      <c r="C356" s="16" t="s">
        <v>876</v>
      </c>
      <c r="D356" s="39">
        <v>45466.0</v>
      </c>
      <c r="E356" s="21">
        <v>-17.66</v>
      </c>
      <c r="F356" s="23">
        <v>93.3</v>
      </c>
      <c r="G356" s="24">
        <v>349.0</v>
      </c>
      <c r="H356" s="21">
        <v>111.0</v>
      </c>
      <c r="I356" s="24">
        <v>274.0</v>
      </c>
      <c r="J356" s="23">
        <v>68.4</v>
      </c>
      <c r="K356" s="24">
        <v>130.0</v>
      </c>
      <c r="L356" s="23">
        <v>-0.04</v>
      </c>
      <c r="M356" s="24">
        <v>285.0</v>
      </c>
      <c r="N356" s="23">
        <v>-3.23</v>
      </c>
      <c r="O356" s="24">
        <v>253.0</v>
      </c>
      <c r="P356" s="21">
        <v>103.4</v>
      </c>
      <c r="Q356" s="24">
        <v>294.0</v>
      </c>
      <c r="R356" s="21">
        <v>106.6</v>
      </c>
      <c r="S356" s="24">
        <v>191.0</v>
      </c>
      <c r="T356" s="25">
        <f>+18.88</f>
        <v>18.88</v>
      </c>
      <c r="U356" s="24">
        <v>1.0</v>
      </c>
    </row>
    <row r="357">
      <c r="A357" s="26">
        <v>339.0</v>
      </c>
      <c r="B357" s="15" t="s">
        <v>877</v>
      </c>
      <c r="C357" s="16" t="s">
        <v>878</v>
      </c>
      <c r="D357" s="38">
        <v>45410.0</v>
      </c>
      <c r="E357" s="26">
        <v>-17.84</v>
      </c>
      <c r="F357" s="28">
        <v>94.5</v>
      </c>
      <c r="G357" s="29">
        <v>343.0</v>
      </c>
      <c r="H357" s="26">
        <v>112.4</v>
      </c>
      <c r="I357" s="29">
        <v>310.0</v>
      </c>
      <c r="J357" s="28">
        <v>65.9</v>
      </c>
      <c r="K357" s="29">
        <v>272.0</v>
      </c>
      <c r="L357" s="28">
        <v>-0.009</v>
      </c>
      <c r="M357" s="29">
        <v>206.0</v>
      </c>
      <c r="N357" s="28">
        <v>-1.06</v>
      </c>
      <c r="O357" s="29">
        <v>194.0</v>
      </c>
      <c r="P357" s="26">
        <v>105.6</v>
      </c>
      <c r="Q357" s="29">
        <v>198.0</v>
      </c>
      <c r="R357" s="26">
        <v>106.7</v>
      </c>
      <c r="S357" s="29">
        <v>197.0</v>
      </c>
      <c r="T357" s="28">
        <v>-1.55</v>
      </c>
      <c r="U357" s="29">
        <v>245.0</v>
      </c>
    </row>
    <row r="358">
      <c r="A358" s="31">
        <v>340.0</v>
      </c>
      <c r="B358" s="32" t="s">
        <v>879</v>
      </c>
      <c r="C358" s="33" t="s">
        <v>880</v>
      </c>
      <c r="D358" s="40">
        <v>45558.0</v>
      </c>
      <c r="E358" s="31">
        <v>-17.97</v>
      </c>
      <c r="F358" s="35">
        <v>97.2</v>
      </c>
      <c r="G358" s="36">
        <v>321.0</v>
      </c>
      <c r="H358" s="31">
        <v>115.2</v>
      </c>
      <c r="I358" s="36">
        <v>347.0</v>
      </c>
      <c r="J358" s="35">
        <v>69.3</v>
      </c>
      <c r="K358" s="36">
        <v>81.0</v>
      </c>
      <c r="L358" s="37">
        <f>+0.022</f>
        <v>0.022</v>
      </c>
      <c r="M358" s="36">
        <v>128.0</v>
      </c>
      <c r="N358" s="35">
        <v>-4.82</v>
      </c>
      <c r="O358" s="36">
        <v>298.0</v>
      </c>
      <c r="P358" s="31">
        <v>105.1</v>
      </c>
      <c r="Q358" s="36">
        <v>235.0</v>
      </c>
      <c r="R358" s="31">
        <v>109.9</v>
      </c>
      <c r="S358" s="36">
        <v>360.0</v>
      </c>
      <c r="T358" s="35">
        <v>-3.68</v>
      </c>
      <c r="U358" s="36">
        <v>289.0</v>
      </c>
    </row>
    <row r="359">
      <c r="A359" s="26">
        <v>341.0</v>
      </c>
      <c r="B359" s="15" t="s">
        <v>881</v>
      </c>
      <c r="C359" s="16" t="s">
        <v>882</v>
      </c>
      <c r="D359" s="38">
        <v>45559.0</v>
      </c>
      <c r="E359" s="26">
        <v>-18.04</v>
      </c>
      <c r="F359" s="28">
        <v>94.5</v>
      </c>
      <c r="G359" s="29">
        <v>344.0</v>
      </c>
      <c r="H359" s="26">
        <v>112.6</v>
      </c>
      <c r="I359" s="29">
        <v>314.0</v>
      </c>
      <c r="J359" s="28">
        <v>69.8</v>
      </c>
      <c r="K359" s="29">
        <v>69.0</v>
      </c>
      <c r="L359" s="28">
        <v>0.0</v>
      </c>
      <c r="M359" s="29">
        <v>184.0</v>
      </c>
      <c r="N359" s="28">
        <v>-4.09</v>
      </c>
      <c r="O359" s="29">
        <v>282.0</v>
      </c>
      <c r="P359" s="26">
        <v>105.0</v>
      </c>
      <c r="Q359" s="29">
        <v>240.0</v>
      </c>
      <c r="R359" s="26">
        <v>109.1</v>
      </c>
      <c r="S359" s="29">
        <v>336.0</v>
      </c>
      <c r="T359" s="28">
        <v>-3.53</v>
      </c>
      <c r="U359" s="29">
        <v>286.0</v>
      </c>
    </row>
    <row r="360">
      <c r="A360" s="21">
        <v>342.0</v>
      </c>
      <c r="B360" s="15" t="s">
        <v>883</v>
      </c>
      <c r="C360" s="16" t="s">
        <v>884</v>
      </c>
      <c r="D360" s="39">
        <v>45588.0</v>
      </c>
      <c r="E360" s="21">
        <v>-18.33</v>
      </c>
      <c r="F360" s="23">
        <v>97.8</v>
      </c>
      <c r="G360" s="24">
        <v>315.0</v>
      </c>
      <c r="H360" s="21">
        <v>116.2</v>
      </c>
      <c r="I360" s="24">
        <v>352.0</v>
      </c>
      <c r="J360" s="23">
        <v>71.6</v>
      </c>
      <c r="K360" s="24">
        <v>21.0</v>
      </c>
      <c r="L360" s="23">
        <v>-0.034</v>
      </c>
      <c r="M360" s="24">
        <v>270.0</v>
      </c>
      <c r="N360" s="23">
        <v>-4.24</v>
      </c>
      <c r="O360" s="24">
        <v>287.0</v>
      </c>
      <c r="P360" s="21">
        <v>103.5</v>
      </c>
      <c r="Q360" s="24">
        <v>292.0</v>
      </c>
      <c r="R360" s="21">
        <v>107.7</v>
      </c>
      <c r="S360" s="24">
        <v>257.0</v>
      </c>
      <c r="T360" s="25">
        <f>+7.28</f>
        <v>7.28</v>
      </c>
      <c r="U360" s="24">
        <v>31.0</v>
      </c>
    </row>
    <row r="361">
      <c r="A361" s="26">
        <v>343.0</v>
      </c>
      <c r="B361" s="15" t="s">
        <v>885</v>
      </c>
      <c r="C361" s="16" t="s">
        <v>886</v>
      </c>
      <c r="D361" s="38">
        <v>45495.0</v>
      </c>
      <c r="E361" s="26">
        <v>-18.87</v>
      </c>
      <c r="F361" s="28">
        <v>93.3</v>
      </c>
      <c r="G361" s="29">
        <v>350.0</v>
      </c>
      <c r="H361" s="26">
        <v>112.2</v>
      </c>
      <c r="I361" s="29">
        <v>302.0</v>
      </c>
      <c r="J361" s="28">
        <v>70.4</v>
      </c>
      <c r="K361" s="29">
        <v>49.0</v>
      </c>
      <c r="L361" s="28">
        <v>-0.001</v>
      </c>
      <c r="M361" s="29">
        <v>189.0</v>
      </c>
      <c r="N361" s="28">
        <v>-5.93</v>
      </c>
      <c r="O361" s="29">
        <v>322.0</v>
      </c>
      <c r="P361" s="26">
        <v>101.5</v>
      </c>
      <c r="Q361" s="29">
        <v>340.0</v>
      </c>
      <c r="R361" s="26">
        <v>107.4</v>
      </c>
      <c r="S361" s="29">
        <v>236.0</v>
      </c>
      <c r="T361" s="30">
        <f>+1.82</f>
        <v>1.82</v>
      </c>
      <c r="U361" s="29">
        <v>134.0</v>
      </c>
    </row>
    <row r="362">
      <c r="A362" s="21">
        <v>344.0</v>
      </c>
      <c r="B362" s="15" t="s">
        <v>887</v>
      </c>
      <c r="C362" s="16" t="s">
        <v>888</v>
      </c>
      <c r="D362" s="39">
        <v>45587.0</v>
      </c>
      <c r="E362" s="21">
        <v>-19.0</v>
      </c>
      <c r="F362" s="23">
        <v>90.9</v>
      </c>
      <c r="G362" s="24">
        <v>357.0</v>
      </c>
      <c r="H362" s="21">
        <v>109.9</v>
      </c>
      <c r="I362" s="24">
        <v>247.0</v>
      </c>
      <c r="J362" s="23">
        <v>63.1</v>
      </c>
      <c r="K362" s="24">
        <v>352.0</v>
      </c>
      <c r="L362" s="23">
        <v>-0.052</v>
      </c>
      <c r="M362" s="24">
        <v>302.0</v>
      </c>
      <c r="N362" s="23">
        <v>-9.3</v>
      </c>
      <c r="O362" s="24">
        <v>358.0</v>
      </c>
      <c r="P362" s="21">
        <v>100.5</v>
      </c>
      <c r="Q362" s="24">
        <v>351.0</v>
      </c>
      <c r="R362" s="21">
        <v>109.8</v>
      </c>
      <c r="S362" s="24">
        <v>357.0</v>
      </c>
      <c r="T362" s="23">
        <v>-5.48</v>
      </c>
      <c r="U362" s="24">
        <v>325.0</v>
      </c>
    </row>
    <row r="363">
      <c r="A363" s="26">
        <v>345.0</v>
      </c>
      <c r="B363" s="15" t="s">
        <v>889</v>
      </c>
      <c r="C363" s="16" t="s">
        <v>890</v>
      </c>
      <c r="D363" s="38">
        <v>45527.0</v>
      </c>
      <c r="E363" s="26">
        <v>-19.04</v>
      </c>
      <c r="F363" s="28">
        <v>96.5</v>
      </c>
      <c r="G363" s="29">
        <v>329.0</v>
      </c>
      <c r="H363" s="26">
        <v>115.5</v>
      </c>
      <c r="I363" s="29">
        <v>350.0</v>
      </c>
      <c r="J363" s="28">
        <v>70.0</v>
      </c>
      <c r="K363" s="29">
        <v>56.0</v>
      </c>
      <c r="L363" s="28">
        <v>-0.009</v>
      </c>
      <c r="M363" s="29">
        <v>207.0</v>
      </c>
      <c r="N363" s="28">
        <v>-6.84</v>
      </c>
      <c r="O363" s="29">
        <v>336.0</v>
      </c>
      <c r="P363" s="26">
        <v>102.2</v>
      </c>
      <c r="Q363" s="29">
        <v>320.0</v>
      </c>
      <c r="R363" s="26">
        <v>109.0</v>
      </c>
      <c r="S363" s="29">
        <v>332.0</v>
      </c>
      <c r="T363" s="28">
        <v>-3.16</v>
      </c>
      <c r="U363" s="29">
        <v>278.0</v>
      </c>
    </row>
    <row r="364">
      <c r="A364" s="21">
        <v>346.0</v>
      </c>
      <c r="B364" s="15" t="s">
        <v>891</v>
      </c>
      <c r="C364" s="16" t="s">
        <v>892</v>
      </c>
      <c r="D364" s="39">
        <v>45498.0</v>
      </c>
      <c r="E364" s="21">
        <v>-19.43</v>
      </c>
      <c r="F364" s="23">
        <v>96.0</v>
      </c>
      <c r="G364" s="24">
        <v>333.0</v>
      </c>
      <c r="H364" s="21">
        <v>115.4</v>
      </c>
      <c r="I364" s="24">
        <v>349.0</v>
      </c>
      <c r="J364" s="23">
        <v>67.8</v>
      </c>
      <c r="K364" s="24">
        <v>160.0</v>
      </c>
      <c r="L364" s="25">
        <f>+0.045</f>
        <v>0.045</v>
      </c>
      <c r="M364" s="24">
        <v>74.0</v>
      </c>
      <c r="N364" s="23">
        <v>-2.33</v>
      </c>
      <c r="O364" s="24">
        <v>229.0</v>
      </c>
      <c r="P364" s="21">
        <v>105.0</v>
      </c>
      <c r="Q364" s="24">
        <v>238.0</v>
      </c>
      <c r="R364" s="21">
        <v>107.4</v>
      </c>
      <c r="S364" s="24">
        <v>235.0</v>
      </c>
      <c r="T364" s="25">
        <f>+1.37</f>
        <v>1.37</v>
      </c>
      <c r="U364" s="24">
        <v>149.0</v>
      </c>
    </row>
    <row r="365">
      <c r="A365" s="26">
        <v>347.0</v>
      </c>
      <c r="B365" s="15" t="s">
        <v>893</v>
      </c>
      <c r="C365" s="16" t="s">
        <v>894</v>
      </c>
      <c r="D365" s="38">
        <v>45555.0</v>
      </c>
      <c r="E365" s="26">
        <v>-19.69</v>
      </c>
      <c r="F365" s="28">
        <v>89.8</v>
      </c>
      <c r="G365" s="29">
        <v>359.0</v>
      </c>
      <c r="H365" s="26">
        <v>109.5</v>
      </c>
      <c r="I365" s="29">
        <v>244.0</v>
      </c>
      <c r="J365" s="28">
        <v>67.2</v>
      </c>
      <c r="K365" s="29">
        <v>202.0</v>
      </c>
      <c r="L365" s="30">
        <f>+0.003</f>
        <v>0.003</v>
      </c>
      <c r="M365" s="29">
        <v>176.0</v>
      </c>
      <c r="N365" s="28">
        <v>-4.57</v>
      </c>
      <c r="O365" s="29">
        <v>293.0</v>
      </c>
      <c r="P365" s="26">
        <v>102.9</v>
      </c>
      <c r="Q365" s="29">
        <v>301.0</v>
      </c>
      <c r="R365" s="26">
        <v>107.5</v>
      </c>
      <c r="S365" s="29">
        <v>242.0</v>
      </c>
      <c r="T365" s="30">
        <f>+5.26</f>
        <v>5.26</v>
      </c>
      <c r="U365" s="29">
        <v>60.0</v>
      </c>
    </row>
    <row r="366">
      <c r="A366" s="21">
        <v>348.0</v>
      </c>
      <c r="B366" s="15" t="s">
        <v>895</v>
      </c>
      <c r="C366" s="16" t="s">
        <v>896</v>
      </c>
      <c r="D366" s="39">
        <v>45409.0</v>
      </c>
      <c r="E366" s="21">
        <v>-19.7</v>
      </c>
      <c r="F366" s="23">
        <v>95.4</v>
      </c>
      <c r="G366" s="24">
        <v>338.0</v>
      </c>
      <c r="H366" s="21">
        <v>115.1</v>
      </c>
      <c r="I366" s="24">
        <v>345.0</v>
      </c>
      <c r="J366" s="23">
        <v>69.2</v>
      </c>
      <c r="K366" s="24">
        <v>83.0</v>
      </c>
      <c r="L366" s="23">
        <v>-0.017</v>
      </c>
      <c r="M366" s="24">
        <v>231.0</v>
      </c>
      <c r="N366" s="23">
        <v>-2.32</v>
      </c>
      <c r="O366" s="24">
        <v>228.0</v>
      </c>
      <c r="P366" s="21">
        <v>105.1</v>
      </c>
      <c r="Q366" s="24">
        <v>236.0</v>
      </c>
      <c r="R366" s="21">
        <v>107.4</v>
      </c>
      <c r="S366" s="24">
        <v>239.0</v>
      </c>
      <c r="T366" s="25">
        <f>+0.9</f>
        <v>0.9</v>
      </c>
      <c r="U366" s="24">
        <v>163.0</v>
      </c>
    </row>
    <row r="367">
      <c r="A367" s="26">
        <v>349.0</v>
      </c>
      <c r="B367" s="15" t="s">
        <v>897</v>
      </c>
      <c r="C367" s="16" t="s">
        <v>898</v>
      </c>
      <c r="D367" s="38">
        <v>45588.0</v>
      </c>
      <c r="E367" s="26">
        <v>-19.72</v>
      </c>
      <c r="F367" s="28">
        <v>100.7</v>
      </c>
      <c r="G367" s="29">
        <v>272.0</v>
      </c>
      <c r="H367" s="26">
        <v>120.4</v>
      </c>
      <c r="I367" s="29">
        <v>362.0</v>
      </c>
      <c r="J367" s="28">
        <v>65.9</v>
      </c>
      <c r="K367" s="29">
        <v>276.0</v>
      </c>
      <c r="L367" s="30">
        <f>+0.017</f>
        <v>0.017</v>
      </c>
      <c r="M367" s="29">
        <v>145.0</v>
      </c>
      <c r="N367" s="28">
        <v>-7.78</v>
      </c>
      <c r="O367" s="29">
        <v>350.0</v>
      </c>
      <c r="P367" s="26">
        <v>100.6</v>
      </c>
      <c r="Q367" s="29">
        <v>350.0</v>
      </c>
      <c r="R367" s="26">
        <v>108.4</v>
      </c>
      <c r="S367" s="29">
        <v>291.0</v>
      </c>
      <c r="T367" s="28">
        <v>-3.54</v>
      </c>
      <c r="U367" s="29">
        <v>287.0</v>
      </c>
    </row>
    <row r="368">
      <c r="A368" s="31">
        <v>350.0</v>
      </c>
      <c r="B368" s="32" t="s">
        <v>899</v>
      </c>
      <c r="C368" s="33" t="s">
        <v>900</v>
      </c>
      <c r="D368" s="40">
        <v>45498.0</v>
      </c>
      <c r="E368" s="31">
        <v>-20.27</v>
      </c>
      <c r="F368" s="35">
        <v>93.3</v>
      </c>
      <c r="G368" s="36">
        <v>348.0</v>
      </c>
      <c r="H368" s="31">
        <v>113.6</v>
      </c>
      <c r="I368" s="36">
        <v>331.0</v>
      </c>
      <c r="J368" s="35">
        <v>65.8</v>
      </c>
      <c r="K368" s="36">
        <v>280.0</v>
      </c>
      <c r="L368" s="35">
        <v>-0.008</v>
      </c>
      <c r="M368" s="36">
        <v>203.0</v>
      </c>
      <c r="N368" s="35">
        <v>-6.52</v>
      </c>
      <c r="O368" s="36">
        <v>334.0</v>
      </c>
      <c r="P368" s="31">
        <v>102.1</v>
      </c>
      <c r="Q368" s="36">
        <v>323.0</v>
      </c>
      <c r="R368" s="31">
        <v>108.6</v>
      </c>
      <c r="S368" s="36">
        <v>307.0</v>
      </c>
      <c r="T368" s="37">
        <f>+0.56</f>
        <v>0.56</v>
      </c>
      <c r="U368" s="36">
        <v>173.0</v>
      </c>
    </row>
    <row r="369">
      <c r="A369" s="26">
        <v>351.0</v>
      </c>
      <c r="B369" s="15" t="s">
        <v>901</v>
      </c>
      <c r="C369" s="16" t="s">
        <v>902</v>
      </c>
      <c r="D369" s="38">
        <v>45322.0</v>
      </c>
      <c r="E369" s="26">
        <v>-20.52</v>
      </c>
      <c r="F369" s="28">
        <v>96.9</v>
      </c>
      <c r="G369" s="29">
        <v>324.0</v>
      </c>
      <c r="H369" s="26">
        <v>117.5</v>
      </c>
      <c r="I369" s="29">
        <v>357.0</v>
      </c>
      <c r="J369" s="28">
        <v>66.9</v>
      </c>
      <c r="K369" s="29">
        <v>227.0</v>
      </c>
      <c r="L369" s="28">
        <v>-0.068</v>
      </c>
      <c r="M369" s="29">
        <v>324.0</v>
      </c>
      <c r="N369" s="28">
        <v>-0.36</v>
      </c>
      <c r="O369" s="29">
        <v>179.0</v>
      </c>
      <c r="P369" s="26">
        <v>107.2</v>
      </c>
      <c r="Q369" s="29">
        <v>136.0</v>
      </c>
      <c r="R369" s="26">
        <v>107.6</v>
      </c>
      <c r="S369" s="29">
        <v>251.0</v>
      </c>
      <c r="T369" s="30">
        <f>+5.91</f>
        <v>5.91</v>
      </c>
      <c r="U369" s="29">
        <v>49.0</v>
      </c>
    </row>
    <row r="370">
      <c r="A370" s="21">
        <v>352.0</v>
      </c>
      <c r="B370" s="15" t="s">
        <v>903</v>
      </c>
      <c r="C370" s="16" t="s">
        <v>904</v>
      </c>
      <c r="D370" s="39">
        <v>45557.0</v>
      </c>
      <c r="E370" s="21">
        <v>-21.33</v>
      </c>
      <c r="F370" s="23">
        <v>91.3</v>
      </c>
      <c r="G370" s="24">
        <v>356.0</v>
      </c>
      <c r="H370" s="21">
        <v>112.7</v>
      </c>
      <c r="I370" s="24">
        <v>317.0</v>
      </c>
      <c r="J370" s="23">
        <v>69.2</v>
      </c>
      <c r="K370" s="24">
        <v>87.0</v>
      </c>
      <c r="L370" s="25">
        <f>+0.016</f>
        <v>0.016</v>
      </c>
      <c r="M370" s="24">
        <v>146.0</v>
      </c>
      <c r="N370" s="23">
        <v>-5.39</v>
      </c>
      <c r="O370" s="24">
        <v>314.0</v>
      </c>
      <c r="P370" s="21">
        <v>102.5</v>
      </c>
      <c r="Q370" s="24">
        <v>316.0</v>
      </c>
      <c r="R370" s="21">
        <v>107.9</v>
      </c>
      <c r="S370" s="24">
        <v>269.0</v>
      </c>
      <c r="T370" s="25">
        <f>+2.97</f>
        <v>2.97</v>
      </c>
      <c r="U370" s="24">
        <v>105.0</v>
      </c>
    </row>
    <row r="371">
      <c r="A371" s="26">
        <v>353.0</v>
      </c>
      <c r="B371" s="15" t="s">
        <v>905</v>
      </c>
      <c r="C371" s="16" t="s">
        <v>906</v>
      </c>
      <c r="D371" s="38">
        <v>45410.0</v>
      </c>
      <c r="E371" s="26">
        <v>-22.07</v>
      </c>
      <c r="F371" s="28">
        <v>89.2</v>
      </c>
      <c r="G371" s="29">
        <v>360.0</v>
      </c>
      <c r="H371" s="26">
        <v>111.2</v>
      </c>
      <c r="I371" s="29">
        <v>284.0</v>
      </c>
      <c r="J371" s="28">
        <v>74.7</v>
      </c>
      <c r="K371" s="29">
        <v>2.0</v>
      </c>
      <c r="L371" s="28">
        <v>-0.06</v>
      </c>
      <c r="M371" s="29">
        <v>319.0</v>
      </c>
      <c r="N371" s="30">
        <f>+0.04</f>
        <v>0.04</v>
      </c>
      <c r="O371" s="29">
        <v>161.0</v>
      </c>
      <c r="P371" s="26">
        <v>107.2</v>
      </c>
      <c r="Q371" s="29">
        <v>135.0</v>
      </c>
      <c r="R371" s="26">
        <v>107.2</v>
      </c>
      <c r="S371" s="29">
        <v>222.0</v>
      </c>
      <c r="T371" s="28">
        <v>-3.14</v>
      </c>
      <c r="U371" s="29">
        <v>277.0</v>
      </c>
    </row>
    <row r="372">
      <c r="A372" s="21">
        <v>354.0</v>
      </c>
      <c r="B372" s="15" t="s">
        <v>907</v>
      </c>
      <c r="C372" s="16" t="s">
        <v>908</v>
      </c>
      <c r="D372" s="39">
        <v>45526.0</v>
      </c>
      <c r="E372" s="21">
        <v>-22.26</v>
      </c>
      <c r="F372" s="23">
        <v>94.4</v>
      </c>
      <c r="G372" s="24">
        <v>345.0</v>
      </c>
      <c r="H372" s="21">
        <v>116.7</v>
      </c>
      <c r="I372" s="24">
        <v>355.0</v>
      </c>
      <c r="J372" s="23">
        <v>65.5</v>
      </c>
      <c r="K372" s="24">
        <v>305.0</v>
      </c>
      <c r="L372" s="25">
        <f>+0.021</f>
        <v>0.021</v>
      </c>
      <c r="M372" s="24">
        <v>131.0</v>
      </c>
      <c r="N372" s="23">
        <v>-7.46</v>
      </c>
      <c r="O372" s="24">
        <v>345.0</v>
      </c>
      <c r="P372" s="21">
        <v>100.9</v>
      </c>
      <c r="Q372" s="24">
        <v>346.0</v>
      </c>
      <c r="R372" s="21">
        <v>108.4</v>
      </c>
      <c r="S372" s="24">
        <v>294.0</v>
      </c>
      <c r="T372" s="23">
        <v>-0.45</v>
      </c>
      <c r="U372" s="24">
        <v>207.0</v>
      </c>
    </row>
    <row r="373">
      <c r="A373" s="26">
        <v>355.0</v>
      </c>
      <c r="B373" s="15" t="s">
        <v>909</v>
      </c>
      <c r="C373" s="16" t="s">
        <v>910</v>
      </c>
      <c r="D373" s="38">
        <v>45466.0</v>
      </c>
      <c r="E373" s="26">
        <v>-22.42</v>
      </c>
      <c r="F373" s="28">
        <v>96.6</v>
      </c>
      <c r="G373" s="29">
        <v>327.0</v>
      </c>
      <c r="H373" s="26">
        <v>119.0</v>
      </c>
      <c r="I373" s="29">
        <v>361.0</v>
      </c>
      <c r="J373" s="28">
        <v>71.5</v>
      </c>
      <c r="K373" s="29">
        <v>26.0</v>
      </c>
      <c r="L373" s="28">
        <v>-0.005</v>
      </c>
      <c r="M373" s="29">
        <v>198.0</v>
      </c>
      <c r="N373" s="28">
        <v>-3.11</v>
      </c>
      <c r="O373" s="29">
        <v>250.0</v>
      </c>
      <c r="P373" s="26">
        <v>104.6</v>
      </c>
      <c r="Q373" s="29">
        <v>255.0</v>
      </c>
      <c r="R373" s="26">
        <v>107.7</v>
      </c>
      <c r="S373" s="29">
        <v>262.0</v>
      </c>
      <c r="T373" s="30">
        <f>+11.7</f>
        <v>11.7</v>
      </c>
      <c r="U373" s="29">
        <v>7.0</v>
      </c>
    </row>
    <row r="374">
      <c r="A374" s="21">
        <v>356.0</v>
      </c>
      <c r="B374" s="15" t="s">
        <v>911</v>
      </c>
      <c r="C374" s="16" t="s">
        <v>912</v>
      </c>
      <c r="D374" s="39">
        <v>45557.0</v>
      </c>
      <c r="E374" s="21">
        <v>-22.52</v>
      </c>
      <c r="F374" s="23">
        <v>91.7</v>
      </c>
      <c r="G374" s="24">
        <v>355.0</v>
      </c>
      <c r="H374" s="21">
        <v>114.2</v>
      </c>
      <c r="I374" s="24">
        <v>339.0</v>
      </c>
      <c r="J374" s="23">
        <v>67.2</v>
      </c>
      <c r="K374" s="24">
        <v>204.0</v>
      </c>
      <c r="L374" s="25">
        <f>+0.024</f>
        <v>0.024</v>
      </c>
      <c r="M374" s="24">
        <v>122.0</v>
      </c>
      <c r="N374" s="23">
        <v>-7.21</v>
      </c>
      <c r="O374" s="24">
        <v>342.0</v>
      </c>
      <c r="P374" s="21">
        <v>101.5</v>
      </c>
      <c r="Q374" s="24">
        <v>339.0</v>
      </c>
      <c r="R374" s="21">
        <v>108.7</v>
      </c>
      <c r="S374" s="24">
        <v>316.0</v>
      </c>
      <c r="T374" s="23">
        <v>-1.84</v>
      </c>
      <c r="U374" s="24">
        <v>249.0</v>
      </c>
    </row>
    <row r="375">
      <c r="A375" s="26">
        <v>357.0</v>
      </c>
      <c r="B375" s="15" t="s">
        <v>913</v>
      </c>
      <c r="C375" s="16" t="s">
        <v>914</v>
      </c>
      <c r="D375" s="38">
        <v>45410.0</v>
      </c>
      <c r="E375" s="26">
        <v>-22.83</v>
      </c>
      <c r="F375" s="28">
        <v>90.5</v>
      </c>
      <c r="G375" s="29">
        <v>358.0</v>
      </c>
      <c r="H375" s="26">
        <v>113.4</v>
      </c>
      <c r="I375" s="29">
        <v>326.0</v>
      </c>
      <c r="J375" s="28">
        <v>66.1</v>
      </c>
      <c r="K375" s="29">
        <v>270.0</v>
      </c>
      <c r="L375" s="28">
        <v>-0.011</v>
      </c>
      <c r="M375" s="29">
        <v>215.0</v>
      </c>
      <c r="N375" s="28">
        <v>-3.83</v>
      </c>
      <c r="O375" s="29">
        <v>275.0</v>
      </c>
      <c r="P375" s="26">
        <v>103.5</v>
      </c>
      <c r="Q375" s="29">
        <v>291.0</v>
      </c>
      <c r="R375" s="26">
        <v>107.3</v>
      </c>
      <c r="S375" s="29">
        <v>231.0</v>
      </c>
      <c r="T375" s="28">
        <v>-0.56</v>
      </c>
      <c r="U375" s="29">
        <v>213.0</v>
      </c>
    </row>
    <row r="376">
      <c r="A376" s="21">
        <v>358.0</v>
      </c>
      <c r="B376" s="15" t="s">
        <v>915</v>
      </c>
      <c r="C376" s="16" t="s">
        <v>916</v>
      </c>
      <c r="D376" s="39">
        <v>45469.0</v>
      </c>
      <c r="E376" s="21">
        <v>-22.84</v>
      </c>
      <c r="F376" s="23">
        <v>95.3</v>
      </c>
      <c r="G376" s="24">
        <v>339.0</v>
      </c>
      <c r="H376" s="21">
        <v>118.1</v>
      </c>
      <c r="I376" s="24">
        <v>359.0</v>
      </c>
      <c r="J376" s="23">
        <v>68.4</v>
      </c>
      <c r="K376" s="24">
        <v>129.0</v>
      </c>
      <c r="L376" s="23">
        <v>-0.014</v>
      </c>
      <c r="M376" s="24">
        <v>223.0</v>
      </c>
      <c r="N376" s="23">
        <v>-0.13</v>
      </c>
      <c r="O376" s="24">
        <v>167.0</v>
      </c>
      <c r="P376" s="21">
        <v>106.2</v>
      </c>
      <c r="Q376" s="24">
        <v>173.0</v>
      </c>
      <c r="R376" s="21">
        <v>106.4</v>
      </c>
      <c r="S376" s="24">
        <v>176.0</v>
      </c>
      <c r="T376" s="23">
        <v>-5.22</v>
      </c>
      <c r="U376" s="24">
        <v>315.0</v>
      </c>
    </row>
    <row r="377">
      <c r="A377" s="26">
        <v>359.0</v>
      </c>
      <c r="B377" s="15" t="s">
        <v>917</v>
      </c>
      <c r="C377" s="16" t="s">
        <v>918</v>
      </c>
      <c r="D377" s="38">
        <v>45409.0</v>
      </c>
      <c r="E377" s="26">
        <v>-22.93</v>
      </c>
      <c r="F377" s="28">
        <v>91.9</v>
      </c>
      <c r="G377" s="29">
        <v>354.0</v>
      </c>
      <c r="H377" s="26">
        <v>114.8</v>
      </c>
      <c r="I377" s="29">
        <v>344.0</v>
      </c>
      <c r="J377" s="28">
        <v>67.7</v>
      </c>
      <c r="K377" s="29">
        <v>164.0</v>
      </c>
      <c r="L377" s="28">
        <v>-0.078</v>
      </c>
      <c r="M377" s="29">
        <v>335.0</v>
      </c>
      <c r="N377" s="28">
        <v>-5.1</v>
      </c>
      <c r="O377" s="29">
        <v>302.0</v>
      </c>
      <c r="P377" s="26">
        <v>102.1</v>
      </c>
      <c r="Q377" s="29">
        <v>322.0</v>
      </c>
      <c r="R377" s="26">
        <v>107.2</v>
      </c>
      <c r="S377" s="29">
        <v>224.0</v>
      </c>
      <c r="T377" s="30">
        <f>+4.1</f>
        <v>4.1</v>
      </c>
      <c r="U377" s="29">
        <v>80.0</v>
      </c>
    </row>
    <row r="378">
      <c r="A378" s="31">
        <v>360.0</v>
      </c>
      <c r="B378" s="32" t="s">
        <v>919</v>
      </c>
      <c r="C378" s="33" t="s">
        <v>920</v>
      </c>
      <c r="D378" s="40">
        <v>45469.0</v>
      </c>
      <c r="E378" s="31">
        <v>-25.61</v>
      </c>
      <c r="F378" s="35">
        <v>92.3</v>
      </c>
      <c r="G378" s="36">
        <v>353.0</v>
      </c>
      <c r="H378" s="31">
        <v>117.9</v>
      </c>
      <c r="I378" s="36">
        <v>358.0</v>
      </c>
      <c r="J378" s="35">
        <v>67.5</v>
      </c>
      <c r="K378" s="36">
        <v>183.0</v>
      </c>
      <c r="L378" s="35">
        <v>-0.019</v>
      </c>
      <c r="M378" s="36">
        <v>244.0</v>
      </c>
      <c r="N378" s="35">
        <v>-3.06</v>
      </c>
      <c r="O378" s="36">
        <v>247.0</v>
      </c>
      <c r="P378" s="31">
        <v>106.1</v>
      </c>
      <c r="Q378" s="36">
        <v>179.0</v>
      </c>
      <c r="R378" s="31">
        <v>109.2</v>
      </c>
      <c r="S378" s="36">
        <v>338.0</v>
      </c>
      <c r="T378" s="35">
        <v>-4.33</v>
      </c>
      <c r="U378" s="36">
        <v>303.0</v>
      </c>
    </row>
    <row r="379">
      <c r="A379" s="1"/>
      <c r="B379" s="1"/>
      <c r="C379" s="1"/>
      <c r="D379" s="2"/>
      <c r="E379" s="2"/>
      <c r="F379" s="3"/>
      <c r="J379" s="3"/>
      <c r="L379" s="3"/>
      <c r="N379" s="4" t="s">
        <v>0</v>
      </c>
      <c r="T379" s="4" t="s">
        <v>1</v>
      </c>
    </row>
    <row r="380">
      <c r="A380" s="5" t="s">
        <v>921</v>
      </c>
      <c r="B380" s="6" t="s">
        <v>922</v>
      </c>
      <c r="C380" s="7" t="s">
        <v>4</v>
      </c>
      <c r="D380" s="5" t="s">
        <v>923</v>
      </c>
      <c r="E380" s="5" t="s">
        <v>924</v>
      </c>
      <c r="F380" s="10" t="s">
        <v>925</v>
      </c>
      <c r="H380" s="5" t="s">
        <v>926</v>
      </c>
      <c r="I380" s="2"/>
      <c r="J380" s="10" t="s">
        <v>927</v>
      </c>
      <c r="L380" s="10" t="s">
        <v>928</v>
      </c>
      <c r="N380" s="10" t="s">
        <v>929</v>
      </c>
      <c r="P380" s="5" t="s">
        <v>930</v>
      </c>
      <c r="Q380" s="2"/>
      <c r="R380" s="5" t="s">
        <v>931</v>
      </c>
      <c r="S380" s="2"/>
      <c r="T380" s="10" t="s">
        <v>932</v>
      </c>
    </row>
    <row r="381">
      <c r="A381" s="26">
        <v>361.0</v>
      </c>
      <c r="B381" s="15" t="s">
        <v>933</v>
      </c>
      <c r="C381" s="16" t="s">
        <v>934</v>
      </c>
      <c r="D381" s="38">
        <v>45349.0</v>
      </c>
      <c r="E381" s="26">
        <v>-25.73</v>
      </c>
      <c r="F381" s="28">
        <v>85.7</v>
      </c>
      <c r="G381" s="29">
        <v>361.0</v>
      </c>
      <c r="H381" s="26">
        <v>111.4</v>
      </c>
      <c r="I381" s="29">
        <v>285.0</v>
      </c>
      <c r="J381" s="28">
        <v>66.2</v>
      </c>
      <c r="K381" s="29">
        <v>266.0</v>
      </c>
      <c r="L381" s="28">
        <v>-0.057</v>
      </c>
      <c r="M381" s="29">
        <v>311.0</v>
      </c>
      <c r="N381" s="28">
        <v>-5.12</v>
      </c>
      <c r="O381" s="29">
        <v>305.0</v>
      </c>
      <c r="P381" s="26">
        <v>102.9</v>
      </c>
      <c r="Q381" s="29">
        <v>302.0</v>
      </c>
      <c r="R381" s="26">
        <v>108.0</v>
      </c>
      <c r="S381" s="29">
        <v>272.0</v>
      </c>
      <c r="T381" s="30">
        <f>+0.66</f>
        <v>0.66</v>
      </c>
      <c r="U381" s="29">
        <v>169.0</v>
      </c>
    </row>
    <row r="382">
      <c r="A382" s="21">
        <v>362.0</v>
      </c>
      <c r="B382" s="15" t="s">
        <v>935</v>
      </c>
      <c r="C382" s="16" t="s">
        <v>936</v>
      </c>
      <c r="D382" s="39">
        <v>45321.0</v>
      </c>
      <c r="E382" s="21">
        <v>-30.83</v>
      </c>
      <c r="F382" s="23">
        <v>85.5</v>
      </c>
      <c r="G382" s="24">
        <v>362.0</v>
      </c>
      <c r="H382" s="21">
        <v>116.3</v>
      </c>
      <c r="I382" s="24">
        <v>353.0</v>
      </c>
      <c r="J382" s="23">
        <v>64.7</v>
      </c>
      <c r="K382" s="24">
        <v>328.0</v>
      </c>
      <c r="L382" s="23">
        <v>-0.06</v>
      </c>
      <c r="M382" s="24">
        <v>317.0</v>
      </c>
      <c r="N382" s="23">
        <v>-2.12</v>
      </c>
      <c r="O382" s="24">
        <v>223.0</v>
      </c>
      <c r="P382" s="21">
        <v>104.4</v>
      </c>
      <c r="Q382" s="24">
        <v>263.0</v>
      </c>
      <c r="R382" s="21">
        <v>106.5</v>
      </c>
      <c r="S382" s="24">
        <v>185.0</v>
      </c>
      <c r="T382" s="25">
        <f>+15.26</f>
        <v>15.26</v>
      </c>
      <c r="U382" s="24">
        <v>2.0</v>
      </c>
    </row>
  </sheetData>
  <mergeCells count="138">
    <mergeCell ref="R338:S338"/>
    <mergeCell ref="T338:U338"/>
    <mergeCell ref="C379:E379"/>
    <mergeCell ref="J379:K379"/>
    <mergeCell ref="L379:M379"/>
    <mergeCell ref="N379:S379"/>
    <mergeCell ref="T379:U379"/>
    <mergeCell ref="F379:I379"/>
    <mergeCell ref="F380:G380"/>
    <mergeCell ref="H380:I380"/>
    <mergeCell ref="J380:K380"/>
    <mergeCell ref="L380:M380"/>
    <mergeCell ref="N380:O380"/>
    <mergeCell ref="P380:Q380"/>
    <mergeCell ref="L2:M2"/>
    <mergeCell ref="R2:S2"/>
    <mergeCell ref="C1:E1"/>
    <mergeCell ref="F1:I1"/>
    <mergeCell ref="J1:K1"/>
    <mergeCell ref="L1:M1"/>
    <mergeCell ref="N1:S1"/>
    <mergeCell ref="T1:U1"/>
    <mergeCell ref="F2:G2"/>
    <mergeCell ref="T2:U2"/>
    <mergeCell ref="H2:I2"/>
    <mergeCell ref="J2:K2"/>
    <mergeCell ref="C43:E43"/>
    <mergeCell ref="J43:K43"/>
    <mergeCell ref="L43:M43"/>
    <mergeCell ref="N43:S43"/>
    <mergeCell ref="T43:U43"/>
    <mergeCell ref="R44:S44"/>
    <mergeCell ref="T44:U44"/>
    <mergeCell ref="F43:I43"/>
    <mergeCell ref="F44:G44"/>
    <mergeCell ref="H44:I44"/>
    <mergeCell ref="J44:K44"/>
    <mergeCell ref="L44:M44"/>
    <mergeCell ref="N44:O44"/>
    <mergeCell ref="P44:Q44"/>
    <mergeCell ref="L86:M86"/>
    <mergeCell ref="N86:O86"/>
    <mergeCell ref="R380:S380"/>
    <mergeCell ref="T380:U380"/>
    <mergeCell ref="P86:Q86"/>
    <mergeCell ref="R86:S86"/>
    <mergeCell ref="C85:E85"/>
    <mergeCell ref="F85:I85"/>
    <mergeCell ref="J85:K85"/>
    <mergeCell ref="L85:M85"/>
    <mergeCell ref="N85:S85"/>
    <mergeCell ref="T85:U85"/>
    <mergeCell ref="F86:G86"/>
    <mergeCell ref="T86:U86"/>
    <mergeCell ref="H86:I86"/>
    <mergeCell ref="J86:K86"/>
    <mergeCell ref="C127:E127"/>
    <mergeCell ref="J127:K127"/>
    <mergeCell ref="L127:M127"/>
    <mergeCell ref="N127:S127"/>
    <mergeCell ref="T127:U127"/>
    <mergeCell ref="F127:I127"/>
    <mergeCell ref="F128:G128"/>
    <mergeCell ref="H128:I128"/>
    <mergeCell ref="J128:K128"/>
    <mergeCell ref="L128:M128"/>
    <mergeCell ref="N128:O128"/>
    <mergeCell ref="P128:Q128"/>
    <mergeCell ref="R128:S128"/>
    <mergeCell ref="T128:U128"/>
    <mergeCell ref="C169:E169"/>
    <mergeCell ref="J169:K169"/>
    <mergeCell ref="L169:M169"/>
    <mergeCell ref="N169:S169"/>
    <mergeCell ref="T169:U169"/>
    <mergeCell ref="F169:I169"/>
    <mergeCell ref="F170:G170"/>
    <mergeCell ref="H170:I170"/>
    <mergeCell ref="J170:K170"/>
    <mergeCell ref="L170:M170"/>
    <mergeCell ref="N170:O170"/>
    <mergeCell ref="P170:Q170"/>
    <mergeCell ref="R170:S170"/>
    <mergeCell ref="T170:U170"/>
    <mergeCell ref="C211:E211"/>
    <mergeCell ref="J211:K211"/>
    <mergeCell ref="L211:M211"/>
    <mergeCell ref="N211:S211"/>
    <mergeCell ref="T211:U211"/>
    <mergeCell ref="F211:I211"/>
    <mergeCell ref="F212:G212"/>
    <mergeCell ref="H212:I212"/>
    <mergeCell ref="J212:K212"/>
    <mergeCell ref="L212:M212"/>
    <mergeCell ref="N212:O212"/>
    <mergeCell ref="P212:Q212"/>
    <mergeCell ref="R212:S212"/>
    <mergeCell ref="T212:U212"/>
    <mergeCell ref="C253:E253"/>
    <mergeCell ref="J253:K253"/>
    <mergeCell ref="L253:M253"/>
    <mergeCell ref="N253:S253"/>
    <mergeCell ref="T253:U253"/>
    <mergeCell ref="F253:I253"/>
    <mergeCell ref="F254:G254"/>
    <mergeCell ref="H254:I254"/>
    <mergeCell ref="J254:K254"/>
    <mergeCell ref="L254:M254"/>
    <mergeCell ref="N254:O254"/>
    <mergeCell ref="P254:Q254"/>
    <mergeCell ref="R254:S254"/>
    <mergeCell ref="T254:U254"/>
    <mergeCell ref="C295:E295"/>
    <mergeCell ref="J295:K295"/>
    <mergeCell ref="L295:M295"/>
    <mergeCell ref="N295:S295"/>
    <mergeCell ref="T295:U295"/>
    <mergeCell ref="F295:I295"/>
    <mergeCell ref="F296:G296"/>
    <mergeCell ref="H296:I296"/>
    <mergeCell ref="J296:K296"/>
    <mergeCell ref="L296:M296"/>
    <mergeCell ref="N296:O296"/>
    <mergeCell ref="P296:Q296"/>
    <mergeCell ref="R296:S296"/>
    <mergeCell ref="T296:U296"/>
    <mergeCell ref="C337:E337"/>
    <mergeCell ref="J337:K337"/>
    <mergeCell ref="L337:M337"/>
    <mergeCell ref="N337:S337"/>
    <mergeCell ref="T337:U337"/>
    <mergeCell ref="F337:I337"/>
    <mergeCell ref="F338:G338"/>
    <mergeCell ref="H338:I338"/>
    <mergeCell ref="J338:K338"/>
    <mergeCell ref="L338:M338"/>
    <mergeCell ref="N338:O338"/>
    <mergeCell ref="P338:Q338"/>
  </mergeCells>
  <hyperlinks>
    <hyperlink r:id="rId1" ref="A2"/>
    <hyperlink r:id="rId2" ref="B2"/>
    <hyperlink r:id="rId3" ref="D2"/>
    <hyperlink r:id="rId4" ref="J2"/>
    <hyperlink r:id="rId5" ref="L2"/>
    <hyperlink r:id="rId6" ref="B3"/>
    <hyperlink r:id="rId7" ref="C3"/>
    <hyperlink r:id="rId8" ref="B4"/>
    <hyperlink r:id="rId9" ref="C4"/>
    <hyperlink r:id="rId10" ref="B5"/>
    <hyperlink r:id="rId11" ref="C5"/>
    <hyperlink r:id="rId12" ref="B6"/>
    <hyperlink r:id="rId13" ref="C6"/>
    <hyperlink r:id="rId14" ref="B7"/>
    <hyperlink r:id="rId15" ref="C7"/>
    <hyperlink r:id="rId16" ref="B8"/>
    <hyperlink r:id="rId17" ref="C8"/>
    <hyperlink r:id="rId18" ref="B9"/>
    <hyperlink r:id="rId19" ref="C9"/>
    <hyperlink r:id="rId20" ref="B10"/>
    <hyperlink r:id="rId21" ref="C10"/>
    <hyperlink r:id="rId22" ref="B11"/>
    <hyperlink r:id="rId23" ref="C11"/>
    <hyperlink r:id="rId24" ref="B12"/>
    <hyperlink r:id="rId25" ref="C12"/>
    <hyperlink r:id="rId26" ref="B13"/>
    <hyperlink r:id="rId27" ref="C13"/>
    <hyperlink r:id="rId28" ref="B14"/>
    <hyperlink r:id="rId29" ref="C14"/>
    <hyperlink r:id="rId30" ref="B15"/>
    <hyperlink r:id="rId31" ref="C15"/>
    <hyperlink r:id="rId32" ref="B16"/>
    <hyperlink r:id="rId33" ref="C16"/>
    <hyperlink r:id="rId34" ref="B17"/>
    <hyperlink r:id="rId35" ref="C17"/>
    <hyperlink r:id="rId36" ref="B18"/>
    <hyperlink r:id="rId37" ref="C18"/>
    <hyperlink r:id="rId38" ref="B19"/>
    <hyperlink r:id="rId39" ref="C19"/>
    <hyperlink r:id="rId40" ref="B20"/>
    <hyperlink r:id="rId41" ref="C20"/>
    <hyperlink r:id="rId42" ref="B21"/>
    <hyperlink r:id="rId43" ref="C21"/>
    <hyperlink r:id="rId44" ref="B22"/>
    <hyperlink r:id="rId45" ref="C22"/>
    <hyperlink r:id="rId46" ref="B23"/>
    <hyperlink r:id="rId47" ref="C23"/>
    <hyperlink r:id="rId48" ref="B24"/>
    <hyperlink r:id="rId49" ref="C24"/>
    <hyperlink r:id="rId50" ref="B25"/>
    <hyperlink r:id="rId51" ref="C25"/>
    <hyperlink r:id="rId52" ref="B26"/>
    <hyperlink r:id="rId53" ref="C26"/>
    <hyperlink r:id="rId54" ref="B27"/>
    <hyperlink r:id="rId55" ref="C27"/>
    <hyperlink r:id="rId56" ref="B28"/>
    <hyperlink r:id="rId57" ref="C28"/>
    <hyperlink r:id="rId58" ref="B29"/>
    <hyperlink r:id="rId59" ref="C29"/>
    <hyperlink r:id="rId60" ref="B30"/>
    <hyperlink r:id="rId61" ref="C30"/>
    <hyperlink r:id="rId62" ref="B31"/>
    <hyperlink r:id="rId63" ref="C31"/>
    <hyperlink r:id="rId64" ref="B32"/>
    <hyperlink r:id="rId65" ref="C32"/>
    <hyperlink r:id="rId66" ref="B33"/>
    <hyperlink r:id="rId67" ref="C33"/>
    <hyperlink r:id="rId68" ref="B34"/>
    <hyperlink r:id="rId69" ref="C34"/>
    <hyperlink r:id="rId70" ref="B35"/>
    <hyperlink r:id="rId71" ref="C35"/>
    <hyperlink r:id="rId72" ref="B36"/>
    <hyperlink r:id="rId73" ref="C36"/>
    <hyperlink r:id="rId74" ref="B37"/>
    <hyperlink r:id="rId75" ref="C37"/>
    <hyperlink r:id="rId76" ref="B38"/>
    <hyperlink r:id="rId77" ref="C38"/>
    <hyperlink r:id="rId78" ref="B39"/>
    <hyperlink r:id="rId79" ref="C39"/>
    <hyperlink r:id="rId80" ref="B40"/>
    <hyperlink r:id="rId81" ref="C40"/>
    <hyperlink r:id="rId82" ref="B41"/>
    <hyperlink r:id="rId83" ref="C41"/>
    <hyperlink r:id="rId84" ref="B42"/>
    <hyperlink r:id="rId85" ref="C42"/>
    <hyperlink r:id="rId86" ref="A44"/>
    <hyperlink r:id="rId87" ref="B44"/>
    <hyperlink r:id="rId88" ref="D44"/>
    <hyperlink r:id="rId89" ref="E44"/>
    <hyperlink r:id="rId90" ref="F44"/>
    <hyperlink r:id="rId91" ref="H44"/>
    <hyperlink r:id="rId92" ref="J44"/>
    <hyperlink r:id="rId93" ref="L44"/>
    <hyperlink r:id="rId94" ref="N44"/>
    <hyperlink r:id="rId95" ref="P44"/>
    <hyperlink r:id="rId96" ref="R44"/>
    <hyperlink r:id="rId97" ref="T44"/>
    <hyperlink r:id="rId98" ref="B45"/>
    <hyperlink r:id="rId99" ref="C45"/>
    <hyperlink r:id="rId100" ref="B46"/>
    <hyperlink r:id="rId101" ref="C46"/>
    <hyperlink r:id="rId102" ref="B47"/>
    <hyperlink r:id="rId103" ref="C47"/>
    <hyperlink r:id="rId104" ref="B48"/>
    <hyperlink r:id="rId105" ref="C48"/>
    <hyperlink r:id="rId106" ref="B49"/>
    <hyperlink r:id="rId107" ref="C49"/>
    <hyperlink r:id="rId108" ref="B50"/>
    <hyperlink r:id="rId109" ref="C50"/>
    <hyperlink r:id="rId110" ref="B51"/>
    <hyperlink r:id="rId111" ref="C51"/>
    <hyperlink r:id="rId112" ref="B52"/>
    <hyperlink r:id="rId113" ref="C52"/>
    <hyperlink r:id="rId114" ref="B53"/>
    <hyperlink r:id="rId115" ref="C53"/>
    <hyperlink r:id="rId116" ref="B54"/>
    <hyperlink r:id="rId117" ref="C54"/>
    <hyperlink r:id="rId118" ref="B55"/>
    <hyperlink r:id="rId119" ref="C55"/>
    <hyperlink r:id="rId120" ref="B56"/>
    <hyperlink r:id="rId121" ref="C56"/>
    <hyperlink r:id="rId122" ref="B57"/>
    <hyperlink r:id="rId123" ref="C57"/>
    <hyperlink r:id="rId124" ref="B58"/>
    <hyperlink r:id="rId125" ref="C58"/>
    <hyperlink r:id="rId126" ref="B59"/>
    <hyperlink r:id="rId127" ref="C59"/>
    <hyperlink r:id="rId128" ref="B60"/>
    <hyperlink r:id="rId129" ref="C60"/>
    <hyperlink r:id="rId130" ref="B61"/>
    <hyperlink r:id="rId131" ref="C61"/>
    <hyperlink r:id="rId132" ref="B62"/>
    <hyperlink r:id="rId133" ref="C62"/>
    <hyperlink r:id="rId134" ref="B63"/>
    <hyperlink r:id="rId135" ref="C63"/>
    <hyperlink r:id="rId136" ref="B64"/>
    <hyperlink r:id="rId137" ref="C64"/>
    <hyperlink r:id="rId138" ref="B65"/>
    <hyperlink r:id="rId139" ref="C65"/>
    <hyperlink r:id="rId140" ref="B66"/>
    <hyperlink r:id="rId141" ref="C66"/>
    <hyperlink r:id="rId142" ref="B67"/>
    <hyperlink r:id="rId143" ref="C67"/>
    <hyperlink r:id="rId144" ref="B68"/>
    <hyperlink r:id="rId145" ref="C68"/>
    <hyperlink r:id="rId146" ref="B69"/>
    <hyperlink r:id="rId147" ref="C69"/>
    <hyperlink r:id="rId148" ref="B70"/>
    <hyperlink r:id="rId149" ref="C70"/>
    <hyperlink r:id="rId150" ref="B71"/>
    <hyperlink r:id="rId151" ref="C71"/>
    <hyperlink r:id="rId152" ref="B72"/>
    <hyperlink r:id="rId153" ref="C72"/>
    <hyperlink r:id="rId154" ref="B73"/>
    <hyperlink r:id="rId155" ref="C73"/>
    <hyperlink r:id="rId156" ref="B74"/>
    <hyperlink r:id="rId157" ref="C74"/>
    <hyperlink r:id="rId158" ref="B75"/>
    <hyperlink r:id="rId159" ref="C75"/>
    <hyperlink r:id="rId160" ref="B76"/>
    <hyperlink r:id="rId161" ref="C76"/>
    <hyperlink r:id="rId162" ref="B77"/>
    <hyperlink r:id="rId163" ref="C77"/>
    <hyperlink r:id="rId164" ref="B78"/>
    <hyperlink r:id="rId165" ref="C78"/>
    <hyperlink r:id="rId166" ref="B79"/>
    <hyperlink r:id="rId167" ref="C79"/>
    <hyperlink r:id="rId168" ref="B80"/>
    <hyperlink r:id="rId169" ref="C80"/>
    <hyperlink r:id="rId170" ref="B81"/>
    <hyperlink r:id="rId171" ref="C81"/>
    <hyperlink r:id="rId172" ref="B82"/>
    <hyperlink r:id="rId173" ref="C82"/>
    <hyperlink r:id="rId174" ref="B83"/>
    <hyperlink r:id="rId175" ref="C83"/>
    <hyperlink r:id="rId176" ref="B84"/>
    <hyperlink r:id="rId177" ref="C84"/>
    <hyperlink r:id="rId178" ref="A86"/>
    <hyperlink r:id="rId179" ref="B86"/>
    <hyperlink r:id="rId180" ref="D86"/>
    <hyperlink r:id="rId181" ref="E86"/>
    <hyperlink r:id="rId182" ref="F86"/>
    <hyperlink r:id="rId183" ref="H86"/>
    <hyperlink r:id="rId184" ref="J86"/>
    <hyperlink r:id="rId185" ref="L86"/>
    <hyperlink r:id="rId186" ref="N86"/>
    <hyperlink r:id="rId187" ref="P86"/>
    <hyperlink r:id="rId188" ref="R86"/>
    <hyperlink r:id="rId189" ref="T86"/>
    <hyperlink r:id="rId190" ref="B87"/>
    <hyperlink r:id="rId191" ref="C87"/>
    <hyperlink r:id="rId192" ref="B88"/>
    <hyperlink r:id="rId193" ref="C88"/>
    <hyperlink r:id="rId194" ref="B89"/>
    <hyperlink r:id="rId195" ref="C89"/>
    <hyperlink r:id="rId196" ref="B90"/>
    <hyperlink r:id="rId197" ref="C90"/>
    <hyperlink r:id="rId198" ref="B91"/>
    <hyperlink r:id="rId199" ref="C91"/>
    <hyperlink r:id="rId200" ref="B92"/>
    <hyperlink r:id="rId201" ref="C92"/>
    <hyperlink r:id="rId202" ref="B93"/>
    <hyperlink r:id="rId203" ref="C93"/>
    <hyperlink r:id="rId204" ref="B94"/>
    <hyperlink r:id="rId205" ref="C94"/>
    <hyperlink r:id="rId206" ref="B95"/>
    <hyperlink r:id="rId207" ref="C95"/>
    <hyperlink r:id="rId208" ref="B96"/>
    <hyperlink r:id="rId209" ref="C96"/>
    <hyperlink r:id="rId210" ref="B97"/>
    <hyperlink r:id="rId211" ref="C97"/>
    <hyperlink r:id="rId212" ref="B98"/>
    <hyperlink r:id="rId213" ref="C98"/>
    <hyperlink r:id="rId214" ref="B99"/>
    <hyperlink r:id="rId215" ref="C99"/>
    <hyperlink r:id="rId216" ref="B100"/>
    <hyperlink r:id="rId217" ref="C100"/>
    <hyperlink r:id="rId218" ref="B101"/>
    <hyperlink r:id="rId219" ref="C101"/>
    <hyperlink r:id="rId220" ref="B102"/>
    <hyperlink r:id="rId221" ref="C102"/>
    <hyperlink r:id="rId222" ref="B103"/>
    <hyperlink r:id="rId223" ref="C103"/>
    <hyperlink r:id="rId224" ref="B104"/>
    <hyperlink r:id="rId225" ref="C104"/>
    <hyperlink r:id="rId226" ref="B105"/>
    <hyperlink r:id="rId227" ref="C105"/>
    <hyperlink r:id="rId228" ref="B106"/>
    <hyperlink r:id="rId229" ref="C106"/>
    <hyperlink r:id="rId230" ref="B107"/>
    <hyperlink r:id="rId231" ref="C107"/>
    <hyperlink r:id="rId232" ref="B108"/>
    <hyperlink r:id="rId233" ref="C108"/>
    <hyperlink r:id="rId234" ref="B109"/>
    <hyperlink r:id="rId235" ref="C109"/>
    <hyperlink r:id="rId236" ref="B110"/>
    <hyperlink r:id="rId237" ref="C110"/>
    <hyperlink r:id="rId238" ref="B111"/>
    <hyperlink r:id="rId239" ref="C111"/>
    <hyperlink r:id="rId240" ref="B112"/>
    <hyperlink r:id="rId241" ref="C112"/>
    <hyperlink r:id="rId242" ref="B113"/>
    <hyperlink r:id="rId243" ref="C113"/>
    <hyperlink r:id="rId244" ref="B114"/>
    <hyperlink r:id="rId245" ref="C114"/>
    <hyperlink r:id="rId246" ref="B115"/>
    <hyperlink r:id="rId247" ref="C115"/>
    <hyperlink r:id="rId248" ref="B116"/>
    <hyperlink r:id="rId249" ref="C116"/>
    <hyperlink r:id="rId250" ref="B117"/>
    <hyperlink r:id="rId251" ref="C117"/>
    <hyperlink r:id="rId252" ref="B118"/>
    <hyperlink r:id="rId253" ref="C118"/>
    <hyperlink r:id="rId254" ref="B119"/>
    <hyperlink r:id="rId255" ref="C119"/>
    <hyperlink r:id="rId256" ref="B120"/>
    <hyperlink r:id="rId257" ref="C120"/>
    <hyperlink r:id="rId258" ref="B121"/>
    <hyperlink r:id="rId259" ref="C121"/>
    <hyperlink r:id="rId260" ref="B122"/>
    <hyperlink r:id="rId261" ref="C122"/>
    <hyperlink r:id="rId262" ref="B123"/>
    <hyperlink r:id="rId263" ref="C123"/>
    <hyperlink r:id="rId264" ref="B124"/>
    <hyperlink r:id="rId265" ref="C124"/>
    <hyperlink r:id="rId266" ref="B125"/>
    <hyperlink r:id="rId267" ref="C125"/>
    <hyperlink r:id="rId268" ref="B126"/>
    <hyperlink r:id="rId269" ref="C126"/>
    <hyperlink r:id="rId270" ref="A128"/>
    <hyperlink r:id="rId271" ref="B128"/>
    <hyperlink r:id="rId272" ref="D128"/>
    <hyperlink r:id="rId273" ref="E128"/>
    <hyperlink r:id="rId274" ref="F128"/>
    <hyperlink r:id="rId275" ref="H128"/>
    <hyperlink r:id="rId276" ref="J128"/>
    <hyperlink r:id="rId277" ref="L128"/>
    <hyperlink r:id="rId278" ref="N128"/>
    <hyperlink r:id="rId279" ref="P128"/>
    <hyperlink r:id="rId280" ref="R128"/>
    <hyperlink r:id="rId281" ref="T128"/>
    <hyperlink r:id="rId282" ref="B129"/>
    <hyperlink r:id="rId283" ref="C129"/>
    <hyperlink r:id="rId284" ref="B130"/>
    <hyperlink r:id="rId285" ref="C130"/>
    <hyperlink r:id="rId286" ref="B131"/>
    <hyperlink r:id="rId287" ref="C131"/>
    <hyperlink r:id="rId288" ref="B132"/>
    <hyperlink r:id="rId289" ref="C132"/>
    <hyperlink r:id="rId290" ref="B133"/>
    <hyperlink r:id="rId291" ref="C133"/>
    <hyperlink r:id="rId292" ref="B134"/>
    <hyperlink r:id="rId293" ref="C134"/>
    <hyperlink r:id="rId294" ref="B135"/>
    <hyperlink r:id="rId295" ref="C135"/>
    <hyperlink r:id="rId296" ref="B136"/>
    <hyperlink r:id="rId297" ref="C136"/>
    <hyperlink r:id="rId298" ref="B137"/>
    <hyperlink r:id="rId299" ref="C137"/>
    <hyperlink r:id="rId300" ref="B138"/>
    <hyperlink r:id="rId301" ref="C138"/>
    <hyperlink r:id="rId302" ref="B139"/>
    <hyperlink r:id="rId303" ref="C139"/>
    <hyperlink r:id="rId304" ref="B140"/>
    <hyperlink r:id="rId305" ref="C140"/>
    <hyperlink r:id="rId306" ref="B141"/>
    <hyperlink r:id="rId307" ref="C141"/>
    <hyperlink r:id="rId308" ref="B142"/>
    <hyperlink r:id="rId309" ref="C142"/>
    <hyperlink r:id="rId310" ref="B143"/>
    <hyperlink r:id="rId311" ref="C143"/>
    <hyperlink r:id="rId312" ref="B144"/>
    <hyperlink r:id="rId313" ref="C144"/>
    <hyperlink r:id="rId314" ref="B145"/>
    <hyperlink r:id="rId315" ref="C145"/>
    <hyperlink r:id="rId316" ref="B146"/>
    <hyperlink r:id="rId317" ref="C146"/>
    <hyperlink r:id="rId318" ref="B147"/>
    <hyperlink r:id="rId319" ref="C147"/>
    <hyperlink r:id="rId320" ref="B148"/>
    <hyperlink r:id="rId321" ref="C148"/>
    <hyperlink r:id="rId322" ref="B149"/>
    <hyperlink r:id="rId323" ref="C149"/>
    <hyperlink r:id="rId324" ref="B150"/>
    <hyperlink r:id="rId325" ref="C150"/>
    <hyperlink r:id="rId326" ref="B151"/>
    <hyperlink r:id="rId327" ref="C151"/>
    <hyperlink r:id="rId328" ref="B152"/>
    <hyperlink r:id="rId329" ref="C152"/>
    <hyperlink r:id="rId330" ref="B153"/>
    <hyperlink r:id="rId331" ref="C153"/>
    <hyperlink r:id="rId332" ref="B154"/>
    <hyperlink r:id="rId333" ref="C154"/>
    <hyperlink r:id="rId334" ref="B155"/>
    <hyperlink r:id="rId335" ref="C155"/>
    <hyperlink r:id="rId336" ref="B156"/>
    <hyperlink r:id="rId337" ref="C156"/>
    <hyperlink r:id="rId338" ref="B157"/>
    <hyperlink r:id="rId339" ref="C157"/>
    <hyperlink r:id="rId340" ref="B158"/>
    <hyperlink r:id="rId341" ref="C158"/>
    <hyperlink r:id="rId342" ref="B159"/>
    <hyperlink r:id="rId343" ref="C159"/>
    <hyperlink r:id="rId344" ref="B160"/>
    <hyperlink r:id="rId345" ref="C160"/>
    <hyperlink r:id="rId346" ref="B161"/>
    <hyperlink r:id="rId347" ref="C161"/>
    <hyperlink r:id="rId348" ref="B162"/>
    <hyperlink r:id="rId349" ref="C162"/>
    <hyperlink r:id="rId350" ref="B163"/>
    <hyperlink r:id="rId351" ref="C163"/>
    <hyperlink r:id="rId352" ref="B164"/>
    <hyperlink r:id="rId353" ref="C164"/>
    <hyperlink r:id="rId354" ref="B165"/>
    <hyperlink r:id="rId355" ref="C165"/>
    <hyperlink r:id="rId356" ref="B166"/>
    <hyperlink r:id="rId357" ref="C166"/>
    <hyperlink r:id="rId358" ref="B167"/>
    <hyperlink r:id="rId359" ref="C167"/>
    <hyperlink r:id="rId360" ref="B168"/>
    <hyperlink r:id="rId361" ref="C168"/>
    <hyperlink r:id="rId362" ref="A170"/>
    <hyperlink r:id="rId363" ref="B170"/>
    <hyperlink r:id="rId364" ref="D170"/>
    <hyperlink r:id="rId365" ref="E170"/>
    <hyperlink r:id="rId366" ref="F170"/>
    <hyperlink r:id="rId367" ref="H170"/>
    <hyperlink r:id="rId368" ref="J170"/>
    <hyperlink r:id="rId369" ref="L170"/>
    <hyperlink r:id="rId370" ref="N170"/>
    <hyperlink r:id="rId371" ref="P170"/>
    <hyperlink r:id="rId372" ref="R170"/>
    <hyperlink r:id="rId373" ref="T170"/>
    <hyperlink r:id="rId374" ref="B171"/>
    <hyperlink r:id="rId375" ref="C171"/>
    <hyperlink r:id="rId376" ref="B172"/>
    <hyperlink r:id="rId377" ref="C172"/>
    <hyperlink r:id="rId378" ref="B173"/>
    <hyperlink r:id="rId379" ref="C173"/>
    <hyperlink r:id="rId380" ref="B174"/>
    <hyperlink r:id="rId381" ref="C174"/>
    <hyperlink r:id="rId382" ref="B175"/>
    <hyperlink r:id="rId383" ref="C175"/>
    <hyperlink r:id="rId384" ref="B176"/>
    <hyperlink r:id="rId385" ref="C176"/>
    <hyperlink r:id="rId386" ref="B177"/>
    <hyperlink r:id="rId387" ref="C177"/>
    <hyperlink r:id="rId388" ref="B178"/>
    <hyperlink r:id="rId389" ref="C178"/>
    <hyperlink r:id="rId390" ref="B179"/>
    <hyperlink r:id="rId391" ref="C179"/>
    <hyperlink r:id="rId392" ref="B180"/>
    <hyperlink r:id="rId393" ref="C180"/>
    <hyperlink r:id="rId394" ref="B181"/>
    <hyperlink r:id="rId395" ref="C181"/>
    <hyperlink r:id="rId396" ref="B182"/>
    <hyperlink r:id="rId397" ref="C182"/>
    <hyperlink r:id="rId398" ref="B183"/>
    <hyperlink r:id="rId399" ref="C183"/>
    <hyperlink r:id="rId400" ref="B184"/>
    <hyperlink r:id="rId401" ref="C184"/>
    <hyperlink r:id="rId402" ref="B185"/>
    <hyperlink r:id="rId403" ref="C185"/>
    <hyperlink r:id="rId404" ref="B186"/>
    <hyperlink r:id="rId405" ref="C186"/>
    <hyperlink r:id="rId406" ref="B187"/>
    <hyperlink r:id="rId407" ref="C187"/>
    <hyperlink r:id="rId408" ref="B188"/>
    <hyperlink r:id="rId409" ref="C188"/>
    <hyperlink r:id="rId410" ref="B189"/>
    <hyperlink r:id="rId411" ref="C189"/>
    <hyperlink r:id="rId412" ref="B190"/>
    <hyperlink r:id="rId413" ref="C190"/>
    <hyperlink r:id="rId414" ref="B191"/>
    <hyperlink r:id="rId415" ref="C191"/>
    <hyperlink r:id="rId416" ref="B192"/>
    <hyperlink r:id="rId417" ref="C192"/>
    <hyperlink r:id="rId418" ref="B193"/>
    <hyperlink r:id="rId419" ref="C193"/>
    <hyperlink r:id="rId420" ref="B194"/>
    <hyperlink r:id="rId421" ref="C194"/>
    <hyperlink r:id="rId422" ref="B195"/>
    <hyperlink r:id="rId423" ref="C195"/>
    <hyperlink r:id="rId424" ref="B196"/>
    <hyperlink r:id="rId425" ref="C196"/>
    <hyperlink r:id="rId426" ref="B197"/>
    <hyperlink r:id="rId427" ref="C197"/>
    <hyperlink r:id="rId428" ref="B198"/>
    <hyperlink r:id="rId429" ref="C198"/>
    <hyperlink r:id="rId430" ref="B199"/>
    <hyperlink r:id="rId431" ref="C199"/>
    <hyperlink r:id="rId432" ref="B200"/>
    <hyperlink r:id="rId433" ref="C200"/>
    <hyperlink r:id="rId434" ref="B201"/>
    <hyperlink r:id="rId435" ref="C201"/>
    <hyperlink r:id="rId436" ref="B202"/>
    <hyperlink r:id="rId437" ref="C202"/>
    <hyperlink r:id="rId438" ref="B203"/>
    <hyperlink r:id="rId439" ref="C203"/>
    <hyperlink r:id="rId440" ref="B204"/>
    <hyperlink r:id="rId441" ref="C204"/>
    <hyperlink r:id="rId442" ref="B205"/>
    <hyperlink r:id="rId443" ref="C205"/>
    <hyperlink r:id="rId444" ref="B206"/>
    <hyperlink r:id="rId445" ref="C206"/>
    <hyperlink r:id="rId446" ref="B207"/>
    <hyperlink r:id="rId447" ref="C207"/>
    <hyperlink r:id="rId448" ref="B208"/>
    <hyperlink r:id="rId449" ref="C208"/>
    <hyperlink r:id="rId450" ref="B209"/>
    <hyperlink r:id="rId451" ref="C209"/>
    <hyperlink r:id="rId452" ref="B210"/>
    <hyperlink r:id="rId453" ref="C210"/>
    <hyperlink r:id="rId454" ref="A212"/>
    <hyperlink r:id="rId455" ref="B212"/>
    <hyperlink r:id="rId456" ref="D212"/>
    <hyperlink r:id="rId457" ref="E212"/>
    <hyperlink r:id="rId458" ref="F212"/>
    <hyperlink r:id="rId459" ref="H212"/>
    <hyperlink r:id="rId460" ref="J212"/>
    <hyperlink r:id="rId461" ref="L212"/>
    <hyperlink r:id="rId462" ref="N212"/>
    <hyperlink r:id="rId463" ref="P212"/>
    <hyperlink r:id="rId464" ref="R212"/>
    <hyperlink r:id="rId465" ref="T212"/>
    <hyperlink r:id="rId466" ref="B213"/>
    <hyperlink r:id="rId467" ref="C213"/>
    <hyperlink r:id="rId468" ref="B214"/>
    <hyperlink r:id="rId469" ref="C214"/>
    <hyperlink r:id="rId470" ref="B215"/>
    <hyperlink r:id="rId471" ref="C215"/>
    <hyperlink r:id="rId472" ref="B216"/>
    <hyperlink r:id="rId473" ref="C216"/>
    <hyperlink r:id="rId474" ref="B217"/>
    <hyperlink r:id="rId475" ref="C217"/>
    <hyperlink r:id="rId476" ref="B218"/>
    <hyperlink r:id="rId477" ref="C218"/>
    <hyperlink r:id="rId478" ref="B219"/>
    <hyperlink r:id="rId479" ref="C219"/>
    <hyperlink r:id="rId480" ref="B220"/>
    <hyperlink r:id="rId481" ref="C220"/>
    <hyperlink r:id="rId482" ref="B221"/>
    <hyperlink r:id="rId483" ref="C221"/>
    <hyperlink r:id="rId484" ref="B222"/>
    <hyperlink r:id="rId485" ref="C222"/>
    <hyperlink r:id="rId486" ref="B223"/>
    <hyperlink r:id="rId487" ref="C223"/>
    <hyperlink r:id="rId488" ref="B224"/>
    <hyperlink r:id="rId489" ref="C224"/>
    <hyperlink r:id="rId490" ref="B225"/>
    <hyperlink r:id="rId491" ref="C225"/>
    <hyperlink r:id="rId492" ref="B226"/>
    <hyperlink r:id="rId493" ref="C226"/>
    <hyperlink r:id="rId494" ref="B227"/>
    <hyperlink r:id="rId495" ref="C227"/>
    <hyperlink r:id="rId496" ref="B228"/>
    <hyperlink r:id="rId497" ref="C228"/>
    <hyperlink r:id="rId498" ref="B229"/>
    <hyperlink r:id="rId499" ref="C229"/>
    <hyperlink r:id="rId500" ref="B230"/>
    <hyperlink r:id="rId501" ref="C230"/>
    <hyperlink r:id="rId502" ref="B231"/>
    <hyperlink r:id="rId503" ref="C231"/>
    <hyperlink r:id="rId504" ref="B232"/>
    <hyperlink r:id="rId505" ref="C232"/>
    <hyperlink r:id="rId506" ref="B233"/>
    <hyperlink r:id="rId507" ref="C233"/>
    <hyperlink r:id="rId508" ref="B234"/>
    <hyperlink r:id="rId509" ref="C234"/>
    <hyperlink r:id="rId510" ref="B235"/>
    <hyperlink r:id="rId511" ref="C235"/>
    <hyperlink r:id="rId512" ref="B236"/>
    <hyperlink r:id="rId513" ref="C236"/>
    <hyperlink r:id="rId514" ref="B237"/>
    <hyperlink r:id="rId515" ref="C237"/>
    <hyperlink r:id="rId516" ref="B238"/>
    <hyperlink r:id="rId517" ref="C238"/>
    <hyperlink r:id="rId518" ref="B239"/>
    <hyperlink r:id="rId519" ref="C239"/>
    <hyperlink r:id="rId520" ref="B240"/>
    <hyperlink r:id="rId521" ref="C240"/>
    <hyperlink r:id="rId522" ref="B241"/>
    <hyperlink r:id="rId523" ref="C241"/>
    <hyperlink r:id="rId524" ref="B242"/>
    <hyperlink r:id="rId525" ref="C242"/>
    <hyperlink r:id="rId526" ref="B243"/>
    <hyperlink r:id="rId527" ref="C243"/>
    <hyperlink r:id="rId528" ref="B244"/>
    <hyperlink r:id="rId529" ref="C244"/>
    <hyperlink r:id="rId530" ref="B245"/>
    <hyperlink r:id="rId531" ref="C245"/>
    <hyperlink r:id="rId532" ref="B246"/>
    <hyperlink r:id="rId533" ref="C246"/>
    <hyperlink r:id="rId534" ref="B247"/>
    <hyperlink r:id="rId535" ref="C247"/>
    <hyperlink r:id="rId536" ref="B248"/>
    <hyperlink r:id="rId537" ref="C248"/>
    <hyperlink r:id="rId538" ref="B249"/>
    <hyperlink r:id="rId539" ref="C249"/>
    <hyperlink r:id="rId540" ref="B250"/>
    <hyperlink r:id="rId541" ref="C250"/>
    <hyperlink r:id="rId542" ref="B251"/>
    <hyperlink r:id="rId543" ref="C251"/>
    <hyperlink r:id="rId544" ref="B252"/>
    <hyperlink r:id="rId545" ref="C252"/>
    <hyperlink r:id="rId546" ref="A254"/>
    <hyperlink r:id="rId547" ref="B254"/>
    <hyperlink r:id="rId548" ref="D254"/>
    <hyperlink r:id="rId549" ref="E254"/>
    <hyperlink r:id="rId550" ref="F254"/>
    <hyperlink r:id="rId551" ref="H254"/>
    <hyperlink r:id="rId552" ref="J254"/>
    <hyperlink r:id="rId553" ref="L254"/>
    <hyperlink r:id="rId554" ref="N254"/>
    <hyperlink r:id="rId555" ref="P254"/>
    <hyperlink r:id="rId556" ref="R254"/>
    <hyperlink r:id="rId557" ref="T254"/>
    <hyperlink r:id="rId558" ref="B255"/>
    <hyperlink r:id="rId559" ref="C255"/>
    <hyperlink r:id="rId560" ref="B256"/>
    <hyperlink r:id="rId561" ref="C256"/>
    <hyperlink r:id="rId562" ref="B257"/>
    <hyperlink r:id="rId563" ref="C257"/>
    <hyperlink r:id="rId564" ref="B258"/>
    <hyperlink r:id="rId565" ref="C258"/>
    <hyperlink r:id="rId566" ref="B259"/>
    <hyperlink r:id="rId567" ref="C259"/>
    <hyperlink r:id="rId568" ref="B260"/>
    <hyperlink r:id="rId569" ref="C260"/>
    <hyperlink r:id="rId570" ref="B261"/>
    <hyperlink r:id="rId571" ref="C261"/>
    <hyperlink r:id="rId572" ref="B262"/>
    <hyperlink r:id="rId573" ref="C262"/>
    <hyperlink r:id="rId574" ref="B263"/>
    <hyperlink r:id="rId575" ref="C263"/>
    <hyperlink r:id="rId576" ref="B264"/>
    <hyperlink r:id="rId577" ref="C264"/>
    <hyperlink r:id="rId578" ref="B265"/>
    <hyperlink r:id="rId579" ref="C265"/>
    <hyperlink r:id="rId580" ref="B266"/>
    <hyperlink r:id="rId581" ref="C266"/>
    <hyperlink r:id="rId582" ref="B267"/>
    <hyperlink r:id="rId583" ref="C267"/>
    <hyperlink r:id="rId584" ref="B268"/>
    <hyperlink r:id="rId585" ref="C268"/>
    <hyperlink r:id="rId586" ref="B269"/>
    <hyperlink r:id="rId587" ref="C269"/>
    <hyperlink r:id="rId588" ref="B270"/>
    <hyperlink r:id="rId589" ref="C270"/>
    <hyperlink r:id="rId590" ref="B271"/>
    <hyperlink r:id="rId591" ref="C271"/>
    <hyperlink r:id="rId592" ref="B272"/>
    <hyperlink r:id="rId593" ref="C272"/>
    <hyperlink r:id="rId594" ref="B273"/>
    <hyperlink r:id="rId595" ref="C273"/>
    <hyperlink r:id="rId596" ref="B274"/>
    <hyperlink r:id="rId597" ref="C274"/>
    <hyperlink r:id="rId598" ref="B275"/>
    <hyperlink r:id="rId599" ref="C275"/>
    <hyperlink r:id="rId600" ref="B276"/>
    <hyperlink r:id="rId601" ref="C276"/>
    <hyperlink r:id="rId602" ref="B277"/>
    <hyperlink r:id="rId603" ref="C277"/>
    <hyperlink r:id="rId604" ref="B278"/>
    <hyperlink r:id="rId605" ref="C278"/>
    <hyperlink r:id="rId606" ref="B279"/>
    <hyperlink r:id="rId607" ref="C279"/>
    <hyperlink r:id="rId608" ref="B280"/>
    <hyperlink r:id="rId609" ref="C280"/>
    <hyperlink r:id="rId610" ref="B281"/>
    <hyperlink r:id="rId611" ref="C281"/>
    <hyperlink r:id="rId612" ref="B282"/>
    <hyperlink r:id="rId613" ref="C282"/>
    <hyperlink r:id="rId614" ref="B283"/>
    <hyperlink r:id="rId615" ref="C283"/>
    <hyperlink r:id="rId616" ref="B284"/>
    <hyperlink r:id="rId617" ref="C284"/>
    <hyperlink r:id="rId618" ref="B285"/>
    <hyperlink r:id="rId619" ref="C285"/>
    <hyperlink r:id="rId620" ref="B286"/>
    <hyperlink r:id="rId621" ref="C286"/>
    <hyperlink r:id="rId622" ref="B287"/>
    <hyperlink r:id="rId623" ref="C287"/>
    <hyperlink r:id="rId624" ref="B288"/>
    <hyperlink r:id="rId625" ref="C288"/>
    <hyperlink r:id="rId626" ref="B289"/>
    <hyperlink r:id="rId627" ref="C289"/>
    <hyperlink r:id="rId628" ref="B290"/>
    <hyperlink r:id="rId629" ref="C290"/>
    <hyperlink r:id="rId630" ref="B291"/>
    <hyperlink r:id="rId631" ref="C291"/>
    <hyperlink r:id="rId632" ref="B292"/>
    <hyperlink r:id="rId633" ref="C292"/>
    <hyperlink r:id="rId634" ref="B293"/>
    <hyperlink r:id="rId635" ref="C293"/>
    <hyperlink r:id="rId636" ref="B294"/>
    <hyperlink r:id="rId637" ref="C294"/>
    <hyperlink r:id="rId638" ref="A296"/>
    <hyperlink r:id="rId639" ref="B296"/>
    <hyperlink r:id="rId640" ref="D296"/>
    <hyperlink r:id="rId641" ref="E296"/>
    <hyperlink r:id="rId642" ref="F296"/>
    <hyperlink r:id="rId643" ref="H296"/>
    <hyperlink r:id="rId644" ref="J296"/>
    <hyperlink r:id="rId645" ref="L296"/>
    <hyperlink r:id="rId646" ref="N296"/>
    <hyperlink r:id="rId647" ref="P296"/>
    <hyperlink r:id="rId648" ref="R296"/>
    <hyperlink r:id="rId649" ref="T296"/>
    <hyperlink r:id="rId650" ref="B297"/>
    <hyperlink r:id="rId651" ref="C297"/>
    <hyperlink r:id="rId652" ref="B298"/>
    <hyperlink r:id="rId653" ref="C298"/>
    <hyperlink r:id="rId654" ref="B299"/>
    <hyperlink r:id="rId655" ref="C299"/>
    <hyperlink r:id="rId656" ref="B300"/>
    <hyperlink r:id="rId657" ref="C300"/>
    <hyperlink r:id="rId658" ref="B301"/>
    <hyperlink r:id="rId659" ref="C301"/>
    <hyperlink r:id="rId660" ref="B302"/>
    <hyperlink r:id="rId661" ref="C302"/>
    <hyperlink r:id="rId662" ref="B303"/>
    <hyperlink r:id="rId663" ref="C303"/>
    <hyperlink r:id="rId664" ref="B304"/>
    <hyperlink r:id="rId665" ref="C304"/>
    <hyperlink r:id="rId666" ref="B305"/>
    <hyperlink r:id="rId667" ref="C305"/>
    <hyperlink r:id="rId668" ref="B306"/>
    <hyperlink r:id="rId669" ref="C306"/>
    <hyperlink r:id="rId670" ref="B307"/>
    <hyperlink r:id="rId671" ref="C307"/>
    <hyperlink r:id="rId672" ref="B308"/>
    <hyperlink r:id="rId673" ref="C308"/>
    <hyperlink r:id="rId674" ref="B309"/>
    <hyperlink r:id="rId675" ref="C309"/>
    <hyperlink r:id="rId676" ref="B310"/>
    <hyperlink r:id="rId677" ref="C310"/>
    <hyperlink r:id="rId678" ref="B311"/>
    <hyperlink r:id="rId679" ref="C311"/>
    <hyperlink r:id="rId680" ref="B312"/>
    <hyperlink r:id="rId681" ref="C312"/>
    <hyperlink r:id="rId682" ref="B313"/>
    <hyperlink r:id="rId683" ref="C313"/>
    <hyperlink r:id="rId684" ref="B314"/>
    <hyperlink r:id="rId685" ref="C314"/>
    <hyperlink r:id="rId686" ref="B315"/>
    <hyperlink r:id="rId687" ref="C315"/>
    <hyperlink r:id="rId688" ref="B316"/>
    <hyperlink r:id="rId689" ref="C316"/>
    <hyperlink r:id="rId690" ref="B317"/>
    <hyperlink r:id="rId691" ref="C317"/>
    <hyperlink r:id="rId692" ref="B318"/>
    <hyperlink r:id="rId693" ref="C318"/>
    <hyperlink r:id="rId694" ref="B319"/>
    <hyperlink r:id="rId695" ref="C319"/>
    <hyperlink r:id="rId696" ref="B320"/>
    <hyperlink r:id="rId697" ref="C320"/>
    <hyperlink r:id="rId698" ref="B321"/>
    <hyperlink r:id="rId699" ref="C321"/>
    <hyperlink r:id="rId700" ref="B322"/>
    <hyperlink r:id="rId701" ref="C322"/>
    <hyperlink r:id="rId702" ref="B323"/>
    <hyperlink r:id="rId703" ref="C323"/>
    <hyperlink r:id="rId704" ref="B324"/>
    <hyperlink r:id="rId705" ref="C324"/>
    <hyperlink r:id="rId706" ref="B325"/>
    <hyperlink r:id="rId707" ref="C325"/>
    <hyperlink r:id="rId708" ref="B326"/>
    <hyperlink r:id="rId709" ref="C326"/>
    <hyperlink r:id="rId710" ref="B327"/>
    <hyperlink r:id="rId711" ref="C327"/>
    <hyperlink r:id="rId712" ref="B328"/>
    <hyperlink r:id="rId713" ref="C328"/>
    <hyperlink r:id="rId714" ref="B329"/>
    <hyperlink r:id="rId715" ref="C329"/>
    <hyperlink r:id="rId716" ref="B330"/>
    <hyperlink r:id="rId717" ref="C330"/>
    <hyperlink r:id="rId718" ref="B331"/>
    <hyperlink r:id="rId719" ref="C331"/>
    <hyperlink r:id="rId720" ref="B332"/>
    <hyperlink r:id="rId721" ref="C332"/>
    <hyperlink r:id="rId722" ref="B333"/>
    <hyperlink r:id="rId723" ref="C333"/>
    <hyperlink r:id="rId724" ref="B334"/>
    <hyperlink r:id="rId725" ref="C334"/>
    <hyperlink r:id="rId726" ref="B335"/>
    <hyperlink r:id="rId727" ref="C335"/>
    <hyperlink r:id="rId728" ref="B336"/>
    <hyperlink r:id="rId729" ref="C336"/>
    <hyperlink r:id="rId730" ref="A338"/>
    <hyperlink r:id="rId731" ref="B338"/>
    <hyperlink r:id="rId732" ref="D338"/>
    <hyperlink r:id="rId733" ref="E338"/>
    <hyperlink r:id="rId734" ref="F338"/>
    <hyperlink r:id="rId735" ref="H338"/>
    <hyperlink r:id="rId736" ref="J338"/>
    <hyperlink r:id="rId737" ref="L338"/>
    <hyperlink r:id="rId738" ref="N338"/>
    <hyperlink r:id="rId739" ref="P338"/>
    <hyperlink r:id="rId740" ref="R338"/>
    <hyperlink r:id="rId741" ref="T338"/>
    <hyperlink r:id="rId742" ref="B339"/>
    <hyperlink r:id="rId743" ref="C339"/>
    <hyperlink r:id="rId744" ref="B340"/>
    <hyperlink r:id="rId745" ref="C340"/>
    <hyperlink r:id="rId746" ref="B341"/>
    <hyperlink r:id="rId747" ref="C341"/>
    <hyperlink r:id="rId748" ref="B342"/>
    <hyperlink r:id="rId749" ref="C342"/>
    <hyperlink r:id="rId750" ref="B343"/>
    <hyperlink r:id="rId751" ref="C343"/>
    <hyperlink r:id="rId752" ref="B344"/>
    <hyperlink r:id="rId753" ref="C344"/>
    <hyperlink r:id="rId754" ref="B345"/>
    <hyperlink r:id="rId755" ref="C345"/>
    <hyperlink r:id="rId756" ref="B346"/>
    <hyperlink r:id="rId757" ref="C346"/>
    <hyperlink r:id="rId758" ref="B347"/>
    <hyperlink r:id="rId759" ref="C347"/>
    <hyperlink r:id="rId760" ref="B348"/>
    <hyperlink r:id="rId761" ref="C348"/>
    <hyperlink r:id="rId762" ref="B349"/>
    <hyperlink r:id="rId763" ref="C349"/>
    <hyperlink r:id="rId764" ref="B350"/>
    <hyperlink r:id="rId765" ref="C350"/>
    <hyperlink r:id="rId766" ref="B351"/>
    <hyperlink r:id="rId767" ref="C351"/>
    <hyperlink r:id="rId768" ref="B352"/>
    <hyperlink r:id="rId769" ref="C352"/>
    <hyperlink r:id="rId770" ref="B353"/>
    <hyperlink r:id="rId771" ref="C353"/>
    <hyperlink r:id="rId772" ref="B354"/>
    <hyperlink r:id="rId773" ref="C354"/>
    <hyperlink r:id="rId774" ref="B355"/>
    <hyperlink r:id="rId775" ref="C355"/>
    <hyperlink r:id="rId776" ref="B356"/>
    <hyperlink r:id="rId777" ref="C356"/>
    <hyperlink r:id="rId778" ref="B357"/>
    <hyperlink r:id="rId779" ref="C357"/>
    <hyperlink r:id="rId780" ref="B358"/>
    <hyperlink r:id="rId781" ref="C358"/>
    <hyperlink r:id="rId782" ref="B359"/>
    <hyperlink r:id="rId783" ref="C359"/>
    <hyperlink r:id="rId784" ref="B360"/>
    <hyperlink r:id="rId785" ref="C360"/>
    <hyperlink r:id="rId786" ref="B361"/>
    <hyperlink r:id="rId787" ref="C361"/>
    <hyperlink r:id="rId788" ref="B362"/>
    <hyperlink r:id="rId789" ref="C362"/>
    <hyperlink r:id="rId790" ref="B363"/>
    <hyperlink r:id="rId791" ref="C363"/>
    <hyperlink r:id="rId792" ref="B364"/>
    <hyperlink r:id="rId793" ref="C364"/>
    <hyperlink r:id="rId794" ref="B365"/>
    <hyperlink r:id="rId795" ref="C365"/>
    <hyperlink r:id="rId796" ref="B366"/>
    <hyperlink r:id="rId797" ref="C366"/>
    <hyperlink r:id="rId798" ref="B367"/>
    <hyperlink r:id="rId799" ref="C367"/>
    <hyperlink r:id="rId800" ref="B368"/>
    <hyperlink r:id="rId801" ref="C368"/>
    <hyperlink r:id="rId802" ref="B369"/>
    <hyperlink r:id="rId803" ref="C369"/>
    <hyperlink r:id="rId804" ref="B370"/>
    <hyperlink r:id="rId805" ref="C370"/>
    <hyperlink r:id="rId806" ref="B371"/>
    <hyperlink r:id="rId807" ref="C371"/>
    <hyperlink r:id="rId808" ref="B372"/>
    <hyperlink r:id="rId809" ref="C372"/>
    <hyperlink r:id="rId810" ref="B373"/>
    <hyperlink r:id="rId811" ref="C373"/>
    <hyperlink r:id="rId812" ref="B374"/>
    <hyperlink r:id="rId813" ref="C374"/>
    <hyperlink r:id="rId814" ref="B375"/>
    <hyperlink r:id="rId815" ref="C375"/>
    <hyperlink r:id="rId816" ref="B376"/>
    <hyperlink r:id="rId817" ref="C376"/>
    <hyperlink r:id="rId818" ref="B377"/>
    <hyperlink r:id="rId819" ref="C377"/>
    <hyperlink r:id="rId820" ref="B378"/>
    <hyperlink r:id="rId821" ref="C378"/>
    <hyperlink r:id="rId822" ref="A380"/>
    <hyperlink r:id="rId823" ref="B380"/>
    <hyperlink r:id="rId824" ref="D380"/>
    <hyperlink r:id="rId825" ref="E380"/>
    <hyperlink r:id="rId826" ref="F380"/>
    <hyperlink r:id="rId827" ref="H380"/>
    <hyperlink r:id="rId828" ref="J380"/>
    <hyperlink r:id="rId829" ref="L380"/>
    <hyperlink r:id="rId830" ref="N380"/>
    <hyperlink r:id="rId831" ref="P380"/>
    <hyperlink r:id="rId832" ref="R380"/>
    <hyperlink r:id="rId833" ref="T380"/>
    <hyperlink r:id="rId834" ref="B381"/>
    <hyperlink r:id="rId835" ref="C381"/>
    <hyperlink r:id="rId836" ref="B382"/>
    <hyperlink r:id="rId837" ref="C382"/>
  </hyperlinks>
  <drawing r:id="rId838"/>
</worksheet>
</file>