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IFERROR(__xludf.DUMMYFUNCTION("IMPORTHTML(""https://barttorvik.com/quadrants.php"", ""table"", 1, COLUMNS(IMPORTHTML(""https://barttorvik.com/quadrants.php"", ""table"", 1)))"),"Rk")</f>
        <v>Rk</v>
      </c>
      <c r="B1" s="1" t="str">
        <f>IFERROR(__xludf.DUMMYFUNCTION("""COMPUTED_VALUE"""),"Team")</f>
        <v>Team</v>
      </c>
      <c r="C1" s="1" t="str">
        <f>IFERROR(__xludf.DUMMYFUNCTION("""COMPUTED_VALUE"""),"Q1A")</f>
        <v>Q1A</v>
      </c>
      <c r="D1" s="1" t="str">
        <f>IFERROR(__xludf.DUMMYFUNCTION("""COMPUTED_VALUE"""),"Q1")</f>
        <v>Q1</v>
      </c>
      <c r="E1" s="1" t="str">
        <f>IFERROR(__xludf.DUMMYFUNCTION("""COMPUTED_VALUE"""),"Q2")</f>
        <v>Q2</v>
      </c>
      <c r="F1" s="1" t="str">
        <f>IFERROR(__xludf.DUMMYFUNCTION("""COMPUTED_VALUE"""),"Q1&amp;2")</f>
        <v>Q1&amp;2</v>
      </c>
      <c r="G1" s="1" t="str">
        <f>IFERROR(__xludf.DUMMYFUNCTION("""COMPUTED_VALUE"""),"Q3")</f>
        <v>Q3</v>
      </c>
      <c r="H1" s="1" t="str">
        <f>IFERROR(__xludf.DUMMYFUNCTION("""COMPUTED_VALUE"""),"Q4")</f>
        <v>Q4</v>
      </c>
    </row>
    <row r="2">
      <c r="A2" s="1">
        <f>IFERROR(__xludf.DUMMYFUNCTION("""COMPUTED_VALUE"""),1.0)</f>
        <v>1</v>
      </c>
      <c r="B2" s="1" t="str">
        <f>IFERROR(__xludf.DUMMYFUNCTION("""COMPUTED_VALUE"""),"Memphis 5")</f>
        <v>Memphis 5</v>
      </c>
      <c r="C2" s="2">
        <f>IFERROR(__xludf.DUMMYFUNCTION("""COMPUTED_VALUE"""),45718.0)</f>
        <v>45718</v>
      </c>
      <c r="D2" s="2">
        <f>IFERROR(__xludf.DUMMYFUNCTION("""COMPUTED_VALUE"""),45749.0)</f>
        <v>45749</v>
      </c>
      <c r="E2" s="1" t="str">
        <f>IFERROR(__xludf.DUMMYFUNCTION("""COMPUTED_VALUE"""),"6-0")</f>
        <v>6-0</v>
      </c>
      <c r="F2" s="2">
        <f>IFERROR(__xludf.DUMMYFUNCTION("""COMPUTED_VALUE"""),45932.0)</f>
        <v>45932</v>
      </c>
      <c r="G2" s="2">
        <f>IFERROR(__xludf.DUMMYFUNCTION("""COMPUTED_VALUE"""),45658.0)</f>
        <v>45658</v>
      </c>
      <c r="H2" s="1" t="str">
        <f>IFERROR(__xludf.DUMMYFUNCTION("""COMPUTED_VALUE"""),"1-0")</f>
        <v>1-0</v>
      </c>
    </row>
    <row r="3">
      <c r="A3" s="1">
        <f>IFERROR(__xludf.DUMMYFUNCTION("""COMPUTED_VALUE"""),2.0)</f>
        <v>2</v>
      </c>
      <c r="B3" s="1" t="str">
        <f>IFERROR(__xludf.DUMMYFUNCTION("""COMPUTED_VALUE"""),"Auburn 1")</f>
        <v>Auburn 1</v>
      </c>
      <c r="C3" s="2">
        <f>IFERROR(__xludf.DUMMYFUNCTION("""COMPUTED_VALUE"""),45689.0)</f>
        <v>45689</v>
      </c>
      <c r="D3" s="2">
        <f>IFERROR(__xludf.DUMMYFUNCTION("""COMPUTED_VALUE"""),45809.0)</f>
        <v>45809</v>
      </c>
      <c r="E3" s="1" t="str">
        <f>IFERROR(__xludf.DUMMYFUNCTION("""COMPUTED_VALUE"""),"1-0")</f>
        <v>1-0</v>
      </c>
      <c r="F3" s="2">
        <f>IFERROR(__xludf.DUMMYFUNCTION("""COMPUTED_VALUE"""),45839.0)</f>
        <v>45839</v>
      </c>
      <c r="G3" s="1" t="str">
        <f>IFERROR(__xludf.DUMMYFUNCTION("""COMPUTED_VALUE"""),"2-0")</f>
        <v>2-0</v>
      </c>
      <c r="H3" s="1" t="str">
        <f>IFERROR(__xludf.DUMMYFUNCTION("""COMPUTED_VALUE"""),"4-0")</f>
        <v>4-0</v>
      </c>
    </row>
    <row r="4">
      <c r="A4" s="1">
        <f>IFERROR(__xludf.DUMMYFUNCTION("""COMPUTED_VALUE"""),3.0)</f>
        <v>3</v>
      </c>
      <c r="B4" s="1" t="str">
        <f>IFERROR(__xludf.DUMMYFUNCTION("""COMPUTED_VALUE"""),"Oregon 2")</f>
        <v>Oregon 2</v>
      </c>
      <c r="C4" s="2">
        <f>IFERROR(__xludf.DUMMYFUNCTION("""COMPUTED_VALUE"""),45689.0)</f>
        <v>45689</v>
      </c>
      <c r="D4" s="2">
        <f>IFERROR(__xludf.DUMMYFUNCTION("""COMPUTED_VALUE"""),45779.0)</f>
        <v>45779</v>
      </c>
      <c r="E4" s="1" t="str">
        <f>IFERROR(__xludf.DUMMYFUNCTION("""COMPUTED_VALUE"""),"2-0")</f>
        <v>2-0</v>
      </c>
      <c r="F4" s="2">
        <f>IFERROR(__xludf.DUMMYFUNCTION("""COMPUTED_VALUE"""),45840.0)</f>
        <v>45840</v>
      </c>
      <c r="G4" s="1" t="str">
        <f>IFERROR(__xludf.DUMMYFUNCTION("""COMPUTED_VALUE"""),"3-0")</f>
        <v>3-0</v>
      </c>
      <c r="H4" s="1" t="str">
        <f>IFERROR(__xludf.DUMMYFUNCTION("""COMPUTED_VALUE"""),"3-0")</f>
        <v>3-0</v>
      </c>
    </row>
    <row r="5">
      <c r="A5" s="1">
        <f>IFERROR(__xludf.DUMMYFUNCTION("""COMPUTED_VALUE"""),4.0)</f>
        <v>4</v>
      </c>
      <c r="B5" s="1" t="str">
        <f>IFERROR(__xludf.DUMMYFUNCTION("""COMPUTED_VALUE"""),"Marquette 2")</f>
        <v>Marquette 2</v>
      </c>
      <c r="C5" s="2">
        <f>IFERROR(__xludf.DUMMYFUNCTION("""COMPUTED_VALUE"""),45658.0)</f>
        <v>45658</v>
      </c>
      <c r="D5" s="2">
        <f>IFERROR(__xludf.DUMMYFUNCTION("""COMPUTED_VALUE"""),45779.0)</f>
        <v>45779</v>
      </c>
      <c r="E5" s="1" t="str">
        <f>IFERROR(__xludf.DUMMYFUNCTION("""COMPUTED_VALUE"""),"2-0")</f>
        <v>2-0</v>
      </c>
      <c r="F5" s="2">
        <f>IFERROR(__xludf.DUMMYFUNCTION("""COMPUTED_VALUE"""),45840.0)</f>
        <v>45840</v>
      </c>
      <c r="G5" s="1" t="str">
        <f>IFERROR(__xludf.DUMMYFUNCTION("""COMPUTED_VALUE"""),"2-0")</f>
        <v>2-0</v>
      </c>
      <c r="H5" s="1" t="str">
        <f>IFERROR(__xludf.DUMMYFUNCTION("""COMPUTED_VALUE"""),"4-0")</f>
        <v>4-0</v>
      </c>
    </row>
    <row r="6">
      <c r="A6" s="1">
        <f>IFERROR(__xludf.DUMMYFUNCTION("""COMPUTED_VALUE"""),5.0)</f>
        <v>5</v>
      </c>
      <c r="B6" s="1" t="str">
        <f>IFERROR(__xludf.DUMMYFUNCTION("""COMPUTED_VALUE"""),"Alabama 2")</f>
        <v>Alabama 2</v>
      </c>
      <c r="C6" s="2">
        <f>IFERROR(__xludf.DUMMYFUNCTION("""COMPUTED_VALUE"""),45690.0)</f>
        <v>45690</v>
      </c>
      <c r="D6" s="2">
        <f>IFERROR(__xludf.DUMMYFUNCTION("""COMPUTED_VALUE"""),45718.0)</f>
        <v>45718</v>
      </c>
      <c r="E6" s="1" t="str">
        <f>IFERROR(__xludf.DUMMYFUNCTION("""COMPUTED_VALUE"""),"4-0")</f>
        <v>4-0</v>
      </c>
      <c r="F6" s="2">
        <f>IFERROR(__xludf.DUMMYFUNCTION("""COMPUTED_VALUE"""),45840.0)</f>
        <v>45840</v>
      </c>
      <c r="G6" s="1" t="str">
        <f>IFERROR(__xludf.DUMMYFUNCTION("""COMPUTED_VALUE"""),"3-0")</f>
        <v>3-0</v>
      </c>
      <c r="H6" s="1" t="str">
        <f>IFERROR(__xludf.DUMMYFUNCTION("""COMPUTED_VALUE"""),"2-0")</f>
        <v>2-0</v>
      </c>
    </row>
    <row r="7">
      <c r="A7" s="1">
        <f>IFERROR(__xludf.DUMMYFUNCTION("""COMPUTED_VALUE"""),6.0)</f>
        <v>6</v>
      </c>
      <c r="B7" s="1" t="str">
        <f>IFERROR(__xludf.DUMMYFUNCTION("""COMPUTED_VALUE"""),"Iowa St. 1")</f>
        <v>Iowa St. 1</v>
      </c>
      <c r="C7" s="2">
        <f>IFERROR(__xludf.DUMMYFUNCTION("""COMPUTED_VALUE"""),45658.0)</f>
        <v>45658</v>
      </c>
      <c r="D7" s="2">
        <f>IFERROR(__xludf.DUMMYFUNCTION("""COMPUTED_VALUE"""),45717.0)</f>
        <v>45717</v>
      </c>
      <c r="E7" s="1" t="str">
        <f>IFERROR(__xludf.DUMMYFUNCTION("""COMPUTED_VALUE"""),"3-0")</f>
        <v>3-0</v>
      </c>
      <c r="F7" s="2">
        <f>IFERROR(__xludf.DUMMYFUNCTION("""COMPUTED_VALUE"""),45809.0)</f>
        <v>45809</v>
      </c>
      <c r="G7" s="1" t="str">
        <f>IFERROR(__xludf.DUMMYFUNCTION("""COMPUTED_VALUE"""),"0-0")</f>
        <v>0-0</v>
      </c>
      <c r="H7" s="1" t="str">
        <f>IFERROR(__xludf.DUMMYFUNCTION("""COMPUTED_VALUE"""),"6-0")</f>
        <v>6-0</v>
      </c>
    </row>
    <row r="8">
      <c r="A8" s="1">
        <f>IFERROR(__xludf.DUMMYFUNCTION("""COMPUTED_VALUE"""),7.0)</f>
        <v>7</v>
      </c>
      <c r="B8" s="1" t="str">
        <f>IFERROR(__xludf.DUMMYFUNCTION("""COMPUTED_VALUE"""),"Utah St. 6")</f>
        <v>Utah St. 6</v>
      </c>
      <c r="C8" s="1" t="str">
        <f>IFERROR(__xludf.DUMMYFUNCTION("""COMPUTED_VALUE"""),"1-0")</f>
        <v>1-0</v>
      </c>
      <c r="D8" s="1" t="str">
        <f>IFERROR(__xludf.DUMMYFUNCTION("""COMPUTED_VALUE"""),"3-0")</f>
        <v>3-0</v>
      </c>
      <c r="E8" s="2">
        <f>IFERROR(__xludf.DUMMYFUNCTION("""COMPUTED_VALUE"""),45717.0)</f>
        <v>45717</v>
      </c>
      <c r="F8" s="2">
        <f>IFERROR(__xludf.DUMMYFUNCTION("""COMPUTED_VALUE"""),45809.0)</f>
        <v>45809</v>
      </c>
      <c r="G8" s="1" t="str">
        <f>IFERROR(__xludf.DUMMYFUNCTION("""COMPUTED_VALUE"""),"2-0")</f>
        <v>2-0</v>
      </c>
      <c r="H8" s="1" t="str">
        <f>IFERROR(__xludf.DUMMYFUNCTION("""COMPUTED_VALUE"""),"5-0")</f>
        <v>5-0</v>
      </c>
    </row>
    <row r="9">
      <c r="A9" s="1">
        <f>IFERROR(__xludf.DUMMYFUNCTION("""COMPUTED_VALUE"""),8.0)</f>
        <v>8</v>
      </c>
      <c r="B9" s="1" t="str">
        <f>IFERROR(__xludf.DUMMYFUNCTION("""COMPUTED_VALUE"""),"Texas A&amp;M 3")</f>
        <v>Texas A&amp;M 3</v>
      </c>
      <c r="C9" s="2">
        <f>IFERROR(__xludf.DUMMYFUNCTION("""COMPUTED_VALUE"""),45658.0)</f>
        <v>45658</v>
      </c>
      <c r="D9" s="2">
        <f>IFERROR(__xludf.DUMMYFUNCTION("""COMPUTED_VALUE"""),45689.0)</f>
        <v>45689</v>
      </c>
      <c r="E9" s="2">
        <f>IFERROR(__xludf.DUMMYFUNCTION("""COMPUTED_VALUE"""),45748.0)</f>
        <v>45748</v>
      </c>
      <c r="F9" s="2">
        <f>IFERROR(__xludf.DUMMYFUNCTION("""COMPUTED_VALUE"""),45810.0)</f>
        <v>45810</v>
      </c>
      <c r="G9" s="1" t="str">
        <f>IFERROR(__xludf.DUMMYFUNCTION("""COMPUTED_VALUE"""),"1-0")</f>
        <v>1-0</v>
      </c>
      <c r="H9" s="1" t="str">
        <f>IFERROR(__xludf.DUMMYFUNCTION("""COMPUTED_VALUE"""),"5-0")</f>
        <v>5-0</v>
      </c>
    </row>
    <row r="10">
      <c r="A10" s="1">
        <f>IFERROR(__xludf.DUMMYFUNCTION("""COMPUTED_VALUE"""),9.0)</f>
        <v>9</v>
      </c>
      <c r="B10" s="1" t="str">
        <f>IFERROR(__xludf.DUMMYFUNCTION("""COMPUTED_VALUE"""),"Wisconsin 7")</f>
        <v>Wisconsin 7</v>
      </c>
      <c r="C10" s="2">
        <f>IFERROR(__xludf.DUMMYFUNCTION("""COMPUTED_VALUE"""),45660.0)</f>
        <v>45660</v>
      </c>
      <c r="D10" s="2">
        <f>IFERROR(__xludf.DUMMYFUNCTION("""COMPUTED_VALUE"""),45691.0)</f>
        <v>45691</v>
      </c>
      <c r="E10" s="1" t="str">
        <f>IFERROR(__xludf.DUMMYFUNCTION("""COMPUTED_VALUE"""),"4-0")</f>
        <v>4-0</v>
      </c>
      <c r="F10" s="2">
        <f>IFERROR(__xludf.DUMMYFUNCTION("""COMPUTED_VALUE"""),45811.0)</f>
        <v>45811</v>
      </c>
      <c r="G10" s="1" t="str">
        <f>IFERROR(__xludf.DUMMYFUNCTION("""COMPUTED_VALUE"""),"0-0")</f>
        <v>0-0</v>
      </c>
      <c r="H10" s="1" t="str">
        <f>IFERROR(__xludf.DUMMYFUNCTION("""COMPUTED_VALUE"""),"6-0")</f>
        <v>6-0</v>
      </c>
    </row>
    <row r="11">
      <c r="A11" s="1">
        <f>IFERROR(__xludf.DUMMYFUNCTION("""COMPUTED_VALUE"""),10.0)</f>
        <v>10</v>
      </c>
      <c r="B11" s="1" t="str">
        <f>IFERROR(__xludf.DUMMYFUNCTION("""COMPUTED_VALUE"""),"Connecticut 3")</f>
        <v>Connecticut 3</v>
      </c>
      <c r="C11" s="1" t="str">
        <f>IFERROR(__xludf.DUMMYFUNCTION("""COMPUTED_VALUE"""),"1-0")</f>
        <v>1-0</v>
      </c>
      <c r="D11" s="2">
        <f>IFERROR(__xludf.DUMMYFUNCTION("""COMPUTED_VALUE"""),45717.0)</f>
        <v>45717</v>
      </c>
      <c r="E11" s="2">
        <f>IFERROR(__xludf.DUMMYFUNCTION("""COMPUTED_VALUE"""),45718.0)</f>
        <v>45718</v>
      </c>
      <c r="F11" s="2">
        <f>IFERROR(__xludf.DUMMYFUNCTION("""COMPUTED_VALUE"""),45811.0)</f>
        <v>45811</v>
      </c>
      <c r="G11" s="1" t="str">
        <f>IFERROR(__xludf.DUMMYFUNCTION("""COMPUTED_VALUE"""),"1-0")</f>
        <v>1-0</v>
      </c>
      <c r="H11" s="1" t="str">
        <f>IFERROR(__xludf.DUMMYFUNCTION("""COMPUTED_VALUE"""),"5-0")</f>
        <v>5-0</v>
      </c>
    </row>
    <row r="12">
      <c r="A12" s="1">
        <f>IFERROR(__xludf.DUMMYFUNCTION("""COMPUTED_VALUE"""),11.0)</f>
        <v>11</v>
      </c>
      <c r="B12" s="1" t="str">
        <f>IFERROR(__xludf.DUMMYFUNCTION("""COMPUTED_VALUE"""),"Mississippi St. 3")</f>
        <v>Mississippi St. 3</v>
      </c>
      <c r="C12" s="1" t="str">
        <f>IFERROR(__xludf.DUMMYFUNCTION("""COMPUTED_VALUE"""),"2-0")</f>
        <v>2-0</v>
      </c>
      <c r="D12" s="1" t="str">
        <f>IFERROR(__xludf.DUMMYFUNCTION("""COMPUTED_VALUE"""),"3-0")</f>
        <v>3-0</v>
      </c>
      <c r="E12" s="2">
        <f>IFERROR(__xludf.DUMMYFUNCTION("""COMPUTED_VALUE"""),45689.0)</f>
        <v>45689</v>
      </c>
      <c r="F12" s="2">
        <f>IFERROR(__xludf.DUMMYFUNCTION("""COMPUTED_VALUE"""),45778.0)</f>
        <v>45778</v>
      </c>
      <c r="G12" s="1" t="str">
        <f>IFERROR(__xludf.DUMMYFUNCTION("""COMPUTED_VALUE"""),"2-0")</f>
        <v>2-0</v>
      </c>
      <c r="H12" s="1" t="str">
        <f>IFERROR(__xludf.DUMMYFUNCTION("""COMPUTED_VALUE"""),"6-0")</f>
        <v>6-0</v>
      </c>
    </row>
    <row r="13">
      <c r="A13" s="1">
        <f>IFERROR(__xludf.DUMMYFUNCTION("""COMPUTED_VALUE"""),12.0)</f>
        <v>12</v>
      </c>
      <c r="B13" s="1" t="str">
        <f>IFERROR(__xludf.DUMMYFUNCTION("""COMPUTED_VALUE"""),"New Mexico")</f>
        <v>New Mexico</v>
      </c>
      <c r="C13" s="2">
        <f>IFERROR(__xludf.DUMMYFUNCTION("""COMPUTED_VALUE"""),45658.0)</f>
        <v>45658</v>
      </c>
      <c r="D13" s="2">
        <f>IFERROR(__xludf.DUMMYFUNCTION("""COMPUTED_VALUE"""),45658.0)</f>
        <v>45658</v>
      </c>
      <c r="E13" s="2">
        <f>IFERROR(__xludf.DUMMYFUNCTION("""COMPUTED_VALUE"""),45748.0)</f>
        <v>45748</v>
      </c>
      <c r="F13" s="2">
        <f>IFERROR(__xludf.DUMMYFUNCTION("""COMPUTED_VALUE"""),45779.0)</f>
        <v>45779</v>
      </c>
      <c r="G13" s="1" t="str">
        <f>IFERROR(__xludf.DUMMYFUNCTION("""COMPUTED_VALUE"""),"1-0")</f>
        <v>1-0</v>
      </c>
      <c r="H13" s="2">
        <f>IFERROR(__xludf.DUMMYFUNCTION("""COMPUTED_VALUE"""),45778.0)</f>
        <v>45778</v>
      </c>
    </row>
    <row r="14">
      <c r="A14" s="1">
        <f>IFERROR(__xludf.DUMMYFUNCTION("""COMPUTED_VALUE"""),13.0)</f>
        <v>13</v>
      </c>
      <c r="B14" s="1" t="str">
        <f>IFERROR(__xludf.DUMMYFUNCTION("""COMPUTED_VALUE"""),"Kentucky 3")</f>
        <v>Kentucky 3</v>
      </c>
      <c r="C14" s="2">
        <f>IFERROR(__xludf.DUMMYFUNCTION("""COMPUTED_VALUE"""),45717.0)</f>
        <v>45717</v>
      </c>
      <c r="D14" s="2">
        <f>IFERROR(__xludf.DUMMYFUNCTION("""COMPUTED_VALUE"""),45718.0)</f>
        <v>45718</v>
      </c>
      <c r="E14" s="1" t="str">
        <f>IFERROR(__xludf.DUMMYFUNCTION("""COMPUTED_VALUE"""),"2-0")</f>
        <v>2-0</v>
      </c>
      <c r="F14" s="2">
        <f>IFERROR(__xludf.DUMMYFUNCTION("""COMPUTED_VALUE"""),45779.0)</f>
        <v>45779</v>
      </c>
      <c r="G14" s="1" t="str">
        <f>IFERROR(__xludf.DUMMYFUNCTION("""COMPUTED_VALUE"""),"1-0")</f>
        <v>1-0</v>
      </c>
      <c r="H14" s="1" t="str">
        <f>IFERROR(__xludf.DUMMYFUNCTION("""COMPUTED_VALUE"""),"6-0")</f>
        <v>6-0</v>
      </c>
    </row>
    <row r="15">
      <c r="A15" s="1">
        <f>IFERROR(__xludf.DUMMYFUNCTION("""COMPUTED_VALUE"""),14.0)</f>
        <v>14</v>
      </c>
      <c r="B15" s="1" t="str">
        <f>IFERROR(__xludf.DUMMYFUNCTION("""COMPUTED_VALUE"""),"Washington St. N4O")</f>
        <v>Washington St. N4O</v>
      </c>
      <c r="C15" s="1" t="str">
        <f>IFERROR(__xludf.DUMMYFUNCTION("""COMPUTED_VALUE"""),"0-0")</f>
        <v>0-0</v>
      </c>
      <c r="D15" s="2">
        <f>IFERROR(__xludf.DUMMYFUNCTION("""COMPUTED_VALUE"""),45658.0)</f>
        <v>45658</v>
      </c>
      <c r="E15" s="2">
        <f>IFERROR(__xludf.DUMMYFUNCTION("""COMPUTED_VALUE"""),45749.0)</f>
        <v>45749</v>
      </c>
      <c r="F15" s="2">
        <f>IFERROR(__xludf.DUMMYFUNCTION("""COMPUTED_VALUE"""),45780.0)</f>
        <v>45780</v>
      </c>
      <c r="G15" s="1" t="str">
        <f>IFERROR(__xludf.DUMMYFUNCTION("""COMPUTED_VALUE"""),"2-0")</f>
        <v>2-0</v>
      </c>
      <c r="H15" s="1" t="str">
        <f>IFERROR(__xludf.DUMMYFUNCTION("""COMPUTED_VALUE"""),"6-0")</f>
        <v>6-0</v>
      </c>
    </row>
    <row r="16">
      <c r="A16" s="1">
        <f>IFERROR(__xludf.DUMMYFUNCTION("""COMPUTED_VALUE"""),15.0)</f>
        <v>15</v>
      </c>
      <c r="B16" s="1" t="str">
        <f>IFERROR(__xludf.DUMMYFUNCTION("""COMPUTED_VALUE"""),"Illinois 4")</f>
        <v>Illinois 4</v>
      </c>
      <c r="C16" s="2">
        <f>IFERROR(__xludf.DUMMYFUNCTION("""COMPUTED_VALUE"""),45659.0)</f>
        <v>45659</v>
      </c>
      <c r="D16" s="2">
        <f>IFERROR(__xludf.DUMMYFUNCTION("""COMPUTED_VALUE"""),45750.0)</f>
        <v>45750</v>
      </c>
      <c r="E16" s="1" t="str">
        <f>IFERROR(__xludf.DUMMYFUNCTION("""COMPUTED_VALUE"""),"1-0")</f>
        <v>1-0</v>
      </c>
      <c r="F16" s="2">
        <f>IFERROR(__xludf.DUMMYFUNCTION("""COMPUTED_VALUE"""),45780.0)</f>
        <v>45780</v>
      </c>
      <c r="G16" s="1" t="str">
        <f>IFERROR(__xludf.DUMMYFUNCTION("""COMPUTED_VALUE"""),"0-0")</f>
        <v>0-0</v>
      </c>
      <c r="H16" s="1" t="str">
        <f>IFERROR(__xludf.DUMMYFUNCTION("""COMPUTED_VALUE"""),"6-0")</f>
        <v>6-0</v>
      </c>
    </row>
    <row r="17">
      <c r="A17" s="1">
        <f>IFERROR(__xludf.DUMMYFUNCTION("""COMPUTED_VALUE"""),16.0)</f>
        <v>16</v>
      </c>
      <c r="B17" s="1" t="str">
        <f>IFERROR(__xludf.DUMMYFUNCTION("""COMPUTED_VALUE"""),"Louisville 12")</f>
        <v>Louisville 12</v>
      </c>
      <c r="C17" s="1" t="str">
        <f>IFERROR(__xludf.DUMMYFUNCTION("""COMPUTED_VALUE"""),"0-3")</f>
        <v>0-3</v>
      </c>
      <c r="D17" s="2">
        <f>IFERROR(__xludf.DUMMYFUNCTION("""COMPUTED_VALUE"""),45693.0)</f>
        <v>45693</v>
      </c>
      <c r="E17" s="1" t="str">
        <f>IFERROR(__xludf.DUMMYFUNCTION("""COMPUTED_VALUE"""),"3-0")</f>
        <v>3-0</v>
      </c>
      <c r="F17" s="2">
        <f>IFERROR(__xludf.DUMMYFUNCTION("""COMPUTED_VALUE"""),45782.0)</f>
        <v>45782</v>
      </c>
      <c r="G17" s="1" t="str">
        <f>IFERROR(__xludf.DUMMYFUNCTION("""COMPUTED_VALUE"""),"1-0")</f>
        <v>1-0</v>
      </c>
      <c r="H17" s="1" t="str">
        <f>IFERROR(__xludf.DUMMYFUNCTION("""COMPUTED_VALUE"""),"4-0")</f>
        <v>4-0</v>
      </c>
    </row>
    <row r="18">
      <c r="A18" s="1">
        <f>IFERROR(__xludf.DUMMYFUNCTION("""COMPUTED_VALUE"""),17.0)</f>
        <v>17</v>
      </c>
      <c r="B18" s="1" t="str">
        <f>IFERROR(__xludf.DUMMYFUNCTION("""COMPUTED_VALUE"""),"Tennessee 1")</f>
        <v>Tennessee 1</v>
      </c>
      <c r="C18" s="1" t="str">
        <f>IFERROR(__xludf.DUMMYFUNCTION("""COMPUTED_VALUE"""),"3-0")</f>
        <v>3-0</v>
      </c>
      <c r="D18" s="1" t="str">
        <f>IFERROR(__xludf.DUMMYFUNCTION("""COMPUTED_VALUE"""),"3-0")</f>
        <v>3-0</v>
      </c>
      <c r="E18" s="1" t="str">
        <f>IFERROR(__xludf.DUMMYFUNCTION("""COMPUTED_VALUE"""),"1-0")</f>
        <v>1-0</v>
      </c>
      <c r="F18" s="1" t="str">
        <f>IFERROR(__xludf.DUMMYFUNCTION("""COMPUTED_VALUE"""),"4-0")</f>
        <v>4-0</v>
      </c>
      <c r="G18" s="1" t="str">
        <f>IFERROR(__xludf.DUMMYFUNCTION("""COMPUTED_VALUE"""),"5-0")</f>
        <v>5-0</v>
      </c>
      <c r="H18" s="1" t="str">
        <f>IFERROR(__xludf.DUMMYFUNCTION("""COMPUTED_VALUE"""),"5-0")</f>
        <v>5-0</v>
      </c>
    </row>
    <row r="19">
      <c r="A19" s="1">
        <f>IFERROR(__xludf.DUMMYFUNCTION("""COMPUTED_VALUE"""),18.0)</f>
        <v>18</v>
      </c>
      <c r="B19" s="1" t="str">
        <f>IFERROR(__xludf.DUMMYFUNCTION("""COMPUTED_VALUE"""),"Florida 2")</f>
        <v>Florida 2</v>
      </c>
      <c r="C19" s="1" t="str">
        <f>IFERROR(__xludf.DUMMYFUNCTION("""COMPUTED_VALUE"""),"0-1")</f>
        <v>0-1</v>
      </c>
      <c r="D19" s="2">
        <f>IFERROR(__xludf.DUMMYFUNCTION("""COMPUTED_VALUE"""),45689.0)</f>
        <v>45689</v>
      </c>
      <c r="E19" s="1" t="str">
        <f>IFERROR(__xludf.DUMMYFUNCTION("""COMPUTED_VALUE"""),"2-0")</f>
        <v>2-0</v>
      </c>
      <c r="F19" s="2">
        <f>IFERROR(__xludf.DUMMYFUNCTION("""COMPUTED_VALUE"""),45748.0)</f>
        <v>45748</v>
      </c>
      <c r="G19" s="1" t="str">
        <f>IFERROR(__xludf.DUMMYFUNCTION("""COMPUTED_VALUE"""),"3-0")</f>
        <v>3-0</v>
      </c>
      <c r="H19" s="1" t="str">
        <f>IFERROR(__xludf.DUMMYFUNCTION("""COMPUTED_VALUE"""),"6-0")</f>
        <v>6-0</v>
      </c>
    </row>
    <row r="20">
      <c r="A20" s="1">
        <f>IFERROR(__xludf.DUMMYFUNCTION("""COMPUTED_VALUE"""),19.0)</f>
        <v>19</v>
      </c>
      <c r="B20" s="1" t="str">
        <f>IFERROR(__xludf.DUMMYFUNCTION("""COMPUTED_VALUE"""),"Oklahoma 5")</f>
        <v>Oklahoma 5</v>
      </c>
      <c r="C20" s="2">
        <f>IFERROR(__xludf.DUMMYFUNCTION("""COMPUTED_VALUE"""),45689.0)</f>
        <v>45689</v>
      </c>
      <c r="D20" s="2">
        <f>IFERROR(__xludf.DUMMYFUNCTION("""COMPUTED_VALUE"""),45717.0)</f>
        <v>45717</v>
      </c>
      <c r="E20" s="1" t="str">
        <f>IFERROR(__xludf.DUMMYFUNCTION("""COMPUTED_VALUE"""),"1-0")</f>
        <v>1-0</v>
      </c>
      <c r="F20" s="2">
        <f>IFERROR(__xludf.DUMMYFUNCTION("""COMPUTED_VALUE"""),45748.0)</f>
        <v>45748</v>
      </c>
      <c r="G20" s="1" t="str">
        <f>IFERROR(__xludf.DUMMYFUNCTION("""COMPUTED_VALUE"""),"2-0")</f>
        <v>2-0</v>
      </c>
      <c r="H20" s="1" t="str">
        <f>IFERROR(__xludf.DUMMYFUNCTION("""COMPUTED_VALUE"""),"7-0")</f>
        <v>7-0</v>
      </c>
    </row>
    <row r="21">
      <c r="A21" s="1">
        <f>IFERROR(__xludf.DUMMYFUNCTION("""COMPUTED_VALUE"""),20.0)</f>
        <v>20</v>
      </c>
      <c r="B21" s="1" t="str">
        <f>IFERROR(__xludf.DUMMYFUNCTION("""COMPUTED_VALUE"""),"Michigan St. 5")</f>
        <v>Michigan St. 5</v>
      </c>
      <c r="C21" s="2">
        <f>IFERROR(__xludf.DUMMYFUNCTION("""COMPUTED_VALUE"""),45658.0)</f>
        <v>45658</v>
      </c>
      <c r="D21" s="2">
        <f>IFERROR(__xludf.DUMMYFUNCTION("""COMPUTED_VALUE"""),45690.0)</f>
        <v>45690</v>
      </c>
      <c r="E21" s="1" t="str">
        <f>IFERROR(__xludf.DUMMYFUNCTION("""COMPUTED_VALUE"""),"2-0")</f>
        <v>2-0</v>
      </c>
      <c r="F21" s="2">
        <f>IFERROR(__xludf.DUMMYFUNCTION("""COMPUTED_VALUE"""),45749.0)</f>
        <v>45749</v>
      </c>
      <c r="G21" s="1" t="str">
        <f>IFERROR(__xludf.DUMMYFUNCTION("""COMPUTED_VALUE"""),"3-0")</f>
        <v>3-0</v>
      </c>
      <c r="H21" s="1" t="str">
        <f>IFERROR(__xludf.DUMMYFUNCTION("""COMPUTED_VALUE"""),"5-0")</f>
        <v>5-0</v>
      </c>
    </row>
    <row r="22">
      <c r="A22" s="1">
        <f>IFERROR(__xludf.DUMMYFUNCTION("""COMPUTED_VALUE"""),21.0)</f>
        <v>21</v>
      </c>
      <c r="B22" s="1" t="str">
        <f>IFERROR(__xludf.DUMMYFUNCTION("""COMPUTED_VALUE"""),"Duke 1")</f>
        <v>Duke 1</v>
      </c>
      <c r="C22" s="2">
        <f>IFERROR(__xludf.DUMMYFUNCTION("""COMPUTED_VALUE"""),45718.0)</f>
        <v>45718</v>
      </c>
      <c r="D22" s="2">
        <f>IFERROR(__xludf.DUMMYFUNCTION("""COMPUTED_VALUE"""),45749.0)</f>
        <v>45749</v>
      </c>
      <c r="E22" s="1" t="str">
        <f>IFERROR(__xludf.DUMMYFUNCTION("""COMPUTED_VALUE"""),"0-0")</f>
        <v>0-0</v>
      </c>
      <c r="F22" s="2">
        <f>IFERROR(__xludf.DUMMYFUNCTION("""COMPUTED_VALUE"""),45749.0)</f>
        <v>45749</v>
      </c>
      <c r="G22" s="1" t="str">
        <f>IFERROR(__xludf.DUMMYFUNCTION("""COMPUTED_VALUE"""),"4-0")</f>
        <v>4-0</v>
      </c>
      <c r="H22" s="1" t="str">
        <f>IFERROR(__xludf.DUMMYFUNCTION("""COMPUTED_VALUE"""),"4-0")</f>
        <v>4-0</v>
      </c>
    </row>
    <row r="23">
      <c r="A23" s="1">
        <f>IFERROR(__xludf.DUMMYFUNCTION("""COMPUTED_VALUE"""),22.0)</f>
        <v>22</v>
      </c>
      <c r="B23" s="1" t="str">
        <f>IFERROR(__xludf.DUMMYFUNCTION("""COMPUTED_VALUE"""),"Nebraska 10")</f>
        <v>Nebraska 10</v>
      </c>
      <c r="C23" s="1" t="str">
        <f>IFERROR(__xludf.DUMMYFUNCTION("""COMPUTED_VALUE"""),"0-1")</f>
        <v>0-1</v>
      </c>
      <c r="D23" s="2">
        <f>IFERROR(__xludf.DUMMYFUNCTION("""COMPUTED_VALUE"""),45690.0)</f>
        <v>45690</v>
      </c>
      <c r="E23" s="1" t="str">
        <f>IFERROR(__xludf.DUMMYFUNCTION("""COMPUTED_VALUE"""),"2-0")</f>
        <v>2-0</v>
      </c>
      <c r="F23" s="2">
        <f>IFERROR(__xludf.DUMMYFUNCTION("""COMPUTED_VALUE"""),45749.0)</f>
        <v>45749</v>
      </c>
      <c r="G23" s="1" t="str">
        <f>IFERROR(__xludf.DUMMYFUNCTION("""COMPUTED_VALUE"""),"2-0")</f>
        <v>2-0</v>
      </c>
      <c r="H23" s="1" t="str">
        <f>IFERROR(__xludf.DUMMYFUNCTION("""COMPUTED_VALUE"""),"6-0")</f>
        <v>6-0</v>
      </c>
    </row>
    <row r="24">
      <c r="A24" s="1">
        <f>IFERROR(__xludf.DUMMYFUNCTION("""COMPUTED_VALUE"""),23.0)</f>
        <v>23</v>
      </c>
      <c r="B24" s="1" t="str">
        <f>IFERROR(__xludf.DUMMYFUNCTION("""COMPUTED_VALUE"""),"Mississippi 8")</f>
        <v>Mississippi 8</v>
      </c>
      <c r="C24" s="2">
        <f>IFERROR(__xludf.DUMMYFUNCTION("""COMPUTED_VALUE"""),45658.0)</f>
        <v>45658</v>
      </c>
      <c r="D24" s="2">
        <f>IFERROR(__xludf.DUMMYFUNCTION("""COMPUTED_VALUE"""),45690.0)</f>
        <v>45690</v>
      </c>
      <c r="E24" s="1" t="str">
        <f>IFERROR(__xludf.DUMMYFUNCTION("""COMPUTED_VALUE"""),"2-0")</f>
        <v>2-0</v>
      </c>
      <c r="F24" s="2">
        <f>IFERROR(__xludf.DUMMYFUNCTION("""COMPUTED_VALUE"""),45749.0)</f>
        <v>45749</v>
      </c>
      <c r="G24" s="1" t="str">
        <f>IFERROR(__xludf.DUMMYFUNCTION("""COMPUTED_VALUE"""),"1-0")</f>
        <v>1-0</v>
      </c>
      <c r="H24" s="1" t="str">
        <f>IFERROR(__xludf.DUMMYFUNCTION("""COMPUTED_VALUE"""),"7-0")</f>
        <v>7-0</v>
      </c>
    </row>
    <row r="25">
      <c r="A25" s="1">
        <f>IFERROR(__xludf.DUMMYFUNCTION("""COMPUTED_VALUE"""),24.0)</f>
        <v>24</v>
      </c>
      <c r="B25" s="1" t="str">
        <f>IFERROR(__xludf.DUMMYFUNCTION("""COMPUTED_VALUE"""),"West Virginia 7")</f>
        <v>West Virginia 7</v>
      </c>
      <c r="C25" s="2">
        <f>IFERROR(__xludf.DUMMYFUNCTION("""COMPUTED_VALUE"""),45717.0)</f>
        <v>45717</v>
      </c>
      <c r="D25" s="2">
        <f>IFERROR(__xludf.DUMMYFUNCTION("""COMPUTED_VALUE"""),45718.0)</f>
        <v>45718</v>
      </c>
      <c r="E25" s="1" t="str">
        <f>IFERROR(__xludf.DUMMYFUNCTION("""COMPUTED_VALUE"""),"1-0")</f>
        <v>1-0</v>
      </c>
      <c r="F25" s="2">
        <f>IFERROR(__xludf.DUMMYFUNCTION("""COMPUTED_VALUE"""),45749.0)</f>
        <v>45749</v>
      </c>
      <c r="G25" s="1" t="str">
        <f>IFERROR(__xludf.DUMMYFUNCTION("""COMPUTED_VALUE"""),"1-0")</f>
        <v>1-0</v>
      </c>
      <c r="H25" s="1" t="str">
        <f>IFERROR(__xludf.DUMMYFUNCTION("""COMPUTED_VALUE"""),"6-0")</f>
        <v>6-0</v>
      </c>
    </row>
    <row r="26">
      <c r="A26" s="1">
        <f>IFERROR(__xludf.DUMMYFUNCTION("""COMPUTED_VALUE"""),25.0)</f>
        <v>25</v>
      </c>
      <c r="B26" s="1" t="str">
        <f>IFERROR(__xludf.DUMMYFUNCTION("""COMPUTED_VALUE"""),"Washington")</f>
        <v>Washington</v>
      </c>
      <c r="C26" s="1" t="str">
        <f>IFERROR(__xludf.DUMMYFUNCTION("""COMPUTED_VALUE"""),"0-2")</f>
        <v>0-2</v>
      </c>
      <c r="D26" s="2">
        <f>IFERROR(__xludf.DUMMYFUNCTION("""COMPUTED_VALUE"""),45660.0)</f>
        <v>45660</v>
      </c>
      <c r="E26" s="1" t="str">
        <f>IFERROR(__xludf.DUMMYFUNCTION("""COMPUTED_VALUE"""),"3-0")</f>
        <v>3-0</v>
      </c>
      <c r="F26" s="2">
        <f>IFERROR(__xludf.DUMMYFUNCTION("""COMPUTED_VALUE"""),45750.0)</f>
        <v>45750</v>
      </c>
      <c r="G26" s="2">
        <f>IFERROR(__xludf.DUMMYFUNCTION("""COMPUTED_VALUE"""),45659.0)</f>
        <v>45659</v>
      </c>
      <c r="H26" s="1" t="str">
        <f>IFERROR(__xludf.DUMMYFUNCTION("""COMPUTED_VALUE"""),"4-0")</f>
        <v>4-0</v>
      </c>
    </row>
    <row r="27">
      <c r="A27" s="1">
        <f>IFERROR(__xludf.DUMMYFUNCTION("""COMPUTED_VALUE"""),26.0)</f>
        <v>26</v>
      </c>
      <c r="B27" s="1" t="str">
        <f>IFERROR(__xludf.DUMMYFUNCTION("""COMPUTED_VALUE"""),"Michigan 7")</f>
        <v>Michigan 7</v>
      </c>
      <c r="C27" s="1" t="str">
        <f>IFERROR(__xludf.DUMMYFUNCTION("""COMPUTED_VALUE"""),"1-0")</f>
        <v>1-0</v>
      </c>
      <c r="D27" s="2">
        <f>IFERROR(__xludf.DUMMYFUNCTION("""COMPUTED_VALUE"""),45659.0)</f>
        <v>45659</v>
      </c>
      <c r="E27" s="2">
        <f>IFERROR(__xludf.DUMMYFUNCTION("""COMPUTED_VALUE"""),45717.0)</f>
        <v>45717</v>
      </c>
      <c r="F27" s="2">
        <f>IFERROR(__xludf.DUMMYFUNCTION("""COMPUTED_VALUE"""),45750.0)</f>
        <v>45750</v>
      </c>
      <c r="G27" s="1" t="str">
        <f>IFERROR(__xludf.DUMMYFUNCTION("""COMPUTED_VALUE"""),"5-0")</f>
        <v>5-0</v>
      </c>
      <c r="H27" s="1" t="str">
        <f>IFERROR(__xludf.DUMMYFUNCTION("""COMPUTED_VALUE"""),"2-0")</f>
        <v>2-0</v>
      </c>
    </row>
    <row r="28">
      <c r="A28" s="1">
        <f>IFERROR(__xludf.DUMMYFUNCTION("""COMPUTED_VALUE"""),27.0)</f>
        <v>27</v>
      </c>
      <c r="B28" s="1" t="str">
        <f>IFERROR(__xludf.DUMMYFUNCTION("""COMPUTED_VALUE"""),"Kansas 4")</f>
        <v>Kansas 4</v>
      </c>
      <c r="C28" s="1" t="str">
        <f>IFERROR(__xludf.DUMMYFUNCTION("""COMPUTED_VALUE"""),"2-0")</f>
        <v>2-0</v>
      </c>
      <c r="D28" s="2">
        <f>IFERROR(__xludf.DUMMYFUNCTION("""COMPUTED_VALUE"""),45691.0)</f>
        <v>45691</v>
      </c>
      <c r="E28" s="1" t="str">
        <f>IFERROR(__xludf.DUMMYFUNCTION("""COMPUTED_VALUE"""),"2-0")</f>
        <v>2-0</v>
      </c>
      <c r="F28" s="2">
        <f>IFERROR(__xludf.DUMMYFUNCTION("""COMPUTED_VALUE"""),45750.0)</f>
        <v>45750</v>
      </c>
      <c r="G28" s="1" t="str">
        <f>IFERROR(__xludf.DUMMYFUNCTION("""COMPUTED_VALUE"""),"2-0")</f>
        <v>2-0</v>
      </c>
      <c r="H28" s="1" t="str">
        <f>IFERROR(__xludf.DUMMYFUNCTION("""COMPUTED_VALUE"""),"4-0")</f>
        <v>4-0</v>
      </c>
    </row>
    <row r="29">
      <c r="A29" s="1">
        <f>IFERROR(__xludf.DUMMYFUNCTION("""COMPUTED_VALUE"""),28.0)</f>
        <v>28</v>
      </c>
      <c r="B29" s="1" t="str">
        <f>IFERROR(__xludf.DUMMYFUNCTION("""COMPUTED_VALUE"""),"San Diego St. 9")</f>
        <v>San Diego St. 9</v>
      </c>
      <c r="C29" s="2">
        <f>IFERROR(__xludf.DUMMYFUNCTION("""COMPUTED_VALUE"""),45659.0)</f>
        <v>45659</v>
      </c>
      <c r="D29" s="2">
        <f>IFERROR(__xludf.DUMMYFUNCTION("""COMPUTED_VALUE"""),45691.0)</f>
        <v>45691</v>
      </c>
      <c r="E29" s="1" t="str">
        <f>IFERROR(__xludf.DUMMYFUNCTION("""COMPUTED_VALUE"""),"2-0")</f>
        <v>2-0</v>
      </c>
      <c r="F29" s="2">
        <f>IFERROR(__xludf.DUMMYFUNCTION("""COMPUTED_VALUE"""),45750.0)</f>
        <v>45750</v>
      </c>
      <c r="G29" s="1" t="str">
        <f>IFERROR(__xludf.DUMMYFUNCTION("""COMPUTED_VALUE"""),"1-0")</f>
        <v>1-0</v>
      </c>
      <c r="H29" s="1" t="str">
        <f>IFERROR(__xludf.DUMMYFUNCTION("""COMPUTED_VALUE"""),"3-0")</f>
        <v>3-0</v>
      </c>
    </row>
    <row r="30">
      <c r="A30" s="1">
        <f>IFERROR(__xludf.DUMMYFUNCTION("""COMPUTED_VALUE"""),29.0)</f>
        <v>29</v>
      </c>
      <c r="B30" s="1" t="str">
        <f>IFERROR(__xludf.DUMMYFUNCTION("""COMPUTED_VALUE"""),"Purdue 6")</f>
        <v>Purdue 6</v>
      </c>
      <c r="C30" s="2">
        <f>IFERROR(__xludf.DUMMYFUNCTION("""COMPUTED_VALUE"""),45660.0)</f>
        <v>45660</v>
      </c>
      <c r="D30" s="2">
        <f>IFERROR(__xludf.DUMMYFUNCTION("""COMPUTED_VALUE"""),45720.0)</f>
        <v>45720</v>
      </c>
      <c r="E30" s="1" t="str">
        <f>IFERROR(__xludf.DUMMYFUNCTION("""COMPUTED_VALUE"""),"1-0")</f>
        <v>1-0</v>
      </c>
      <c r="F30" s="2">
        <f>IFERROR(__xludf.DUMMYFUNCTION("""COMPUTED_VALUE"""),45751.0)</f>
        <v>45751</v>
      </c>
      <c r="G30" s="1" t="str">
        <f>IFERROR(__xludf.DUMMYFUNCTION("""COMPUTED_VALUE"""),"4-0")</f>
        <v>4-0</v>
      </c>
      <c r="H30" s="1" t="str">
        <f>IFERROR(__xludf.DUMMYFUNCTION("""COMPUTED_VALUE"""),"3-0")</f>
        <v>3-0</v>
      </c>
    </row>
    <row r="31">
      <c r="A31" s="1">
        <f>IFERROR(__xludf.DUMMYFUNCTION("""COMPUTED_VALUE"""),30.0)</f>
        <v>30</v>
      </c>
      <c r="B31" s="1" t="str">
        <f>IFERROR(__xludf.DUMMYFUNCTION("""COMPUTED_VALUE"""),"Gonzaga 4")</f>
        <v>Gonzaga 4</v>
      </c>
      <c r="C31" s="2">
        <f>IFERROR(__xludf.DUMMYFUNCTION("""COMPUTED_VALUE"""),45660.0)</f>
        <v>45660</v>
      </c>
      <c r="D31" s="2">
        <f>IFERROR(__xludf.DUMMYFUNCTION("""COMPUTED_VALUE"""),45692.0)</f>
        <v>45692</v>
      </c>
      <c r="E31" s="1" t="str">
        <f>IFERROR(__xludf.DUMMYFUNCTION("""COMPUTED_VALUE"""),"2-0")</f>
        <v>2-0</v>
      </c>
      <c r="F31" s="2">
        <f>IFERROR(__xludf.DUMMYFUNCTION("""COMPUTED_VALUE"""),45751.0)</f>
        <v>45751</v>
      </c>
      <c r="G31" s="1" t="str">
        <f>IFERROR(__xludf.DUMMYFUNCTION("""COMPUTED_VALUE"""),"4-0")</f>
        <v>4-0</v>
      </c>
      <c r="H31" s="1" t="str">
        <f>IFERROR(__xludf.DUMMYFUNCTION("""COMPUTED_VALUE"""),"4-0")</f>
        <v>4-0</v>
      </c>
    </row>
    <row r="32">
      <c r="A32" s="1">
        <f>IFERROR(__xludf.DUMMYFUNCTION("""COMPUTED_VALUE"""),31.0)</f>
        <v>31</v>
      </c>
      <c r="B32" s="1" t="str">
        <f>IFERROR(__xludf.DUMMYFUNCTION("""COMPUTED_VALUE"""),"Creighton")</f>
        <v>Creighton</v>
      </c>
      <c r="C32" s="2">
        <f>IFERROR(__xludf.DUMMYFUNCTION("""COMPUTED_VALUE"""),45660.0)</f>
        <v>45660</v>
      </c>
      <c r="D32" s="2">
        <f>IFERROR(__xludf.DUMMYFUNCTION("""COMPUTED_VALUE"""),45662.0)</f>
        <v>45662</v>
      </c>
      <c r="E32" s="2">
        <f>IFERROR(__xludf.DUMMYFUNCTION("""COMPUTED_VALUE"""),45717.0)</f>
        <v>45717</v>
      </c>
      <c r="F32" s="2">
        <f>IFERROR(__xludf.DUMMYFUNCTION("""COMPUTED_VALUE"""),45753.0)</f>
        <v>45753</v>
      </c>
      <c r="G32" s="1" t="str">
        <f>IFERROR(__xludf.DUMMYFUNCTION("""COMPUTED_VALUE"""),"1-0")</f>
        <v>1-0</v>
      </c>
      <c r="H32" s="1" t="str">
        <f>IFERROR(__xludf.DUMMYFUNCTION("""COMPUTED_VALUE"""),"4-0")</f>
        <v>4-0</v>
      </c>
    </row>
    <row r="33">
      <c r="A33" s="1">
        <f>IFERROR(__xludf.DUMMYFUNCTION("""COMPUTED_VALUE"""),32.0)</f>
        <v>32</v>
      </c>
      <c r="B33" s="1" t="str">
        <f>IFERROR(__xludf.DUMMYFUNCTION("""COMPUTED_VALUE"""),"Vanderbilt 12")</f>
        <v>Vanderbilt 12</v>
      </c>
      <c r="C33" s="1" t="str">
        <f>IFERROR(__xludf.DUMMYFUNCTION("""COMPUTED_VALUE"""),"0-0")</f>
        <v>0-0</v>
      </c>
      <c r="D33" s="1" t="str">
        <f>IFERROR(__xludf.DUMMYFUNCTION("""COMPUTED_VALUE"""),"1-0")</f>
        <v>1-0</v>
      </c>
      <c r="E33" s="2">
        <f>IFERROR(__xludf.DUMMYFUNCTION("""COMPUTED_VALUE"""),45689.0)</f>
        <v>45689</v>
      </c>
      <c r="F33" s="2">
        <f>IFERROR(__xludf.DUMMYFUNCTION("""COMPUTED_VALUE"""),45717.0)</f>
        <v>45717</v>
      </c>
      <c r="G33" s="1" t="str">
        <f>IFERROR(__xludf.DUMMYFUNCTION("""COMPUTED_VALUE"""),"3-0")</f>
        <v>3-0</v>
      </c>
      <c r="H33" s="1" t="str">
        <f>IFERROR(__xludf.DUMMYFUNCTION("""COMPUTED_VALUE"""),"7-0")</f>
        <v>7-0</v>
      </c>
    </row>
    <row r="34">
      <c r="A34" s="1">
        <f>IFERROR(__xludf.DUMMYFUNCTION("""COMPUTED_VALUE"""),33.0)</f>
        <v>33</v>
      </c>
      <c r="B34" s="1" t="str">
        <f>IFERROR(__xludf.DUMMYFUNCTION("""COMPUTED_VALUE"""),"St. Bonaventure F4O")</f>
        <v>St. Bonaventure F4O</v>
      </c>
      <c r="C34" s="1" t="str">
        <f>IFERROR(__xludf.DUMMYFUNCTION("""COMPUTED_VALUE"""),"0-0")</f>
        <v>0-0</v>
      </c>
      <c r="D34" s="1" t="str">
        <f>IFERROR(__xludf.DUMMYFUNCTION("""COMPUTED_VALUE"""),"0-1")</f>
        <v>0-1</v>
      </c>
      <c r="E34" s="1" t="str">
        <f>IFERROR(__xludf.DUMMYFUNCTION("""COMPUTED_VALUE"""),"3-0")</f>
        <v>3-0</v>
      </c>
      <c r="F34" s="2">
        <f>IFERROR(__xludf.DUMMYFUNCTION("""COMPUTED_VALUE"""),45717.0)</f>
        <v>45717</v>
      </c>
      <c r="G34" s="1" t="str">
        <f>IFERROR(__xludf.DUMMYFUNCTION("""COMPUTED_VALUE"""),"2-0")</f>
        <v>2-0</v>
      </c>
      <c r="H34" s="1" t="str">
        <f>IFERROR(__xludf.DUMMYFUNCTION("""COMPUTED_VALUE"""),"8-0")</f>
        <v>8-0</v>
      </c>
    </row>
    <row r="35">
      <c r="A35" s="1">
        <f>IFERROR(__xludf.DUMMYFUNCTION("""COMPUTED_VALUE"""),34.0)</f>
        <v>34</v>
      </c>
      <c r="B35" s="1" t="str">
        <f>IFERROR(__xludf.DUMMYFUNCTION("""COMPUTED_VALUE"""),"Pittsburgh 6")</f>
        <v>Pittsburgh 6</v>
      </c>
      <c r="C35" s="2">
        <f>IFERROR(__xludf.DUMMYFUNCTION("""COMPUTED_VALUE"""),45659.0)</f>
        <v>45659</v>
      </c>
      <c r="D35" s="2">
        <f>IFERROR(__xludf.DUMMYFUNCTION("""COMPUTED_VALUE"""),45690.0)</f>
        <v>45690</v>
      </c>
      <c r="E35" s="1" t="str">
        <f>IFERROR(__xludf.DUMMYFUNCTION("""COMPUTED_VALUE"""),"1-0")</f>
        <v>1-0</v>
      </c>
      <c r="F35" s="2">
        <f>IFERROR(__xludf.DUMMYFUNCTION("""COMPUTED_VALUE"""),45718.0)</f>
        <v>45718</v>
      </c>
      <c r="G35" s="1" t="str">
        <f>IFERROR(__xludf.DUMMYFUNCTION("""COMPUTED_VALUE"""),"4-0")</f>
        <v>4-0</v>
      </c>
      <c r="H35" s="1" t="str">
        <f>IFERROR(__xludf.DUMMYFUNCTION("""COMPUTED_VALUE"""),"5-0")</f>
        <v>5-0</v>
      </c>
    </row>
    <row r="36">
      <c r="A36" s="1">
        <f>IFERROR(__xludf.DUMMYFUNCTION("""COMPUTED_VALUE"""),35.0)</f>
        <v>35</v>
      </c>
      <c r="B36" s="1" t="str">
        <f>IFERROR(__xludf.DUMMYFUNCTION("""COMPUTED_VALUE"""),"Saint Mary's 11")</f>
        <v>Saint Mary's 11</v>
      </c>
      <c r="C36" s="1" t="str">
        <f>IFERROR(__xludf.DUMMYFUNCTION("""COMPUTED_VALUE"""),"0-0")</f>
        <v>0-0</v>
      </c>
      <c r="D36" s="2">
        <f>IFERROR(__xludf.DUMMYFUNCTION("""COMPUTED_VALUE"""),45658.0)</f>
        <v>45658</v>
      </c>
      <c r="E36" s="2">
        <f>IFERROR(__xludf.DUMMYFUNCTION("""COMPUTED_VALUE"""),45690.0)</f>
        <v>45690</v>
      </c>
      <c r="F36" s="2">
        <f>IFERROR(__xludf.DUMMYFUNCTION("""COMPUTED_VALUE"""),45719.0)</f>
        <v>45719</v>
      </c>
      <c r="G36" s="1" t="str">
        <f>IFERROR(__xludf.DUMMYFUNCTION("""COMPUTED_VALUE"""),"1-0")</f>
        <v>1-0</v>
      </c>
      <c r="H36" s="1" t="str">
        <f>IFERROR(__xludf.DUMMYFUNCTION("""COMPUTED_VALUE"""),"8-0")</f>
        <v>8-0</v>
      </c>
    </row>
    <row r="37">
      <c r="A37" s="1">
        <f>IFERROR(__xludf.DUMMYFUNCTION("""COMPUTED_VALUE"""),36.0)</f>
        <v>36</v>
      </c>
      <c r="B37" s="1" t="str">
        <f>IFERROR(__xludf.DUMMYFUNCTION("""COMPUTED_VALUE"""),"UCLA 4")</f>
        <v>UCLA 4</v>
      </c>
      <c r="C37" s="2">
        <f>IFERROR(__xludf.DUMMYFUNCTION("""COMPUTED_VALUE"""),45717.0)</f>
        <v>45717</v>
      </c>
      <c r="D37" s="2">
        <f>IFERROR(__xludf.DUMMYFUNCTION("""COMPUTED_VALUE"""),45718.0)</f>
        <v>45718</v>
      </c>
      <c r="E37" s="1" t="str">
        <f>IFERROR(__xludf.DUMMYFUNCTION("""COMPUTED_VALUE"""),"0-1")</f>
        <v>0-1</v>
      </c>
      <c r="F37" s="2">
        <f>IFERROR(__xludf.DUMMYFUNCTION("""COMPUTED_VALUE"""),45719.0)</f>
        <v>45719</v>
      </c>
      <c r="G37" s="1" t="str">
        <f>IFERROR(__xludf.DUMMYFUNCTION("""COMPUTED_VALUE"""),"1-0")</f>
        <v>1-0</v>
      </c>
      <c r="H37" s="1" t="str">
        <f>IFERROR(__xludf.DUMMYFUNCTION("""COMPUTED_VALUE"""),"7-0")</f>
        <v>7-0</v>
      </c>
    </row>
    <row r="38">
      <c r="A38" s="1">
        <f>IFERROR(__xludf.DUMMYFUNCTION("""COMPUTED_VALUE"""),37.0)</f>
        <v>37</v>
      </c>
      <c r="B38" s="1" t="str">
        <f>IFERROR(__xludf.DUMMYFUNCTION("""COMPUTED_VALUE"""),"Houston 5")</f>
        <v>Houston 5</v>
      </c>
      <c r="C38" s="1" t="str">
        <f>IFERROR(__xludf.DUMMYFUNCTION("""COMPUTED_VALUE"""),"0-2")</f>
        <v>0-2</v>
      </c>
      <c r="D38" s="1" t="str">
        <f>IFERROR(__xludf.DUMMYFUNCTION("""COMPUTED_VALUE"""),"0-3")</f>
        <v>0-3</v>
      </c>
      <c r="E38" s="1" t="str">
        <f>IFERROR(__xludf.DUMMYFUNCTION("""COMPUTED_VALUE"""),"3-0")</f>
        <v>3-0</v>
      </c>
      <c r="F38" s="2">
        <f>IFERROR(__xludf.DUMMYFUNCTION("""COMPUTED_VALUE"""),45719.0)</f>
        <v>45719</v>
      </c>
      <c r="G38" s="1" t="str">
        <f>IFERROR(__xludf.DUMMYFUNCTION("""COMPUTED_VALUE"""),"4-0")</f>
        <v>4-0</v>
      </c>
      <c r="H38" s="1" t="str">
        <f>IFERROR(__xludf.DUMMYFUNCTION("""COMPUTED_VALUE"""),"4-0")</f>
        <v>4-0</v>
      </c>
    </row>
    <row r="39">
      <c r="A39" s="1">
        <f>IFERROR(__xludf.DUMMYFUNCTION("""COMPUTED_VALUE"""),38.0)</f>
        <v>38</v>
      </c>
      <c r="B39" s="1" t="str">
        <f>IFERROR(__xludf.DUMMYFUNCTION("""COMPUTED_VALUE"""),"Clemson 8")</f>
        <v>Clemson 8</v>
      </c>
      <c r="C39" s="1" t="str">
        <f>IFERROR(__xludf.DUMMYFUNCTION("""COMPUTED_VALUE"""),"1-0")</f>
        <v>1-0</v>
      </c>
      <c r="D39" s="2">
        <f>IFERROR(__xludf.DUMMYFUNCTION("""COMPUTED_VALUE"""),45689.0)</f>
        <v>45689</v>
      </c>
      <c r="E39" s="2">
        <f>IFERROR(__xludf.DUMMYFUNCTION("""COMPUTED_VALUE"""),45659.0)</f>
        <v>45659</v>
      </c>
      <c r="F39" s="2">
        <f>IFERROR(__xludf.DUMMYFUNCTION("""COMPUTED_VALUE"""),45719.0)</f>
        <v>45719</v>
      </c>
      <c r="G39" s="1" t="str">
        <f>IFERROR(__xludf.DUMMYFUNCTION("""COMPUTED_VALUE"""),"4-0")</f>
        <v>4-0</v>
      </c>
      <c r="H39" s="1" t="str">
        <f>IFERROR(__xludf.DUMMYFUNCTION("""COMPUTED_VALUE"""),"5-0")</f>
        <v>5-0</v>
      </c>
    </row>
    <row r="40">
      <c r="A40" s="1">
        <f>IFERROR(__xludf.DUMMYFUNCTION("""COMPUTED_VALUE"""),39.0)</f>
        <v>39</v>
      </c>
      <c r="B40" s="1" t="str">
        <f>IFERROR(__xludf.DUMMYFUNCTION("""COMPUTED_VALUE"""),"LSU")</f>
        <v>LSU</v>
      </c>
      <c r="C40" s="1" t="str">
        <f>IFERROR(__xludf.DUMMYFUNCTION("""COMPUTED_VALUE"""),"0-1")</f>
        <v>0-1</v>
      </c>
      <c r="D40" s="1" t="str">
        <f>IFERROR(__xludf.DUMMYFUNCTION("""COMPUTED_VALUE"""),"0-2")</f>
        <v>0-2</v>
      </c>
      <c r="E40" s="2">
        <f>IFERROR(__xludf.DUMMYFUNCTION("""COMPUTED_VALUE"""),45717.0)</f>
        <v>45717</v>
      </c>
      <c r="F40" s="2">
        <f>IFERROR(__xludf.DUMMYFUNCTION("""COMPUTED_VALUE"""),45719.0)</f>
        <v>45719</v>
      </c>
      <c r="G40" s="1" t="str">
        <f>IFERROR(__xludf.DUMMYFUNCTION("""COMPUTED_VALUE"""),"0-0")</f>
        <v>0-0</v>
      </c>
      <c r="H40" s="1" t="str">
        <f>IFERROR(__xludf.DUMMYFUNCTION("""COMPUTED_VALUE"""),"8-0")</f>
        <v>8-0</v>
      </c>
    </row>
    <row r="41">
      <c r="A41" s="1">
        <f>IFERROR(__xludf.DUMMYFUNCTION("""COMPUTED_VALUE"""),40.0)</f>
        <v>40</v>
      </c>
      <c r="B41" s="1" t="str">
        <f>IFERROR(__xludf.DUMMYFUNCTION("""COMPUTED_VALUE"""),"Arizona St. 11")</f>
        <v>Arizona St. 11</v>
      </c>
      <c r="C41" s="1" t="str">
        <f>IFERROR(__xludf.DUMMYFUNCTION("""COMPUTED_VALUE"""),"0-2")</f>
        <v>0-2</v>
      </c>
      <c r="D41" s="2">
        <f>IFERROR(__xludf.DUMMYFUNCTION("""COMPUTED_VALUE"""),45660.0)</f>
        <v>45660</v>
      </c>
      <c r="E41" s="1" t="str">
        <f>IFERROR(__xludf.DUMMYFUNCTION("""COMPUTED_VALUE"""),"2-0")</f>
        <v>2-0</v>
      </c>
      <c r="F41" s="2">
        <f>IFERROR(__xludf.DUMMYFUNCTION("""COMPUTED_VALUE"""),45719.0)</f>
        <v>45719</v>
      </c>
      <c r="G41" s="1" t="str">
        <f>IFERROR(__xludf.DUMMYFUNCTION("""COMPUTED_VALUE"""),"3-0")</f>
        <v>3-0</v>
      </c>
      <c r="H41" s="1" t="str">
        <f>IFERROR(__xludf.DUMMYFUNCTION("""COMPUTED_VALUE"""),"4-0")</f>
        <v>4-0</v>
      </c>
    </row>
    <row r="42">
      <c r="A42" s="1">
        <f>IFERROR(__xludf.DUMMYFUNCTION("""COMPUTED_VALUE"""),41.0)</f>
        <v>41</v>
      </c>
      <c r="B42" s="1" t="str">
        <f>IFERROR(__xludf.DUMMYFUNCTION("""COMPUTED_VALUE"""),"Iowa N4O")</f>
        <v>Iowa N4O</v>
      </c>
      <c r="C42" s="1" t="str">
        <f>IFERROR(__xludf.DUMMYFUNCTION("""COMPUTED_VALUE"""),"0-3")</f>
        <v>0-3</v>
      </c>
      <c r="D42" s="1" t="str">
        <f>IFERROR(__xludf.DUMMYFUNCTION("""COMPUTED_VALUE"""),"0-4")</f>
        <v>0-4</v>
      </c>
      <c r="E42" s="1" t="str">
        <f>IFERROR(__xludf.DUMMYFUNCTION("""COMPUTED_VALUE"""),"3-0")</f>
        <v>3-0</v>
      </c>
      <c r="F42" s="2">
        <f>IFERROR(__xludf.DUMMYFUNCTION("""COMPUTED_VALUE"""),45720.0)</f>
        <v>45720</v>
      </c>
      <c r="G42" s="1" t="str">
        <f>IFERROR(__xludf.DUMMYFUNCTION("""COMPUTED_VALUE"""),"0-0")</f>
        <v>0-0</v>
      </c>
      <c r="H42" s="1" t="str">
        <f>IFERROR(__xludf.DUMMYFUNCTION("""COMPUTED_VALUE"""),"7-0")</f>
        <v>7-0</v>
      </c>
    </row>
    <row r="43">
      <c r="A43" s="1">
        <f>IFERROR(__xludf.DUMMYFUNCTION("""COMPUTED_VALUE"""),42.0)</f>
        <v>42</v>
      </c>
      <c r="B43" s="1" t="str">
        <f>IFERROR(__xludf.DUMMYFUNCTION("""COMPUTED_VALUE"""),"Santa Clara")</f>
        <v>Santa Clara</v>
      </c>
      <c r="C43" s="1" t="str">
        <f>IFERROR(__xludf.DUMMYFUNCTION("""COMPUTED_VALUE"""),"0-0")</f>
        <v>0-0</v>
      </c>
      <c r="D43" s="2">
        <f>IFERROR(__xludf.DUMMYFUNCTION("""COMPUTED_VALUE"""),45659.0)</f>
        <v>45659</v>
      </c>
      <c r="E43" s="2">
        <f>IFERROR(__xludf.DUMMYFUNCTION("""COMPUTED_VALUE"""),45690.0)</f>
        <v>45690</v>
      </c>
      <c r="F43" s="2">
        <f>IFERROR(__xludf.DUMMYFUNCTION("""COMPUTED_VALUE"""),45720.0)</f>
        <v>45720</v>
      </c>
      <c r="G43" s="2">
        <f>IFERROR(__xludf.DUMMYFUNCTION("""COMPUTED_VALUE"""),45690.0)</f>
        <v>45690</v>
      </c>
      <c r="H43" s="1" t="str">
        <f>IFERROR(__xludf.DUMMYFUNCTION("""COMPUTED_VALUE"""),"5-0")</f>
        <v>5-0</v>
      </c>
    </row>
    <row r="44">
      <c r="A44" s="1">
        <f>IFERROR(__xludf.DUMMYFUNCTION("""COMPUTED_VALUE"""),43.0)</f>
        <v>43</v>
      </c>
      <c r="B44" s="1" t="str">
        <f>IFERROR(__xludf.DUMMYFUNCTION("""COMPUTED_VALUE"""),"Dayton 8")</f>
        <v>Dayton 8</v>
      </c>
      <c r="C44" s="2">
        <f>IFERROR(__xludf.DUMMYFUNCTION("""COMPUTED_VALUE"""),45689.0)</f>
        <v>45689</v>
      </c>
      <c r="D44" s="2">
        <f>IFERROR(__xludf.DUMMYFUNCTION("""COMPUTED_VALUE"""),45691.0)</f>
        <v>45691</v>
      </c>
      <c r="E44" s="2">
        <f>IFERROR(__xludf.DUMMYFUNCTION("""COMPUTED_VALUE"""),45658.0)</f>
        <v>45658</v>
      </c>
      <c r="F44" s="2">
        <f>IFERROR(__xludf.DUMMYFUNCTION("""COMPUTED_VALUE"""),45720.0)</f>
        <v>45720</v>
      </c>
      <c r="G44" s="1" t="str">
        <f>IFERROR(__xludf.DUMMYFUNCTION("""COMPUTED_VALUE"""),"2-0")</f>
        <v>2-0</v>
      </c>
      <c r="H44" s="1" t="str">
        <f>IFERROR(__xludf.DUMMYFUNCTION("""COMPUTED_VALUE"""),"5-0")</f>
        <v>5-0</v>
      </c>
    </row>
    <row r="45">
      <c r="A45" s="1">
        <f>IFERROR(__xludf.DUMMYFUNCTION("""COMPUTED_VALUE"""),44.0)</f>
        <v>44</v>
      </c>
      <c r="B45" s="1" t="str">
        <f>IFERROR(__xludf.DUMMYFUNCTION("""COMPUTED_VALUE"""),"North Carolina 10")</f>
        <v>North Carolina 10</v>
      </c>
      <c r="C45" s="2">
        <f>IFERROR(__xludf.DUMMYFUNCTION("""COMPUTED_VALUE"""),45663.0)</f>
        <v>45663</v>
      </c>
      <c r="D45" s="2">
        <f>IFERROR(__xludf.DUMMYFUNCTION("""COMPUTED_VALUE"""),45663.0)</f>
        <v>45663</v>
      </c>
      <c r="E45" s="1" t="str">
        <f>IFERROR(__xludf.DUMMYFUNCTION("""COMPUTED_VALUE"""),"2-0")</f>
        <v>2-0</v>
      </c>
      <c r="F45" s="2">
        <f>IFERROR(__xludf.DUMMYFUNCTION("""COMPUTED_VALUE"""),45722.0)</f>
        <v>45722</v>
      </c>
      <c r="G45" s="1" t="str">
        <f>IFERROR(__xludf.DUMMYFUNCTION("""COMPUTED_VALUE"""),"4-0")</f>
        <v>4-0</v>
      </c>
      <c r="H45" s="1" t="str">
        <f>IFERROR(__xludf.DUMMYFUNCTION("""COMPUTED_VALUE"""),"2-0")</f>
        <v>2-0</v>
      </c>
    </row>
    <row r="46">
      <c r="A46" s="1">
        <f>IFERROR(__xludf.DUMMYFUNCTION("""COMPUTED_VALUE"""),45.0)</f>
        <v>45</v>
      </c>
      <c r="B46" s="1" t="str">
        <f>IFERROR(__xludf.DUMMYFUNCTION("""COMPUTED_VALUE"""),"Butler")</f>
        <v>Butler</v>
      </c>
      <c r="C46" s="2">
        <f>IFERROR(__xludf.DUMMYFUNCTION("""COMPUTED_VALUE"""),45661.0)</f>
        <v>45661</v>
      </c>
      <c r="D46" s="2">
        <f>IFERROR(__xludf.DUMMYFUNCTION("""COMPUTED_VALUE"""),45662.0)</f>
        <v>45662</v>
      </c>
      <c r="E46" s="2">
        <f>IFERROR(__xludf.DUMMYFUNCTION("""COMPUTED_VALUE"""),45689.0)</f>
        <v>45689</v>
      </c>
      <c r="F46" s="2">
        <f>IFERROR(__xludf.DUMMYFUNCTION("""COMPUTED_VALUE"""),45722.0)</f>
        <v>45722</v>
      </c>
      <c r="G46" s="1" t="str">
        <f>IFERROR(__xludf.DUMMYFUNCTION("""COMPUTED_VALUE"""),"0-1")</f>
        <v>0-1</v>
      </c>
      <c r="H46" s="2">
        <f>IFERROR(__xludf.DUMMYFUNCTION("""COMPUTED_VALUE"""),45748.0)</f>
        <v>45748</v>
      </c>
    </row>
    <row r="47">
      <c r="A47" s="1">
        <f>IFERROR(__xludf.DUMMYFUNCTION("""COMPUTED_VALUE"""),46.0)</f>
        <v>46</v>
      </c>
      <c r="B47" s="1" t="str">
        <f>IFERROR(__xludf.DUMMYFUNCTION("""COMPUTED_VALUE"""),"Liberty 12")</f>
        <v>Liberty 12</v>
      </c>
      <c r="C47" s="1" t="str">
        <f>IFERROR(__xludf.DUMMYFUNCTION("""COMPUTED_VALUE"""),"0-0")</f>
        <v>0-0</v>
      </c>
      <c r="D47" s="1" t="str">
        <f>IFERROR(__xludf.DUMMYFUNCTION("""COMPUTED_VALUE"""),"0-0")</f>
        <v>0-0</v>
      </c>
      <c r="E47" s="1" t="str">
        <f>IFERROR(__xludf.DUMMYFUNCTION("""COMPUTED_VALUE"""),"2-0")</f>
        <v>2-0</v>
      </c>
      <c r="F47" s="1" t="str">
        <f>IFERROR(__xludf.DUMMYFUNCTION("""COMPUTED_VALUE"""),"2-0")</f>
        <v>2-0</v>
      </c>
      <c r="G47" s="2">
        <f>IFERROR(__xludf.DUMMYFUNCTION("""COMPUTED_VALUE"""),45749.0)</f>
        <v>45749</v>
      </c>
      <c r="H47" s="1" t="str">
        <f>IFERROR(__xludf.DUMMYFUNCTION("""COMPUTED_VALUE"""),"4-0")</f>
        <v>4-0</v>
      </c>
    </row>
    <row r="48">
      <c r="A48" s="1">
        <f>IFERROR(__xludf.DUMMYFUNCTION("""COMPUTED_VALUE"""),47.0)</f>
        <v>47</v>
      </c>
      <c r="B48" s="1" t="str">
        <f>IFERROR(__xludf.DUMMYFUNCTION("""COMPUTED_VALUE"""),"Drake 11")</f>
        <v>Drake 11</v>
      </c>
      <c r="C48" s="1" t="str">
        <f>IFERROR(__xludf.DUMMYFUNCTION("""COMPUTED_VALUE"""),"0-0")</f>
        <v>0-0</v>
      </c>
      <c r="D48" s="1" t="str">
        <f>IFERROR(__xludf.DUMMYFUNCTION("""COMPUTED_VALUE"""),"1-0")</f>
        <v>1-0</v>
      </c>
      <c r="E48" s="2">
        <f>IFERROR(__xludf.DUMMYFUNCTION("""COMPUTED_VALUE"""),45658.0)</f>
        <v>45658</v>
      </c>
      <c r="F48" s="2">
        <f>IFERROR(__xludf.DUMMYFUNCTION("""COMPUTED_VALUE"""),45689.0)</f>
        <v>45689</v>
      </c>
      <c r="G48" s="2">
        <f>IFERROR(__xludf.DUMMYFUNCTION("""COMPUTED_VALUE"""),45748.0)</f>
        <v>45748</v>
      </c>
      <c r="H48" s="1" t="str">
        <f>IFERROR(__xludf.DUMMYFUNCTION("""COMPUTED_VALUE"""),"4-0")</f>
        <v>4-0</v>
      </c>
    </row>
    <row r="49">
      <c r="A49" s="1">
        <f>IFERROR(__xludf.DUMMYFUNCTION("""COMPUTED_VALUE"""),48.0)</f>
        <v>48</v>
      </c>
      <c r="B49" s="1" t="str">
        <f>IFERROR(__xludf.DUMMYFUNCTION("""COMPUTED_VALUE"""),"North Dakota St. 14")</f>
        <v>North Dakota St. 14</v>
      </c>
      <c r="C49" s="1" t="str">
        <f>IFERROR(__xludf.DUMMYFUNCTION("""COMPUTED_VALUE"""),"0-0")</f>
        <v>0-0</v>
      </c>
      <c r="D49" s="1" t="str">
        <f>IFERROR(__xludf.DUMMYFUNCTION("""COMPUTED_VALUE"""),"1-0")</f>
        <v>1-0</v>
      </c>
      <c r="E49" s="2">
        <f>IFERROR(__xludf.DUMMYFUNCTION("""COMPUTED_VALUE"""),45658.0)</f>
        <v>45658</v>
      </c>
      <c r="F49" s="2">
        <f>IFERROR(__xludf.DUMMYFUNCTION("""COMPUTED_VALUE"""),45689.0)</f>
        <v>45689</v>
      </c>
      <c r="G49" s="2">
        <f>IFERROR(__xludf.DUMMYFUNCTION("""COMPUTED_VALUE"""),45691.0)</f>
        <v>45691</v>
      </c>
      <c r="H49" s="2">
        <f>IFERROR(__xludf.DUMMYFUNCTION("""COMPUTED_VALUE"""),45749.0)</f>
        <v>45749</v>
      </c>
    </row>
    <row r="50">
      <c r="A50" s="1">
        <f>IFERROR(__xludf.DUMMYFUNCTION("""COMPUTED_VALUE"""),49.0)</f>
        <v>49</v>
      </c>
      <c r="B50" s="1" t="str">
        <f>IFERROR(__xludf.DUMMYFUNCTION("""COMPUTED_VALUE"""),"Princeton")</f>
        <v>Princeton</v>
      </c>
      <c r="C50" s="1" t="str">
        <f>IFERROR(__xludf.DUMMYFUNCTION("""COMPUTED_VALUE"""),"0-0")</f>
        <v>0-0</v>
      </c>
      <c r="D50" s="1" t="str">
        <f>IFERROR(__xludf.DUMMYFUNCTION("""COMPUTED_VALUE"""),"0-0")</f>
        <v>0-0</v>
      </c>
      <c r="E50" s="2">
        <f>IFERROR(__xludf.DUMMYFUNCTION("""COMPUTED_VALUE"""),45689.0)</f>
        <v>45689</v>
      </c>
      <c r="F50" s="2">
        <f>IFERROR(__xludf.DUMMYFUNCTION("""COMPUTED_VALUE"""),45689.0)</f>
        <v>45689</v>
      </c>
      <c r="G50" s="2">
        <f>IFERROR(__xludf.DUMMYFUNCTION("""COMPUTED_VALUE"""),45750.0)</f>
        <v>45750</v>
      </c>
      <c r="H50" s="1" t="str">
        <f>IFERROR(__xludf.DUMMYFUNCTION("""COMPUTED_VALUE"""),"3-0")</f>
        <v>3-0</v>
      </c>
    </row>
    <row r="51">
      <c r="A51" s="1">
        <f>IFERROR(__xludf.DUMMYFUNCTION("""COMPUTED_VALUE"""),50.0)</f>
        <v>50</v>
      </c>
      <c r="B51" s="1" t="str">
        <f>IFERROR(__xludf.DUMMYFUNCTION("""COMPUTED_VALUE"""),"UC San Diego 12")</f>
        <v>UC San Diego 12</v>
      </c>
      <c r="C51" s="2">
        <f>IFERROR(__xludf.DUMMYFUNCTION("""COMPUTED_VALUE"""),45658.0)</f>
        <v>45658</v>
      </c>
      <c r="D51" s="2">
        <f>IFERROR(__xludf.DUMMYFUNCTION("""COMPUTED_VALUE"""),45658.0)</f>
        <v>45658</v>
      </c>
      <c r="E51" s="1" t="str">
        <f>IFERROR(__xludf.DUMMYFUNCTION("""COMPUTED_VALUE"""),"1-0")</f>
        <v>1-0</v>
      </c>
      <c r="F51" s="2">
        <f>IFERROR(__xludf.DUMMYFUNCTION("""COMPUTED_VALUE"""),45689.0)</f>
        <v>45689</v>
      </c>
      <c r="G51" s="2">
        <f>IFERROR(__xludf.DUMMYFUNCTION("""COMPUTED_VALUE"""),45689.0)</f>
        <v>45689</v>
      </c>
      <c r="H51" s="1" t="str">
        <f>IFERROR(__xludf.DUMMYFUNCTION("""COMPUTED_VALUE"""),"7-0")</f>
        <v>7-0</v>
      </c>
    </row>
    <row r="52">
      <c r="A52" s="1" t="str">
        <f>IFERROR(__xludf.DUMMYFUNCTION("""COMPUTED_VALUE"""),"Rk")</f>
        <v>Rk</v>
      </c>
      <c r="B52" s="1" t="str">
        <f>IFERROR(__xludf.DUMMYFUNCTION("""COMPUTED_VALUE"""),"Team")</f>
        <v>Team</v>
      </c>
      <c r="C52" s="1" t="str">
        <f>IFERROR(__xludf.DUMMYFUNCTION("""COMPUTED_VALUE"""),"Q1-A")</f>
        <v>Q1-A</v>
      </c>
      <c r="D52" s="1" t="str">
        <f>IFERROR(__xludf.DUMMYFUNCTION("""COMPUTED_VALUE"""),"Q1")</f>
        <v>Q1</v>
      </c>
      <c r="E52" s="1" t="str">
        <f>IFERROR(__xludf.DUMMYFUNCTION("""COMPUTED_VALUE"""),"Q2")</f>
        <v>Q2</v>
      </c>
      <c r="F52" s="1" t="str">
        <f>IFERROR(__xludf.DUMMYFUNCTION("""COMPUTED_VALUE"""),"Q1&amp;2")</f>
        <v>Q1&amp;2</v>
      </c>
      <c r="G52" s="1" t="str">
        <f>IFERROR(__xludf.DUMMYFUNCTION("""COMPUTED_VALUE"""),"Q3")</f>
        <v>Q3</v>
      </c>
      <c r="H52" s="1" t="str">
        <f>IFERROR(__xludf.DUMMYFUNCTION("""COMPUTED_VALUE"""),"Q4")</f>
        <v>Q4</v>
      </c>
    </row>
    <row r="53">
      <c r="A53" s="1">
        <f>IFERROR(__xludf.DUMMYFUNCTION("""COMPUTED_VALUE"""),51.0)</f>
        <v>51</v>
      </c>
      <c r="B53" s="1" t="str">
        <f>IFERROR(__xludf.DUMMYFUNCTION("""COMPUTED_VALUE"""),"Georgetown")</f>
        <v>Georgetown</v>
      </c>
      <c r="C53" s="1" t="str">
        <f>IFERROR(__xludf.DUMMYFUNCTION("""COMPUTED_VALUE"""),"0-1")</f>
        <v>0-1</v>
      </c>
      <c r="D53" s="1" t="str">
        <f>IFERROR(__xludf.DUMMYFUNCTION("""COMPUTED_VALUE"""),"0-1")</f>
        <v>0-1</v>
      </c>
      <c r="E53" s="1" t="str">
        <f>IFERROR(__xludf.DUMMYFUNCTION("""COMPUTED_VALUE"""),"2-0")</f>
        <v>2-0</v>
      </c>
      <c r="F53" s="2">
        <f>IFERROR(__xludf.DUMMYFUNCTION("""COMPUTED_VALUE"""),45689.0)</f>
        <v>45689</v>
      </c>
      <c r="G53" s="2">
        <f>IFERROR(__xludf.DUMMYFUNCTION("""COMPUTED_VALUE"""),45689.0)</f>
        <v>45689</v>
      </c>
      <c r="H53" s="1" t="str">
        <f>IFERROR(__xludf.DUMMYFUNCTION("""COMPUTED_VALUE"""),"8-0")</f>
        <v>8-0</v>
      </c>
    </row>
    <row r="54">
      <c r="A54" s="1">
        <f>IFERROR(__xludf.DUMMYFUNCTION("""COMPUTED_VALUE"""),52.0)</f>
        <v>52</v>
      </c>
      <c r="B54" s="1" t="str">
        <f>IFERROR(__xludf.DUMMYFUNCTION("""COMPUTED_VALUE"""),"UC Irvine")</f>
        <v>UC Irvine</v>
      </c>
      <c r="C54" s="1" t="str">
        <f>IFERROR(__xludf.DUMMYFUNCTION("""COMPUTED_VALUE"""),"0-0")</f>
        <v>0-0</v>
      </c>
      <c r="D54" s="1" t="str">
        <f>IFERROR(__xludf.DUMMYFUNCTION("""COMPUTED_VALUE"""),"0-1")</f>
        <v>0-1</v>
      </c>
      <c r="E54" s="1" t="str">
        <f>IFERROR(__xludf.DUMMYFUNCTION("""COMPUTED_VALUE"""),"2-0")</f>
        <v>2-0</v>
      </c>
      <c r="F54" s="2">
        <f>IFERROR(__xludf.DUMMYFUNCTION("""COMPUTED_VALUE"""),45689.0)</f>
        <v>45689</v>
      </c>
      <c r="G54" s="2">
        <f>IFERROR(__xludf.DUMMYFUNCTION("""COMPUTED_VALUE"""),45809.0)</f>
        <v>45809</v>
      </c>
      <c r="H54" s="1" t="str">
        <f>IFERROR(__xludf.DUMMYFUNCTION("""COMPUTED_VALUE"""),"4-0")</f>
        <v>4-0</v>
      </c>
    </row>
    <row r="55">
      <c r="A55" s="1">
        <f>IFERROR(__xludf.DUMMYFUNCTION("""COMPUTED_VALUE"""),53.0)</f>
        <v>53</v>
      </c>
      <c r="B55" s="1" t="str">
        <f>IFERROR(__xludf.DUMMYFUNCTION("""COMPUTED_VALUE"""),"Saint Joseph's")</f>
        <v>Saint Joseph's</v>
      </c>
      <c r="C55" s="1" t="str">
        <f>IFERROR(__xludf.DUMMYFUNCTION("""COMPUTED_VALUE"""),"1-0")</f>
        <v>1-0</v>
      </c>
      <c r="D55" s="2">
        <f>IFERROR(__xludf.DUMMYFUNCTION("""COMPUTED_VALUE"""),45658.0)</f>
        <v>45658</v>
      </c>
      <c r="E55" s="2">
        <f>IFERROR(__xludf.DUMMYFUNCTION("""COMPUTED_VALUE"""),45658.0)</f>
        <v>45658</v>
      </c>
      <c r="F55" s="2">
        <f>IFERROR(__xludf.DUMMYFUNCTION("""COMPUTED_VALUE"""),45690.0)</f>
        <v>45690</v>
      </c>
      <c r="G55" s="2">
        <f>IFERROR(__xludf.DUMMYFUNCTION("""COMPUTED_VALUE"""),45691.0)</f>
        <v>45691</v>
      </c>
      <c r="H55" s="1" t="str">
        <f>IFERROR(__xludf.DUMMYFUNCTION("""COMPUTED_VALUE"""),"6-0")</f>
        <v>6-0</v>
      </c>
    </row>
    <row r="56">
      <c r="A56" s="1">
        <f>IFERROR(__xludf.DUMMYFUNCTION("""COMPUTED_VALUE"""),54.0)</f>
        <v>54</v>
      </c>
      <c r="B56" s="1" t="str">
        <f>IFERROR(__xludf.DUMMYFUNCTION("""COMPUTED_VALUE"""),"Illinois St.")</f>
        <v>Illinois St.</v>
      </c>
      <c r="C56" s="1" t="str">
        <f>IFERROR(__xludf.DUMMYFUNCTION("""COMPUTED_VALUE"""),"0-0")</f>
        <v>0-0</v>
      </c>
      <c r="D56" s="1" t="str">
        <f>IFERROR(__xludf.DUMMYFUNCTION("""COMPUTED_VALUE"""),"0-0")</f>
        <v>0-0</v>
      </c>
      <c r="E56" s="2">
        <f>IFERROR(__xludf.DUMMYFUNCTION("""COMPUTED_VALUE"""),45690.0)</f>
        <v>45690</v>
      </c>
      <c r="F56" s="2">
        <f>IFERROR(__xludf.DUMMYFUNCTION("""COMPUTED_VALUE"""),45690.0)</f>
        <v>45690</v>
      </c>
      <c r="G56" s="2">
        <f>IFERROR(__xludf.DUMMYFUNCTION("""COMPUTED_VALUE"""),45718.0)</f>
        <v>45718</v>
      </c>
      <c r="H56" s="2">
        <f>IFERROR(__xludf.DUMMYFUNCTION("""COMPUTED_VALUE"""),45748.0)</f>
        <v>45748</v>
      </c>
    </row>
    <row r="57">
      <c r="A57" s="1">
        <f>IFERROR(__xludf.DUMMYFUNCTION("""COMPUTED_VALUE"""),55.0)</f>
        <v>55</v>
      </c>
      <c r="B57" s="1" t="str">
        <f>IFERROR(__xludf.DUMMYFUNCTION("""COMPUTED_VALUE"""),"Stanford")</f>
        <v>Stanford</v>
      </c>
      <c r="C57" s="1" t="str">
        <f>IFERROR(__xludf.DUMMYFUNCTION("""COMPUTED_VALUE"""),"0-3")</f>
        <v>0-3</v>
      </c>
      <c r="D57" s="2">
        <f>IFERROR(__xludf.DUMMYFUNCTION("""COMPUTED_VALUE"""),45660.0)</f>
        <v>45660</v>
      </c>
      <c r="E57" s="1" t="str">
        <f>IFERROR(__xludf.DUMMYFUNCTION("""COMPUTED_VALUE"""),"1-0")</f>
        <v>1-0</v>
      </c>
      <c r="F57" s="2">
        <f>IFERROR(__xludf.DUMMYFUNCTION("""COMPUTED_VALUE"""),45691.0)</f>
        <v>45691</v>
      </c>
      <c r="G57" s="2">
        <f>IFERROR(__xludf.DUMMYFUNCTION("""COMPUTED_VALUE"""),45689.0)</f>
        <v>45689</v>
      </c>
      <c r="H57" s="2">
        <f>IFERROR(__xludf.DUMMYFUNCTION("""COMPUTED_VALUE"""),45778.0)</f>
        <v>45778</v>
      </c>
    </row>
    <row r="58">
      <c r="A58" s="1">
        <f>IFERROR(__xludf.DUMMYFUNCTION("""COMPUTED_VALUE"""),56.0)</f>
        <v>56</v>
      </c>
      <c r="B58" s="1" t="str">
        <f>IFERROR(__xludf.DUMMYFUNCTION("""COMPUTED_VALUE"""),"Central Michigan")</f>
        <v>Central Michigan</v>
      </c>
      <c r="C58" s="1" t="str">
        <f>IFERROR(__xludf.DUMMYFUNCTION("""COMPUTED_VALUE"""),"0-3")</f>
        <v>0-3</v>
      </c>
      <c r="D58" s="1" t="str">
        <f>IFERROR(__xludf.DUMMYFUNCTION("""COMPUTED_VALUE"""),"0-3")</f>
        <v>0-3</v>
      </c>
      <c r="E58" s="1" t="str">
        <f>IFERROR(__xludf.DUMMYFUNCTION("""COMPUTED_VALUE"""),"2-0")</f>
        <v>2-0</v>
      </c>
      <c r="F58" s="2">
        <f>IFERROR(__xludf.DUMMYFUNCTION("""COMPUTED_VALUE"""),45691.0)</f>
        <v>45691</v>
      </c>
      <c r="G58" s="1" t="str">
        <f>IFERROR(__xludf.DUMMYFUNCTION("""COMPUTED_VALUE"""),"0-2")</f>
        <v>0-2</v>
      </c>
      <c r="H58" s="1" t="str">
        <f>IFERROR(__xludf.DUMMYFUNCTION("""COMPUTED_VALUE"""),"0-2")</f>
        <v>0-2</v>
      </c>
    </row>
    <row r="59">
      <c r="A59" s="1">
        <f>IFERROR(__xludf.DUMMYFUNCTION("""COMPUTED_VALUE"""),57.0)</f>
        <v>57</v>
      </c>
      <c r="B59" s="1" t="str">
        <f>IFERROR(__xludf.DUMMYFUNCTION("""COMPUTED_VALUE"""),"Arkansas 10")</f>
        <v>Arkansas 10</v>
      </c>
      <c r="C59" s="2">
        <f>IFERROR(__xludf.DUMMYFUNCTION("""COMPUTED_VALUE"""),45660.0)</f>
        <v>45660</v>
      </c>
      <c r="D59" s="2">
        <f>IFERROR(__xludf.DUMMYFUNCTION("""COMPUTED_VALUE"""),45660.0)</f>
        <v>45660</v>
      </c>
      <c r="E59" s="1" t="str">
        <f>IFERROR(__xludf.DUMMYFUNCTION("""COMPUTED_VALUE"""),"1-0")</f>
        <v>1-0</v>
      </c>
      <c r="F59" s="2">
        <f>IFERROR(__xludf.DUMMYFUNCTION("""COMPUTED_VALUE"""),45691.0)</f>
        <v>45691</v>
      </c>
      <c r="G59" s="1" t="str">
        <f>IFERROR(__xludf.DUMMYFUNCTION("""COMPUTED_VALUE"""),"2-0")</f>
        <v>2-0</v>
      </c>
      <c r="H59" s="1" t="str">
        <f>IFERROR(__xludf.DUMMYFUNCTION("""COMPUTED_VALUE"""),"7-0")</f>
        <v>7-0</v>
      </c>
    </row>
    <row r="60">
      <c r="A60" s="1">
        <f>IFERROR(__xludf.DUMMYFUNCTION("""COMPUTED_VALUE"""),58.0)</f>
        <v>58</v>
      </c>
      <c r="B60" s="1" t="str">
        <f>IFERROR(__xludf.DUMMYFUNCTION("""COMPUTED_VALUE"""),"Cincinnati 9")</f>
        <v>Cincinnati 9</v>
      </c>
      <c r="C60" s="1" t="str">
        <f>IFERROR(__xludf.DUMMYFUNCTION("""COMPUTED_VALUE"""),"0-0")</f>
        <v>0-0</v>
      </c>
      <c r="D60" s="1" t="str">
        <f>IFERROR(__xludf.DUMMYFUNCTION("""COMPUTED_VALUE"""),"0-2")</f>
        <v>0-2</v>
      </c>
      <c r="E60" s="2">
        <f>IFERROR(__xludf.DUMMYFUNCTION("""COMPUTED_VALUE"""),45689.0)</f>
        <v>45689</v>
      </c>
      <c r="F60" s="2">
        <f>IFERROR(__xludf.DUMMYFUNCTION("""COMPUTED_VALUE"""),45691.0)</f>
        <v>45691</v>
      </c>
      <c r="G60" s="1" t="str">
        <f>IFERROR(__xludf.DUMMYFUNCTION("""COMPUTED_VALUE"""),"2-0")</f>
        <v>2-0</v>
      </c>
      <c r="H60" s="1" t="str">
        <f>IFERROR(__xludf.DUMMYFUNCTION("""COMPUTED_VALUE"""),"6-0")</f>
        <v>6-0</v>
      </c>
    </row>
    <row r="61">
      <c r="A61" s="1">
        <f>IFERROR(__xludf.DUMMYFUNCTION("""COMPUTED_VALUE"""),59.0)</f>
        <v>59</v>
      </c>
      <c r="B61" s="1" t="str">
        <f>IFERROR(__xludf.DUMMYFUNCTION("""COMPUTED_VALUE"""),"St. John's 9")</f>
        <v>St. John's 9</v>
      </c>
      <c r="C61" s="1" t="str">
        <f>IFERROR(__xludf.DUMMYFUNCTION("""COMPUTED_VALUE"""),"0-1")</f>
        <v>0-1</v>
      </c>
      <c r="D61" s="1" t="str">
        <f>IFERROR(__xludf.DUMMYFUNCTION("""COMPUTED_VALUE"""),"0-3")</f>
        <v>0-3</v>
      </c>
      <c r="E61" s="1" t="str">
        <f>IFERROR(__xludf.DUMMYFUNCTION("""COMPUTED_VALUE"""),"2-0")</f>
        <v>2-0</v>
      </c>
      <c r="F61" s="2">
        <f>IFERROR(__xludf.DUMMYFUNCTION("""COMPUTED_VALUE"""),45691.0)</f>
        <v>45691</v>
      </c>
      <c r="G61" s="1" t="str">
        <f>IFERROR(__xludf.DUMMYFUNCTION("""COMPUTED_VALUE"""),"4-0")</f>
        <v>4-0</v>
      </c>
      <c r="H61" s="1" t="str">
        <f>IFERROR(__xludf.DUMMYFUNCTION("""COMPUTED_VALUE"""),"6-0")</f>
        <v>6-0</v>
      </c>
    </row>
    <row r="62">
      <c r="A62" s="1">
        <f>IFERROR(__xludf.DUMMYFUNCTION("""COMPUTED_VALUE"""),60.0)</f>
        <v>60</v>
      </c>
      <c r="B62" s="1" t="str">
        <f>IFERROR(__xludf.DUMMYFUNCTION("""COMPUTED_VALUE"""),"North Texas")</f>
        <v>North Texas</v>
      </c>
      <c r="C62" s="1" t="str">
        <f>IFERROR(__xludf.DUMMYFUNCTION("""COMPUTED_VALUE"""),"0-1")</f>
        <v>0-1</v>
      </c>
      <c r="D62" s="1" t="str">
        <f>IFERROR(__xludf.DUMMYFUNCTION("""COMPUTED_VALUE"""),"0-3")</f>
        <v>0-3</v>
      </c>
      <c r="E62" s="1" t="str">
        <f>IFERROR(__xludf.DUMMYFUNCTION("""COMPUTED_VALUE"""),"2-0")</f>
        <v>2-0</v>
      </c>
      <c r="F62" s="2">
        <f>IFERROR(__xludf.DUMMYFUNCTION("""COMPUTED_VALUE"""),45691.0)</f>
        <v>45691</v>
      </c>
      <c r="G62" s="2">
        <f>IFERROR(__xludf.DUMMYFUNCTION("""COMPUTED_VALUE"""),45658.0)</f>
        <v>45658</v>
      </c>
      <c r="H62" s="1" t="str">
        <f>IFERROR(__xludf.DUMMYFUNCTION("""COMPUTED_VALUE"""),"5-0")</f>
        <v>5-0</v>
      </c>
    </row>
    <row r="63">
      <c r="A63" s="1">
        <f>IFERROR(__xludf.DUMMYFUNCTION("""COMPUTED_VALUE"""),61.0)</f>
        <v>61</v>
      </c>
      <c r="B63" s="1" t="str">
        <f>IFERROR(__xludf.DUMMYFUNCTION("""COMPUTED_VALUE"""),"UCF F4O")</f>
        <v>UCF F4O</v>
      </c>
      <c r="C63" s="2">
        <f>IFERROR(__xludf.DUMMYFUNCTION("""COMPUTED_VALUE"""),45659.0)</f>
        <v>45659</v>
      </c>
      <c r="D63" s="2">
        <f>IFERROR(__xludf.DUMMYFUNCTION("""COMPUTED_VALUE"""),45690.0)</f>
        <v>45690</v>
      </c>
      <c r="E63" s="1" t="str">
        <f>IFERROR(__xludf.DUMMYFUNCTION("""COMPUTED_VALUE"""),"0-1")</f>
        <v>0-1</v>
      </c>
      <c r="F63" s="2">
        <f>IFERROR(__xludf.DUMMYFUNCTION("""COMPUTED_VALUE"""),45691.0)</f>
        <v>45691</v>
      </c>
      <c r="G63" s="1" t="str">
        <f>IFERROR(__xludf.DUMMYFUNCTION("""COMPUTED_VALUE"""),"3-0")</f>
        <v>3-0</v>
      </c>
      <c r="H63" s="1" t="str">
        <f>IFERROR(__xludf.DUMMYFUNCTION("""COMPUTED_VALUE"""),"5-0")</f>
        <v>5-0</v>
      </c>
    </row>
    <row r="64">
      <c r="A64" s="1">
        <f>IFERROR(__xludf.DUMMYFUNCTION("""COMPUTED_VALUE"""),62.0)</f>
        <v>62</v>
      </c>
      <c r="B64" s="1" t="str">
        <f>IFERROR(__xludf.DUMMYFUNCTION("""COMPUTED_VALUE"""),"Murray St.")</f>
        <v>Murray St.</v>
      </c>
      <c r="C64" s="1" t="str">
        <f>IFERROR(__xludf.DUMMYFUNCTION("""COMPUTED_VALUE"""),"0-1")</f>
        <v>0-1</v>
      </c>
      <c r="D64" s="1" t="str">
        <f>IFERROR(__xludf.DUMMYFUNCTION("""COMPUTED_VALUE"""),"0-2")</f>
        <v>0-2</v>
      </c>
      <c r="E64" s="2">
        <f>IFERROR(__xludf.DUMMYFUNCTION("""COMPUTED_VALUE"""),45689.0)</f>
        <v>45689</v>
      </c>
      <c r="F64" s="2">
        <f>IFERROR(__xludf.DUMMYFUNCTION("""COMPUTED_VALUE"""),45691.0)</f>
        <v>45691</v>
      </c>
      <c r="G64" s="2">
        <f>IFERROR(__xludf.DUMMYFUNCTION("""COMPUTED_VALUE"""),45691.0)</f>
        <v>45691</v>
      </c>
      <c r="H64" s="2">
        <f>IFERROR(__xludf.DUMMYFUNCTION("""COMPUTED_VALUE"""),45717.0)</f>
        <v>45717</v>
      </c>
    </row>
    <row r="65">
      <c r="A65" s="1">
        <f>IFERROR(__xludf.DUMMYFUNCTION("""COMPUTED_VALUE"""),63.0)</f>
        <v>63</v>
      </c>
      <c r="B65" s="1" t="str">
        <f>IFERROR(__xludf.DUMMYFUNCTION("""COMPUTED_VALUE"""),"Villanova")</f>
        <v>Villanova</v>
      </c>
      <c r="C65" s="1" t="str">
        <f>IFERROR(__xludf.DUMMYFUNCTION("""COMPUTED_VALUE"""),"0-1")</f>
        <v>0-1</v>
      </c>
      <c r="D65" s="2">
        <f>IFERROR(__xludf.DUMMYFUNCTION("""COMPUTED_VALUE"""),45659.0)</f>
        <v>45659</v>
      </c>
      <c r="E65" s="2">
        <f>IFERROR(__xludf.DUMMYFUNCTION("""COMPUTED_VALUE"""),45658.0)</f>
        <v>45658</v>
      </c>
      <c r="F65" s="2">
        <f>IFERROR(__xludf.DUMMYFUNCTION("""COMPUTED_VALUE"""),45691.0)</f>
        <v>45691</v>
      </c>
      <c r="G65" s="2">
        <f>IFERROR(__xludf.DUMMYFUNCTION("""COMPUTED_VALUE"""),45690.0)</f>
        <v>45690</v>
      </c>
      <c r="H65" s="1" t="str">
        <f>IFERROR(__xludf.DUMMYFUNCTION("""COMPUTED_VALUE"""),"6-0")</f>
        <v>6-0</v>
      </c>
    </row>
    <row r="66">
      <c r="A66" s="1">
        <f>IFERROR(__xludf.DUMMYFUNCTION("""COMPUTED_VALUE"""),64.0)</f>
        <v>64</v>
      </c>
      <c r="B66" s="1" t="str">
        <f>IFERROR(__xludf.DUMMYFUNCTION("""COMPUTED_VALUE"""),"Boise St.")</f>
        <v>Boise St.</v>
      </c>
      <c r="C66" s="1" t="str">
        <f>IFERROR(__xludf.DUMMYFUNCTION("""COMPUTED_VALUE"""),"0-0")</f>
        <v>0-0</v>
      </c>
      <c r="D66" s="2">
        <f>IFERROR(__xludf.DUMMYFUNCTION("""COMPUTED_VALUE"""),45658.0)</f>
        <v>45658</v>
      </c>
      <c r="E66" s="2">
        <f>IFERROR(__xludf.DUMMYFUNCTION("""COMPUTED_VALUE"""),45659.0)</f>
        <v>45659</v>
      </c>
      <c r="F66" s="2">
        <f>IFERROR(__xludf.DUMMYFUNCTION("""COMPUTED_VALUE"""),45691.0)</f>
        <v>45691</v>
      </c>
      <c r="G66" s="1" t="str">
        <f>IFERROR(__xludf.DUMMYFUNCTION("""COMPUTED_VALUE"""),"3-0")</f>
        <v>3-0</v>
      </c>
      <c r="H66" s="2">
        <f>IFERROR(__xludf.DUMMYFUNCTION("""COMPUTED_VALUE"""),45778.0)</f>
        <v>45778</v>
      </c>
    </row>
    <row r="67">
      <c r="A67" s="1">
        <f>IFERROR(__xludf.DUMMYFUNCTION("""COMPUTED_VALUE"""),65.0)</f>
        <v>65</v>
      </c>
      <c r="B67" s="1" t="str">
        <f>IFERROR(__xludf.DUMMYFUNCTION("""COMPUTED_VALUE"""),"Indiana")</f>
        <v>Indiana</v>
      </c>
      <c r="C67" s="1" t="str">
        <f>IFERROR(__xludf.DUMMYFUNCTION("""COMPUTED_VALUE"""),"0-2")</f>
        <v>0-2</v>
      </c>
      <c r="D67" s="2">
        <f>IFERROR(__xludf.DUMMYFUNCTION("""COMPUTED_VALUE"""),45660.0)</f>
        <v>45660</v>
      </c>
      <c r="E67" s="1" t="str">
        <f>IFERROR(__xludf.DUMMYFUNCTION("""COMPUTED_VALUE"""),"1-0")</f>
        <v>1-0</v>
      </c>
      <c r="F67" s="2">
        <f>IFERROR(__xludf.DUMMYFUNCTION("""COMPUTED_VALUE"""),45691.0)</f>
        <v>45691</v>
      </c>
      <c r="G67" s="1" t="str">
        <f>IFERROR(__xludf.DUMMYFUNCTION("""COMPUTED_VALUE"""),"5-0")</f>
        <v>5-0</v>
      </c>
      <c r="H67" s="1" t="str">
        <f>IFERROR(__xludf.DUMMYFUNCTION("""COMPUTED_VALUE"""),"5-0")</f>
        <v>5-0</v>
      </c>
    </row>
    <row r="68">
      <c r="A68" s="1">
        <f>IFERROR(__xludf.DUMMYFUNCTION("""COMPUTED_VALUE"""),66.0)</f>
        <v>66</v>
      </c>
      <c r="B68" s="1" t="str">
        <f>IFERROR(__xludf.DUMMYFUNCTION("""COMPUTED_VALUE"""),"SMU 11")</f>
        <v>SMU 11</v>
      </c>
      <c r="C68" s="1" t="str">
        <f>IFERROR(__xludf.DUMMYFUNCTION("""COMPUTED_VALUE"""),"0-2")</f>
        <v>0-2</v>
      </c>
      <c r="D68" s="1" t="str">
        <f>IFERROR(__xludf.DUMMYFUNCTION("""COMPUTED_VALUE"""),"0-2")</f>
        <v>0-2</v>
      </c>
      <c r="E68" s="2">
        <f>IFERROR(__xludf.DUMMYFUNCTION("""COMPUTED_VALUE"""),45689.0)</f>
        <v>45689</v>
      </c>
      <c r="F68" s="2">
        <f>IFERROR(__xludf.DUMMYFUNCTION("""COMPUTED_VALUE"""),45691.0)</f>
        <v>45691</v>
      </c>
      <c r="G68" s="1" t="str">
        <f>IFERROR(__xludf.DUMMYFUNCTION("""COMPUTED_VALUE"""),"4-0")</f>
        <v>4-0</v>
      </c>
      <c r="H68" s="1" t="str">
        <f>IFERROR(__xludf.DUMMYFUNCTION("""COMPUTED_VALUE"""),"5-0")</f>
        <v>5-0</v>
      </c>
    </row>
    <row r="69">
      <c r="A69" s="1">
        <f>IFERROR(__xludf.DUMMYFUNCTION("""COMPUTED_VALUE"""),67.0)</f>
        <v>67</v>
      </c>
      <c r="B69" s="1" t="str">
        <f>IFERROR(__xludf.DUMMYFUNCTION("""COMPUTED_VALUE"""),"Penn St. 11")</f>
        <v>Penn St. 11</v>
      </c>
      <c r="C69" s="1" t="str">
        <f>IFERROR(__xludf.DUMMYFUNCTION("""COMPUTED_VALUE"""),"0-0")</f>
        <v>0-0</v>
      </c>
      <c r="D69" s="2">
        <f>IFERROR(__xludf.DUMMYFUNCTION("""COMPUTED_VALUE"""),45658.0)</f>
        <v>45658</v>
      </c>
      <c r="E69" s="2">
        <f>IFERROR(__xludf.DUMMYFUNCTION("""COMPUTED_VALUE"""),45659.0)</f>
        <v>45659</v>
      </c>
      <c r="F69" s="2">
        <f>IFERROR(__xludf.DUMMYFUNCTION("""COMPUTED_VALUE"""),45691.0)</f>
        <v>45691</v>
      </c>
      <c r="G69" s="1" t="str">
        <f>IFERROR(__xludf.DUMMYFUNCTION("""COMPUTED_VALUE"""),"3-0")</f>
        <v>3-0</v>
      </c>
      <c r="H69" s="1" t="str">
        <f>IFERROR(__xludf.DUMMYFUNCTION("""COMPUTED_VALUE"""),"7-0")</f>
        <v>7-0</v>
      </c>
    </row>
    <row r="70">
      <c r="A70" s="1">
        <f>IFERROR(__xludf.DUMMYFUNCTION("""COMPUTED_VALUE"""),68.0)</f>
        <v>68</v>
      </c>
      <c r="B70" s="1" t="str">
        <f>IFERROR(__xludf.DUMMYFUNCTION("""COMPUTED_VALUE"""),"Western Kentucky")</f>
        <v>Western Kentucky</v>
      </c>
      <c r="C70" s="1" t="str">
        <f>IFERROR(__xludf.DUMMYFUNCTION("""COMPUTED_VALUE"""),"0-2")</f>
        <v>0-2</v>
      </c>
      <c r="D70" s="2">
        <f>IFERROR(__xludf.DUMMYFUNCTION("""COMPUTED_VALUE"""),45659.0)</f>
        <v>45659</v>
      </c>
      <c r="E70" s="2">
        <f>IFERROR(__xludf.DUMMYFUNCTION("""COMPUTED_VALUE"""),45658.0)</f>
        <v>45658</v>
      </c>
      <c r="F70" s="2">
        <f>IFERROR(__xludf.DUMMYFUNCTION("""COMPUTED_VALUE"""),45691.0)</f>
        <v>45691</v>
      </c>
      <c r="G70" s="2">
        <f>IFERROR(__xludf.DUMMYFUNCTION("""COMPUTED_VALUE"""),45690.0)</f>
        <v>45690</v>
      </c>
      <c r="H70" s="1" t="str">
        <f>IFERROR(__xludf.DUMMYFUNCTION("""COMPUTED_VALUE"""),"4-0")</f>
        <v>4-0</v>
      </c>
    </row>
    <row r="71">
      <c r="A71" s="1">
        <f>IFERROR(__xludf.DUMMYFUNCTION("""COMPUTED_VALUE"""),69.0)</f>
        <v>69</v>
      </c>
      <c r="B71" s="1" t="str">
        <f>IFERROR(__xludf.DUMMYFUNCTION("""COMPUTED_VALUE"""),"San Francisco")</f>
        <v>San Francisco</v>
      </c>
      <c r="C71" s="1" t="str">
        <f>IFERROR(__xludf.DUMMYFUNCTION("""COMPUTED_VALUE"""),"0-0")</f>
        <v>0-0</v>
      </c>
      <c r="D71" s="1" t="str">
        <f>IFERROR(__xludf.DUMMYFUNCTION("""COMPUTED_VALUE"""),"0-4")</f>
        <v>0-4</v>
      </c>
      <c r="E71" s="1" t="str">
        <f>IFERROR(__xludf.DUMMYFUNCTION("""COMPUTED_VALUE"""),"2-0")</f>
        <v>2-0</v>
      </c>
      <c r="F71" s="2">
        <f>IFERROR(__xludf.DUMMYFUNCTION("""COMPUTED_VALUE"""),45692.0)</f>
        <v>45692</v>
      </c>
      <c r="G71" s="1" t="str">
        <f>IFERROR(__xludf.DUMMYFUNCTION("""COMPUTED_VALUE"""),"4-0")</f>
        <v>4-0</v>
      </c>
      <c r="H71" s="1" t="str">
        <f>IFERROR(__xludf.DUMMYFUNCTION("""COMPUTED_VALUE"""),"6-0")</f>
        <v>6-0</v>
      </c>
    </row>
    <row r="72">
      <c r="A72" s="1">
        <f>IFERROR(__xludf.DUMMYFUNCTION("""COMPUTED_VALUE"""),70.0)</f>
        <v>70</v>
      </c>
      <c r="B72" s="1" t="str">
        <f>IFERROR(__xludf.DUMMYFUNCTION("""COMPUTED_VALUE"""),"Baylor 6")</f>
        <v>Baylor 6</v>
      </c>
      <c r="C72" s="1" t="str">
        <f>IFERROR(__xludf.DUMMYFUNCTION("""COMPUTED_VALUE"""),"0-4")</f>
        <v>0-4</v>
      </c>
      <c r="D72" s="2">
        <f>IFERROR(__xludf.DUMMYFUNCTION("""COMPUTED_VALUE"""),45692.0)</f>
        <v>45692</v>
      </c>
      <c r="E72" s="1" t="str">
        <f>IFERROR(__xludf.DUMMYFUNCTION("""COMPUTED_VALUE"""),"0-0")</f>
        <v>0-0</v>
      </c>
      <c r="F72" s="2">
        <f>IFERROR(__xludf.DUMMYFUNCTION("""COMPUTED_VALUE"""),45692.0)</f>
        <v>45692</v>
      </c>
      <c r="G72" s="1" t="str">
        <f>IFERROR(__xludf.DUMMYFUNCTION("""COMPUTED_VALUE"""),"2-0")</f>
        <v>2-0</v>
      </c>
      <c r="H72" s="1" t="str">
        <f>IFERROR(__xludf.DUMMYFUNCTION("""COMPUTED_VALUE"""),"4-0")</f>
        <v>4-0</v>
      </c>
    </row>
    <row r="73">
      <c r="A73" s="1">
        <f>IFERROR(__xludf.DUMMYFUNCTION("""COMPUTED_VALUE"""),71.0)</f>
        <v>71</v>
      </c>
      <c r="B73" s="1" t="str">
        <f>IFERROR(__xludf.DUMMYFUNCTION("""COMPUTED_VALUE"""),"Maryland 7")</f>
        <v>Maryland 7</v>
      </c>
      <c r="C73" s="1" t="str">
        <f>IFERROR(__xludf.DUMMYFUNCTION("""COMPUTED_VALUE"""),"0-3")</f>
        <v>0-3</v>
      </c>
      <c r="D73" s="2">
        <f>IFERROR(__xludf.DUMMYFUNCTION("""COMPUTED_VALUE"""),45660.0)</f>
        <v>45660</v>
      </c>
      <c r="E73" s="2">
        <f>IFERROR(__xludf.DUMMYFUNCTION("""COMPUTED_VALUE"""),45658.0)</f>
        <v>45658</v>
      </c>
      <c r="F73" s="2">
        <f>IFERROR(__xludf.DUMMYFUNCTION("""COMPUTED_VALUE"""),45692.0)</f>
        <v>45692</v>
      </c>
      <c r="G73" s="1" t="str">
        <f>IFERROR(__xludf.DUMMYFUNCTION("""COMPUTED_VALUE"""),"1-0")</f>
        <v>1-0</v>
      </c>
      <c r="H73" s="1" t="str">
        <f>IFERROR(__xludf.DUMMYFUNCTION("""COMPUTED_VALUE"""),"8-0")</f>
        <v>8-0</v>
      </c>
    </row>
    <row r="74">
      <c r="A74" s="1">
        <f>IFERROR(__xludf.DUMMYFUNCTION("""COMPUTED_VALUE"""),72.0)</f>
        <v>72</v>
      </c>
      <c r="B74" s="1" t="str">
        <f>IFERROR(__xludf.DUMMYFUNCTION("""COMPUTED_VALUE"""),"Nevada")</f>
        <v>Nevada</v>
      </c>
      <c r="C74" s="1" t="str">
        <f>IFERROR(__xludf.DUMMYFUNCTION("""COMPUTED_VALUE"""),"0-0")</f>
        <v>0-0</v>
      </c>
      <c r="D74" s="1" t="str">
        <f>IFERROR(__xludf.DUMMYFUNCTION("""COMPUTED_VALUE"""),"0-3")</f>
        <v>0-3</v>
      </c>
      <c r="E74" s="2">
        <f>IFERROR(__xludf.DUMMYFUNCTION("""COMPUTED_VALUE"""),45689.0)</f>
        <v>45689</v>
      </c>
      <c r="F74" s="2">
        <f>IFERROR(__xludf.DUMMYFUNCTION("""COMPUTED_VALUE"""),45692.0)</f>
        <v>45692</v>
      </c>
      <c r="G74" s="2">
        <f>IFERROR(__xludf.DUMMYFUNCTION("""COMPUTED_VALUE"""),45719.0)</f>
        <v>45719</v>
      </c>
      <c r="H74" s="1" t="str">
        <f>IFERROR(__xludf.DUMMYFUNCTION("""COMPUTED_VALUE"""),"3-0")</f>
        <v>3-0</v>
      </c>
    </row>
    <row r="75">
      <c r="A75" s="1">
        <f>IFERROR(__xludf.DUMMYFUNCTION("""COMPUTED_VALUE"""),73.0)</f>
        <v>73</v>
      </c>
      <c r="B75" s="1" t="str">
        <f>IFERROR(__xludf.DUMMYFUNCTION("""COMPUTED_VALUE"""),"Colorado St.")</f>
        <v>Colorado St.</v>
      </c>
      <c r="C75" s="1" t="str">
        <f>IFERROR(__xludf.DUMMYFUNCTION("""COMPUTED_VALUE"""),"0-0")</f>
        <v>0-0</v>
      </c>
      <c r="D75" s="2">
        <f>IFERROR(__xludf.DUMMYFUNCTION("""COMPUTED_VALUE"""),45658.0)</f>
        <v>45658</v>
      </c>
      <c r="E75" s="2">
        <f>IFERROR(__xludf.DUMMYFUNCTION("""COMPUTED_VALUE"""),45661.0)</f>
        <v>45661</v>
      </c>
      <c r="F75" s="2">
        <f>IFERROR(__xludf.DUMMYFUNCTION("""COMPUTED_VALUE"""),45693.0)</f>
        <v>45693</v>
      </c>
      <c r="G75" s="2">
        <f>IFERROR(__xludf.DUMMYFUNCTION("""COMPUTED_VALUE"""),45689.0)</f>
        <v>45689</v>
      </c>
      <c r="H75" s="1" t="str">
        <f>IFERROR(__xludf.DUMMYFUNCTION("""COMPUTED_VALUE"""),"4-0")</f>
        <v>4-0</v>
      </c>
    </row>
    <row r="76">
      <c r="A76" s="1">
        <f>IFERROR(__xludf.DUMMYFUNCTION("""COMPUTED_VALUE"""),74.0)</f>
        <v>74</v>
      </c>
      <c r="B76" s="1" t="str">
        <f>IFERROR(__xludf.DUMMYFUNCTION("""COMPUTED_VALUE"""),"Seattle")</f>
        <v>Seattle</v>
      </c>
      <c r="C76" s="1" t="str">
        <f>IFERROR(__xludf.DUMMYFUNCTION("""COMPUTED_VALUE"""),"0-1")</f>
        <v>0-1</v>
      </c>
      <c r="D76" s="2">
        <f>IFERROR(__xludf.DUMMYFUNCTION("""COMPUTED_VALUE"""),45658.0)</f>
        <v>45658</v>
      </c>
      <c r="E76" s="2">
        <f>IFERROR(__xludf.DUMMYFUNCTION("""COMPUTED_VALUE"""),45661.0)</f>
        <v>45661</v>
      </c>
      <c r="F76" s="2">
        <f>IFERROR(__xludf.DUMMYFUNCTION("""COMPUTED_VALUE"""),45693.0)</f>
        <v>45693</v>
      </c>
      <c r="G76" s="1" t="str">
        <f>IFERROR(__xludf.DUMMYFUNCTION("""COMPUTED_VALUE"""),"0-3")</f>
        <v>0-3</v>
      </c>
      <c r="H76" s="2">
        <f>IFERROR(__xludf.DUMMYFUNCTION("""COMPUTED_VALUE"""),45659.0)</f>
        <v>45659</v>
      </c>
    </row>
    <row r="77">
      <c r="A77" s="1">
        <f>IFERROR(__xludf.DUMMYFUNCTION("""COMPUTED_VALUE"""),75.0)</f>
        <v>75</v>
      </c>
      <c r="B77" s="1" t="str">
        <f>IFERROR(__xludf.DUMMYFUNCTION("""COMPUTED_VALUE"""),"UC Riverside")</f>
        <v>UC Riverside</v>
      </c>
      <c r="C77" s="1" t="str">
        <f>IFERROR(__xludf.DUMMYFUNCTION("""COMPUTED_VALUE"""),"0-1")</f>
        <v>0-1</v>
      </c>
      <c r="D77" s="1" t="str">
        <f>IFERROR(__xludf.DUMMYFUNCTION("""COMPUTED_VALUE"""),"0-4")</f>
        <v>0-4</v>
      </c>
      <c r="E77" s="2">
        <f>IFERROR(__xludf.DUMMYFUNCTION("""COMPUTED_VALUE"""),45689.0)</f>
        <v>45689</v>
      </c>
      <c r="F77" s="2">
        <f>IFERROR(__xludf.DUMMYFUNCTION("""COMPUTED_VALUE"""),45693.0)</f>
        <v>45693</v>
      </c>
      <c r="G77" s="1" t="str">
        <f>IFERROR(__xludf.DUMMYFUNCTION("""COMPUTED_VALUE"""),"2-0")</f>
        <v>2-0</v>
      </c>
      <c r="H77" s="2">
        <f>IFERROR(__xludf.DUMMYFUNCTION("""COMPUTED_VALUE"""),45748.0)</f>
        <v>45748</v>
      </c>
    </row>
    <row r="78">
      <c r="A78" s="1">
        <f>IFERROR(__xludf.DUMMYFUNCTION("""COMPUTED_VALUE"""),76.0)</f>
        <v>76</v>
      </c>
      <c r="B78" s="1" t="str">
        <f>IFERROR(__xludf.DUMMYFUNCTION("""COMPUTED_VALUE"""),"Rutgers")</f>
        <v>Rutgers</v>
      </c>
      <c r="C78" s="1" t="str">
        <f>IFERROR(__xludf.DUMMYFUNCTION("""COMPUTED_VALUE"""),"0-3")</f>
        <v>0-3</v>
      </c>
      <c r="D78" s="1" t="str">
        <f>IFERROR(__xludf.DUMMYFUNCTION("""COMPUTED_VALUE"""),"0-5")</f>
        <v>0-5</v>
      </c>
      <c r="E78" s="1" t="str">
        <f>IFERROR(__xludf.DUMMYFUNCTION("""COMPUTED_VALUE"""),"2-0")</f>
        <v>2-0</v>
      </c>
      <c r="F78" s="2">
        <f>IFERROR(__xludf.DUMMYFUNCTION("""COMPUTED_VALUE"""),45693.0)</f>
        <v>45693</v>
      </c>
      <c r="G78" s="2">
        <f>IFERROR(__xludf.DUMMYFUNCTION("""COMPUTED_VALUE"""),45659.0)</f>
        <v>45659</v>
      </c>
      <c r="H78" s="1" t="str">
        <f>IFERROR(__xludf.DUMMYFUNCTION("""COMPUTED_VALUE"""),"5-0")</f>
        <v>5-0</v>
      </c>
    </row>
    <row r="79">
      <c r="A79" s="1">
        <f>IFERROR(__xludf.DUMMYFUNCTION("""COMPUTED_VALUE"""),77.0)</f>
        <v>77</v>
      </c>
      <c r="B79" s="1" t="str">
        <f>IFERROR(__xludf.DUMMYFUNCTION("""COMPUTED_VALUE"""),"Wofford")</f>
        <v>Wofford</v>
      </c>
      <c r="C79" s="1" t="str">
        <f>IFERROR(__xludf.DUMMYFUNCTION("""COMPUTED_VALUE"""),"0-1")</f>
        <v>0-1</v>
      </c>
      <c r="D79" s="1" t="str">
        <f>IFERROR(__xludf.DUMMYFUNCTION("""COMPUTED_VALUE"""),"0-2")</f>
        <v>0-2</v>
      </c>
      <c r="E79" s="2">
        <f>IFERROR(__xludf.DUMMYFUNCTION("""COMPUTED_VALUE"""),45691.0)</f>
        <v>45691</v>
      </c>
      <c r="F79" s="2">
        <f>IFERROR(__xludf.DUMMYFUNCTION("""COMPUTED_VALUE"""),45693.0)</f>
        <v>45693</v>
      </c>
      <c r="G79" s="2">
        <f>IFERROR(__xludf.DUMMYFUNCTION("""COMPUTED_VALUE"""),45690.0)</f>
        <v>45690</v>
      </c>
      <c r="H79" s="2">
        <f>IFERROR(__xludf.DUMMYFUNCTION("""COMPUTED_VALUE"""),45658.0)</f>
        <v>45658</v>
      </c>
    </row>
    <row r="80">
      <c r="A80" s="1">
        <f>IFERROR(__xludf.DUMMYFUNCTION("""COMPUTED_VALUE"""),78.0)</f>
        <v>78</v>
      </c>
      <c r="B80" s="1" t="str">
        <f>IFERROR(__xludf.DUMMYFUNCTION("""COMPUTED_VALUE"""),"Ohio St. 9")</f>
        <v>Ohio St. 9</v>
      </c>
      <c r="C80" s="2">
        <f>IFERROR(__xludf.DUMMYFUNCTION("""COMPUTED_VALUE"""),45661.0)</f>
        <v>45661</v>
      </c>
      <c r="D80" s="2">
        <f>IFERROR(__xludf.DUMMYFUNCTION("""COMPUTED_VALUE"""),45693.0)</f>
        <v>45693</v>
      </c>
      <c r="E80" s="1" t="str">
        <f>IFERROR(__xludf.DUMMYFUNCTION("""COMPUTED_VALUE"""),"0-0")</f>
        <v>0-0</v>
      </c>
      <c r="F80" s="2">
        <f>IFERROR(__xludf.DUMMYFUNCTION("""COMPUTED_VALUE"""),45693.0)</f>
        <v>45693</v>
      </c>
      <c r="G80" s="1" t="str">
        <f>IFERROR(__xludf.DUMMYFUNCTION("""COMPUTED_VALUE"""),"2-0")</f>
        <v>2-0</v>
      </c>
      <c r="H80" s="1" t="str">
        <f>IFERROR(__xludf.DUMMYFUNCTION("""COMPUTED_VALUE"""),"6-0")</f>
        <v>6-0</v>
      </c>
    </row>
    <row r="81">
      <c r="A81" s="1">
        <f>IFERROR(__xludf.DUMMYFUNCTION("""COMPUTED_VALUE"""),79.0)</f>
        <v>79</v>
      </c>
      <c r="B81" s="1" t="str">
        <f>IFERROR(__xludf.DUMMYFUNCTION("""COMPUTED_VALUE"""),"Loyola Marymount")</f>
        <v>Loyola Marymount</v>
      </c>
      <c r="C81" s="1" t="str">
        <f>IFERROR(__xludf.DUMMYFUNCTION("""COMPUTED_VALUE"""),"0-1")</f>
        <v>0-1</v>
      </c>
      <c r="D81" s="1" t="str">
        <f>IFERROR(__xludf.DUMMYFUNCTION("""COMPUTED_VALUE"""),"0-3")</f>
        <v>0-3</v>
      </c>
      <c r="E81" s="2">
        <f>IFERROR(__xludf.DUMMYFUNCTION("""COMPUTED_VALUE"""),45691.0)</f>
        <v>45691</v>
      </c>
      <c r="F81" s="2">
        <f>IFERROR(__xludf.DUMMYFUNCTION("""COMPUTED_VALUE"""),45694.0)</f>
        <v>45694</v>
      </c>
      <c r="G81" s="1" t="str">
        <f>IFERROR(__xludf.DUMMYFUNCTION("""COMPUTED_VALUE"""),"4-0")</f>
        <v>4-0</v>
      </c>
      <c r="H81" s="2">
        <f>IFERROR(__xludf.DUMMYFUNCTION("""COMPUTED_VALUE"""),45689.0)</f>
        <v>45689</v>
      </c>
    </row>
    <row r="82">
      <c r="A82" s="1">
        <f>IFERROR(__xludf.DUMMYFUNCTION("""COMPUTED_VALUE"""),80.0)</f>
        <v>80</v>
      </c>
      <c r="B82" s="1" t="str">
        <f>IFERROR(__xludf.DUMMYFUNCTION("""COMPUTED_VALUE"""),"Providence")</f>
        <v>Providence</v>
      </c>
      <c r="C82" s="1" t="str">
        <f>IFERROR(__xludf.DUMMYFUNCTION("""COMPUTED_VALUE"""),"0-2")</f>
        <v>0-2</v>
      </c>
      <c r="D82" s="1" t="str">
        <f>IFERROR(__xludf.DUMMYFUNCTION("""COMPUTED_VALUE"""),"0-3")</f>
        <v>0-3</v>
      </c>
      <c r="E82" s="2">
        <f>IFERROR(__xludf.DUMMYFUNCTION("""COMPUTED_VALUE"""),45692.0)</f>
        <v>45692</v>
      </c>
      <c r="F82" s="2">
        <f>IFERROR(__xludf.DUMMYFUNCTION("""COMPUTED_VALUE"""),45695.0)</f>
        <v>45695</v>
      </c>
      <c r="G82" s="2">
        <f>IFERROR(__xludf.DUMMYFUNCTION("""COMPUTED_VALUE"""),45658.0)</f>
        <v>45658</v>
      </c>
      <c r="H82" s="1" t="str">
        <f>IFERROR(__xludf.DUMMYFUNCTION("""COMPUTED_VALUE"""),"4-0")</f>
        <v>4-0</v>
      </c>
    </row>
    <row r="83">
      <c r="A83" s="1">
        <f>IFERROR(__xludf.DUMMYFUNCTION("""COMPUTED_VALUE"""),81.0)</f>
        <v>81</v>
      </c>
      <c r="B83" s="1" t="str">
        <f>IFERROR(__xludf.DUMMYFUNCTION("""COMPUTED_VALUE"""),"Cornell")</f>
        <v>Cornell</v>
      </c>
      <c r="C83" s="1" t="str">
        <f>IFERROR(__xludf.DUMMYFUNCTION("""COMPUTED_VALUE"""),"0-0")</f>
        <v>0-0</v>
      </c>
      <c r="D83" s="1" t="str">
        <f>IFERROR(__xludf.DUMMYFUNCTION("""COMPUTED_VALUE"""),"0-0")</f>
        <v>0-0</v>
      </c>
      <c r="E83" s="1" t="str">
        <f>IFERROR(__xludf.DUMMYFUNCTION("""COMPUTED_VALUE"""),"1-0")</f>
        <v>1-0</v>
      </c>
      <c r="F83" s="1" t="str">
        <f>IFERROR(__xludf.DUMMYFUNCTION("""COMPUTED_VALUE"""),"1-0")</f>
        <v>1-0</v>
      </c>
      <c r="G83" s="2">
        <f>IFERROR(__xludf.DUMMYFUNCTION("""COMPUTED_VALUE"""),45660.0)</f>
        <v>45660</v>
      </c>
      <c r="H83" s="2">
        <f>IFERROR(__xludf.DUMMYFUNCTION("""COMPUTED_VALUE"""),45749.0)</f>
        <v>45749</v>
      </c>
    </row>
    <row r="84">
      <c r="A84" s="1">
        <f>IFERROR(__xludf.DUMMYFUNCTION("""COMPUTED_VALUE"""),82.0)</f>
        <v>82</v>
      </c>
      <c r="B84" s="1" t="str">
        <f>IFERROR(__xludf.DUMMYFUNCTION("""COMPUTED_VALUE"""),"George Washington")</f>
        <v>George Washington</v>
      </c>
      <c r="C84" s="1" t="str">
        <f>IFERROR(__xludf.DUMMYFUNCTION("""COMPUTED_VALUE"""),"0-0")</f>
        <v>0-0</v>
      </c>
      <c r="D84" s="1" t="str">
        <f>IFERROR(__xludf.DUMMYFUNCTION("""COMPUTED_VALUE"""),"0-0")</f>
        <v>0-0</v>
      </c>
      <c r="E84" s="1" t="str">
        <f>IFERROR(__xludf.DUMMYFUNCTION("""COMPUTED_VALUE"""),"1-0")</f>
        <v>1-0</v>
      </c>
      <c r="F84" s="1" t="str">
        <f>IFERROR(__xludf.DUMMYFUNCTION("""COMPUTED_VALUE"""),"1-0")</f>
        <v>1-0</v>
      </c>
      <c r="G84" s="2">
        <f>IFERROR(__xludf.DUMMYFUNCTION("""COMPUTED_VALUE"""),45658.0)</f>
        <v>45658</v>
      </c>
      <c r="H84" s="2">
        <f>IFERROR(__xludf.DUMMYFUNCTION("""COMPUTED_VALUE"""),45902.0)</f>
        <v>45902</v>
      </c>
    </row>
    <row r="85">
      <c r="A85" s="1">
        <f>IFERROR(__xludf.DUMMYFUNCTION("""COMPUTED_VALUE"""),83.0)</f>
        <v>83</v>
      </c>
      <c r="B85" s="1" t="str">
        <f>IFERROR(__xludf.DUMMYFUNCTION("""COMPUTED_VALUE"""),"Delaware")</f>
        <v>Delaware</v>
      </c>
      <c r="C85" s="1" t="str">
        <f>IFERROR(__xludf.DUMMYFUNCTION("""COMPUTED_VALUE"""),"0-1")</f>
        <v>0-1</v>
      </c>
      <c r="D85" s="1" t="str">
        <f>IFERROR(__xludf.DUMMYFUNCTION("""COMPUTED_VALUE"""),"0-1")</f>
        <v>0-1</v>
      </c>
      <c r="E85" s="1" t="str">
        <f>IFERROR(__xludf.DUMMYFUNCTION("""COMPUTED_VALUE"""),"1-0")</f>
        <v>1-0</v>
      </c>
      <c r="F85" s="2">
        <f>IFERROR(__xludf.DUMMYFUNCTION("""COMPUTED_VALUE"""),45658.0)</f>
        <v>45658</v>
      </c>
      <c r="G85" s="1" t="str">
        <f>IFERROR(__xludf.DUMMYFUNCTION("""COMPUTED_VALUE"""),"0-3")</f>
        <v>0-3</v>
      </c>
      <c r="H85" s="2">
        <f>IFERROR(__xludf.DUMMYFUNCTION("""COMPUTED_VALUE"""),45780.0)</f>
        <v>45780</v>
      </c>
    </row>
    <row r="86">
      <c r="A86" s="1">
        <f>IFERROR(__xludf.DUMMYFUNCTION("""COMPUTED_VALUE"""),84.0)</f>
        <v>84</v>
      </c>
      <c r="B86" s="1" t="str">
        <f>IFERROR(__xludf.DUMMYFUNCTION("""COMPUTED_VALUE"""),"Texas Tech F4O")</f>
        <v>Texas Tech F4O</v>
      </c>
      <c r="C86" s="1" t="str">
        <f>IFERROR(__xludf.DUMMYFUNCTION("""COMPUTED_VALUE"""),"0-1")</f>
        <v>0-1</v>
      </c>
      <c r="D86" s="1" t="str">
        <f>IFERROR(__xludf.DUMMYFUNCTION("""COMPUTED_VALUE"""),"0-1")</f>
        <v>0-1</v>
      </c>
      <c r="E86" s="1" t="str">
        <f>IFERROR(__xludf.DUMMYFUNCTION("""COMPUTED_VALUE"""),"1-0")</f>
        <v>1-0</v>
      </c>
      <c r="F86" s="2">
        <f>IFERROR(__xludf.DUMMYFUNCTION("""COMPUTED_VALUE"""),45658.0)</f>
        <v>45658</v>
      </c>
      <c r="G86" s="2">
        <f>IFERROR(__xludf.DUMMYFUNCTION("""COMPUTED_VALUE"""),45749.0)</f>
        <v>45749</v>
      </c>
      <c r="H86" s="1" t="str">
        <f>IFERROR(__xludf.DUMMYFUNCTION("""COMPUTED_VALUE"""),"5-0")</f>
        <v>5-0</v>
      </c>
    </row>
    <row r="87">
      <c r="A87" s="1">
        <f>IFERROR(__xludf.DUMMYFUNCTION("""COMPUTED_VALUE"""),85.0)</f>
        <v>85</v>
      </c>
      <c r="B87" s="1" t="str">
        <f>IFERROR(__xludf.DUMMYFUNCTION("""COMPUTED_VALUE"""),"Elon")</f>
        <v>Elon</v>
      </c>
      <c r="C87" s="1" t="str">
        <f>IFERROR(__xludf.DUMMYFUNCTION("""COMPUTED_VALUE"""),"0-0")</f>
        <v>0-0</v>
      </c>
      <c r="D87" s="1" t="str">
        <f>IFERROR(__xludf.DUMMYFUNCTION("""COMPUTED_VALUE"""),"0-1")</f>
        <v>0-1</v>
      </c>
      <c r="E87" s="1" t="str">
        <f>IFERROR(__xludf.DUMMYFUNCTION("""COMPUTED_VALUE"""),"1-0")</f>
        <v>1-0</v>
      </c>
      <c r="F87" s="2">
        <f>IFERROR(__xludf.DUMMYFUNCTION("""COMPUTED_VALUE"""),45658.0)</f>
        <v>45658</v>
      </c>
      <c r="G87" s="2">
        <f>IFERROR(__xludf.DUMMYFUNCTION("""COMPUTED_VALUE"""),45690.0)</f>
        <v>45690</v>
      </c>
      <c r="H87" s="2">
        <f>IFERROR(__xludf.DUMMYFUNCTION("""COMPUTED_VALUE"""),45809.0)</f>
        <v>45809</v>
      </c>
    </row>
    <row r="88">
      <c r="A88" s="1">
        <f>IFERROR(__xludf.DUMMYFUNCTION("""COMPUTED_VALUE"""),86.0)</f>
        <v>86</v>
      </c>
      <c r="B88" s="1" t="str">
        <f>IFERROR(__xludf.DUMMYFUNCTION("""COMPUTED_VALUE"""),"UTEP")</f>
        <v>UTEP</v>
      </c>
      <c r="C88" s="1" t="str">
        <f>IFERROR(__xludf.DUMMYFUNCTION("""COMPUTED_VALUE"""),"0-1")</f>
        <v>0-1</v>
      </c>
      <c r="D88" s="1" t="str">
        <f>IFERROR(__xludf.DUMMYFUNCTION("""COMPUTED_VALUE"""),"0-1")</f>
        <v>0-1</v>
      </c>
      <c r="E88" s="1" t="str">
        <f>IFERROR(__xludf.DUMMYFUNCTION("""COMPUTED_VALUE"""),"1-0")</f>
        <v>1-0</v>
      </c>
      <c r="F88" s="2">
        <f>IFERROR(__xludf.DUMMYFUNCTION("""COMPUTED_VALUE"""),45658.0)</f>
        <v>45658</v>
      </c>
      <c r="G88" s="2">
        <f>IFERROR(__xludf.DUMMYFUNCTION("""COMPUTED_VALUE"""),45748.0)</f>
        <v>45748</v>
      </c>
      <c r="H88" s="2">
        <f>IFERROR(__xludf.DUMMYFUNCTION("""COMPUTED_VALUE"""),45748.0)</f>
        <v>45748</v>
      </c>
    </row>
    <row r="89">
      <c r="A89" s="1">
        <f>IFERROR(__xludf.DUMMYFUNCTION("""COMPUTED_VALUE"""),87.0)</f>
        <v>87</v>
      </c>
      <c r="B89" s="1" t="str">
        <f>IFERROR(__xludf.DUMMYFUNCTION("""COMPUTED_VALUE"""),"Western Illinois")</f>
        <v>Western Illinois</v>
      </c>
      <c r="C89" s="1" t="str">
        <f>IFERROR(__xludf.DUMMYFUNCTION("""COMPUTED_VALUE"""),"0-0")</f>
        <v>0-0</v>
      </c>
      <c r="D89" s="1" t="str">
        <f>IFERROR(__xludf.DUMMYFUNCTION("""COMPUTED_VALUE"""),"0-0")</f>
        <v>0-0</v>
      </c>
      <c r="E89" s="2">
        <f>IFERROR(__xludf.DUMMYFUNCTION("""COMPUTED_VALUE"""),45658.0)</f>
        <v>45658</v>
      </c>
      <c r="F89" s="2">
        <f>IFERROR(__xludf.DUMMYFUNCTION("""COMPUTED_VALUE"""),45658.0)</f>
        <v>45658</v>
      </c>
      <c r="G89" s="2">
        <f>IFERROR(__xludf.DUMMYFUNCTION("""COMPUTED_VALUE"""),45659.0)</f>
        <v>45659</v>
      </c>
      <c r="H89" s="2">
        <f>IFERROR(__xludf.DUMMYFUNCTION("""COMPUTED_VALUE"""),45720.0)</f>
        <v>45720</v>
      </c>
    </row>
    <row r="90">
      <c r="A90" s="1">
        <f>IFERROR(__xludf.DUMMYFUNCTION("""COMPUTED_VALUE"""),88.0)</f>
        <v>88</v>
      </c>
      <c r="B90" s="1" t="str">
        <f>IFERROR(__xludf.DUMMYFUNCTION("""COMPUTED_VALUE"""),"Tennessee Martin")</f>
        <v>Tennessee Martin</v>
      </c>
      <c r="C90" s="1" t="str">
        <f>IFERROR(__xludf.DUMMYFUNCTION("""COMPUTED_VALUE"""),"0-1")</f>
        <v>0-1</v>
      </c>
      <c r="D90" s="1" t="str">
        <f>IFERROR(__xludf.DUMMYFUNCTION("""COMPUTED_VALUE"""),"0-1")</f>
        <v>0-1</v>
      </c>
      <c r="E90" s="1" t="str">
        <f>IFERROR(__xludf.DUMMYFUNCTION("""COMPUTED_VALUE"""),"1-0")</f>
        <v>1-0</v>
      </c>
      <c r="F90" s="2">
        <f>IFERROR(__xludf.DUMMYFUNCTION("""COMPUTED_VALUE"""),45658.0)</f>
        <v>45658</v>
      </c>
      <c r="G90" s="1" t="str">
        <f>IFERROR(__xludf.DUMMYFUNCTION("""COMPUTED_VALUE"""),"0-3")</f>
        <v>0-3</v>
      </c>
      <c r="H90" s="2">
        <f>IFERROR(__xludf.DUMMYFUNCTION("""COMPUTED_VALUE"""),45693.0)</f>
        <v>45693</v>
      </c>
    </row>
    <row r="91">
      <c r="A91" s="1">
        <f>IFERROR(__xludf.DUMMYFUNCTION("""COMPUTED_VALUE"""),89.0)</f>
        <v>89</v>
      </c>
      <c r="B91" s="1" t="str">
        <f>IFERROR(__xludf.DUMMYFUNCTION("""COMPUTED_VALUE"""),"Rice")</f>
        <v>Rice</v>
      </c>
      <c r="C91" s="1" t="str">
        <f>IFERROR(__xludf.DUMMYFUNCTION("""COMPUTED_VALUE"""),"0-0")</f>
        <v>0-0</v>
      </c>
      <c r="D91" s="1" t="str">
        <f>IFERROR(__xludf.DUMMYFUNCTION("""COMPUTED_VALUE"""),"0-0")</f>
        <v>0-0</v>
      </c>
      <c r="E91" s="2">
        <f>IFERROR(__xludf.DUMMYFUNCTION("""COMPUTED_VALUE"""),45658.0)</f>
        <v>45658</v>
      </c>
      <c r="F91" s="2">
        <f>IFERROR(__xludf.DUMMYFUNCTION("""COMPUTED_VALUE"""),45658.0)</f>
        <v>45658</v>
      </c>
      <c r="G91" s="1" t="str">
        <f>IFERROR(__xludf.DUMMYFUNCTION("""COMPUTED_VALUE"""),"0-2")</f>
        <v>0-2</v>
      </c>
      <c r="H91" s="1" t="str">
        <f>IFERROR(__xludf.DUMMYFUNCTION("""COMPUTED_VALUE"""),"10-0")</f>
        <v>10-0</v>
      </c>
    </row>
    <row r="92">
      <c r="A92" s="1">
        <f>IFERROR(__xludf.DUMMYFUNCTION("""COMPUTED_VALUE"""),90.0)</f>
        <v>90</v>
      </c>
      <c r="B92" s="1" t="str">
        <f>IFERROR(__xludf.DUMMYFUNCTION("""COMPUTED_VALUE"""),"Ball St.")</f>
        <v>Ball St.</v>
      </c>
      <c r="C92" s="1" t="str">
        <f>IFERROR(__xludf.DUMMYFUNCTION("""COMPUTED_VALUE"""),"0-0")</f>
        <v>0-0</v>
      </c>
      <c r="D92" s="1" t="str">
        <f>IFERROR(__xludf.DUMMYFUNCTION("""COMPUTED_VALUE"""),"0-1")</f>
        <v>0-1</v>
      </c>
      <c r="E92" s="1" t="str">
        <f>IFERROR(__xludf.DUMMYFUNCTION("""COMPUTED_VALUE"""),"1-0")</f>
        <v>1-0</v>
      </c>
      <c r="F92" s="2">
        <f>IFERROR(__xludf.DUMMYFUNCTION("""COMPUTED_VALUE"""),45658.0)</f>
        <v>45658</v>
      </c>
      <c r="G92" s="1" t="str">
        <f>IFERROR(__xludf.DUMMYFUNCTION("""COMPUTED_VALUE"""),"0-0")</f>
        <v>0-0</v>
      </c>
      <c r="H92" s="2">
        <f>IFERROR(__xludf.DUMMYFUNCTION("""COMPUTED_VALUE"""),45721.0)</f>
        <v>45721</v>
      </c>
    </row>
    <row r="93">
      <c r="A93" s="1">
        <f>IFERROR(__xludf.DUMMYFUNCTION("""COMPUTED_VALUE"""),91.0)</f>
        <v>91</v>
      </c>
      <c r="B93" s="1" t="str">
        <f>IFERROR(__xludf.DUMMYFUNCTION("""COMPUTED_VALUE"""),"High Point 15")</f>
        <v>High Point 15</v>
      </c>
      <c r="C93" s="1" t="str">
        <f>IFERROR(__xludf.DUMMYFUNCTION("""COMPUTED_VALUE"""),"0-0")</f>
        <v>0-0</v>
      </c>
      <c r="D93" s="1" t="str">
        <f>IFERROR(__xludf.DUMMYFUNCTION("""COMPUTED_VALUE"""),"0-0")</f>
        <v>0-0</v>
      </c>
      <c r="E93" s="2">
        <f>IFERROR(__xludf.DUMMYFUNCTION("""COMPUTED_VALUE"""),45658.0)</f>
        <v>45658</v>
      </c>
      <c r="F93" s="2">
        <f>IFERROR(__xludf.DUMMYFUNCTION("""COMPUTED_VALUE"""),45658.0)</f>
        <v>45658</v>
      </c>
      <c r="G93" s="1" t="str">
        <f>IFERROR(__xludf.DUMMYFUNCTION("""COMPUTED_VALUE"""),"0-2")</f>
        <v>0-2</v>
      </c>
      <c r="H93" s="2">
        <f>IFERROR(__xludf.DUMMYFUNCTION("""COMPUTED_VALUE"""),45931.0)</f>
        <v>45931</v>
      </c>
    </row>
    <row r="94">
      <c r="A94" s="1">
        <f>IFERROR(__xludf.DUMMYFUNCTION("""COMPUTED_VALUE"""),92.0)</f>
        <v>92</v>
      </c>
      <c r="B94" s="1" t="str">
        <f>IFERROR(__xludf.DUMMYFUNCTION("""COMPUTED_VALUE"""),"Columbia 13")</f>
        <v>Columbia 13</v>
      </c>
      <c r="C94" s="1" t="str">
        <f>IFERROR(__xludf.DUMMYFUNCTION("""COMPUTED_VALUE"""),"0-0")</f>
        <v>0-0</v>
      </c>
      <c r="D94" s="1" t="str">
        <f>IFERROR(__xludf.DUMMYFUNCTION("""COMPUTED_VALUE"""),"1-0")</f>
        <v>1-0</v>
      </c>
      <c r="E94" s="1" t="str">
        <f>IFERROR(__xludf.DUMMYFUNCTION("""COMPUTED_VALUE"""),"0-1")</f>
        <v>0-1</v>
      </c>
      <c r="F94" s="2">
        <f>IFERROR(__xludf.DUMMYFUNCTION("""COMPUTED_VALUE"""),45658.0)</f>
        <v>45658</v>
      </c>
      <c r="G94" s="1" t="str">
        <f>IFERROR(__xludf.DUMMYFUNCTION("""COMPUTED_VALUE"""),"0-1")</f>
        <v>0-1</v>
      </c>
      <c r="H94" s="1" t="str">
        <f>IFERROR(__xludf.DUMMYFUNCTION("""COMPUTED_VALUE"""),"8-0")</f>
        <v>8-0</v>
      </c>
    </row>
    <row r="95">
      <c r="A95" s="1">
        <f>IFERROR(__xludf.DUMMYFUNCTION("""COMPUTED_VALUE"""),93.0)</f>
        <v>93</v>
      </c>
      <c r="B95" s="1" t="str">
        <f>IFERROR(__xludf.DUMMYFUNCTION("""COMPUTED_VALUE"""),"Loyola Chicago")</f>
        <v>Loyola Chicago</v>
      </c>
      <c r="C95" s="1" t="str">
        <f>IFERROR(__xludf.DUMMYFUNCTION("""COMPUTED_VALUE"""),"0-0")</f>
        <v>0-0</v>
      </c>
      <c r="D95" s="1" t="str">
        <f>IFERROR(__xludf.DUMMYFUNCTION("""COMPUTED_VALUE"""),"0-0")</f>
        <v>0-0</v>
      </c>
      <c r="E95" s="2">
        <f>IFERROR(__xludf.DUMMYFUNCTION("""COMPUTED_VALUE"""),45659.0)</f>
        <v>45659</v>
      </c>
      <c r="F95" s="2">
        <f>IFERROR(__xludf.DUMMYFUNCTION("""COMPUTED_VALUE"""),45659.0)</f>
        <v>45659</v>
      </c>
      <c r="G95" s="1" t="str">
        <f>IFERROR(__xludf.DUMMYFUNCTION("""COMPUTED_VALUE"""),"0-2")</f>
        <v>0-2</v>
      </c>
      <c r="H95" s="2">
        <f>IFERROR(__xludf.DUMMYFUNCTION("""COMPUTED_VALUE"""),45839.0)</f>
        <v>45839</v>
      </c>
    </row>
    <row r="96">
      <c r="A96" s="1">
        <f>IFERROR(__xludf.DUMMYFUNCTION("""COMPUTED_VALUE"""),94.0)</f>
        <v>94</v>
      </c>
      <c r="B96" s="1" t="str">
        <f>IFERROR(__xludf.DUMMYFUNCTION("""COMPUTED_VALUE"""),"Grand Canyon 13")</f>
        <v>Grand Canyon 13</v>
      </c>
      <c r="C96" s="1" t="str">
        <f>IFERROR(__xludf.DUMMYFUNCTION("""COMPUTED_VALUE"""),"0-0")</f>
        <v>0-0</v>
      </c>
      <c r="D96" s="1" t="str">
        <f>IFERROR(__xludf.DUMMYFUNCTION("""COMPUTED_VALUE"""),"0-1")</f>
        <v>0-1</v>
      </c>
      <c r="E96" s="2">
        <f>IFERROR(__xludf.DUMMYFUNCTION("""COMPUTED_VALUE"""),45658.0)</f>
        <v>45658</v>
      </c>
      <c r="F96" s="2">
        <f>IFERROR(__xludf.DUMMYFUNCTION("""COMPUTED_VALUE"""),45659.0)</f>
        <v>45659</v>
      </c>
      <c r="G96" s="2">
        <f>IFERROR(__xludf.DUMMYFUNCTION("""COMPUTED_VALUE"""),45717.0)</f>
        <v>45717</v>
      </c>
      <c r="H96" s="2">
        <f>IFERROR(__xludf.DUMMYFUNCTION("""COMPUTED_VALUE"""),45809.0)</f>
        <v>45809</v>
      </c>
    </row>
    <row r="97">
      <c r="A97" s="1">
        <f>IFERROR(__xludf.DUMMYFUNCTION("""COMPUTED_VALUE"""),95.0)</f>
        <v>95</v>
      </c>
      <c r="B97" s="1" t="str">
        <f>IFERROR(__xludf.DUMMYFUNCTION("""COMPUTED_VALUE"""),"Georgia 8")</f>
        <v>Georgia 8</v>
      </c>
      <c r="C97" s="1" t="str">
        <f>IFERROR(__xludf.DUMMYFUNCTION("""COMPUTED_VALUE"""),"0-2")</f>
        <v>0-2</v>
      </c>
      <c r="D97" s="2">
        <f>IFERROR(__xludf.DUMMYFUNCTION("""COMPUTED_VALUE"""),45659.0)</f>
        <v>45659</v>
      </c>
      <c r="E97" s="1" t="str">
        <f>IFERROR(__xludf.DUMMYFUNCTION("""COMPUTED_VALUE"""),"0-0")</f>
        <v>0-0</v>
      </c>
      <c r="F97" s="2">
        <f>IFERROR(__xludf.DUMMYFUNCTION("""COMPUTED_VALUE"""),45659.0)</f>
        <v>45659</v>
      </c>
      <c r="G97" s="1" t="str">
        <f>IFERROR(__xludf.DUMMYFUNCTION("""COMPUTED_VALUE"""),"3-0")</f>
        <v>3-0</v>
      </c>
      <c r="H97" s="1" t="str">
        <f>IFERROR(__xludf.DUMMYFUNCTION("""COMPUTED_VALUE"""),"8-0")</f>
        <v>8-0</v>
      </c>
    </row>
    <row r="98">
      <c r="A98" s="1">
        <f>IFERROR(__xludf.DUMMYFUNCTION("""COMPUTED_VALUE"""),96.0)</f>
        <v>96</v>
      </c>
      <c r="B98" s="1" t="str">
        <f>IFERROR(__xludf.DUMMYFUNCTION("""COMPUTED_VALUE"""),"Arkansas St. 13")</f>
        <v>Arkansas St. 13</v>
      </c>
      <c r="C98" s="2">
        <f>IFERROR(__xludf.DUMMYFUNCTION("""COMPUTED_VALUE"""),45658.0)</f>
        <v>45658</v>
      </c>
      <c r="D98" s="2">
        <f>IFERROR(__xludf.DUMMYFUNCTION("""COMPUTED_VALUE"""),45658.0)</f>
        <v>45658</v>
      </c>
      <c r="E98" s="1" t="str">
        <f>IFERROR(__xludf.DUMMYFUNCTION("""COMPUTED_VALUE"""),"0-1")</f>
        <v>0-1</v>
      </c>
      <c r="F98" s="2">
        <f>IFERROR(__xludf.DUMMYFUNCTION("""COMPUTED_VALUE"""),45659.0)</f>
        <v>45659</v>
      </c>
      <c r="G98" s="2">
        <f>IFERROR(__xludf.DUMMYFUNCTION("""COMPUTED_VALUE"""),45718.0)</f>
        <v>45718</v>
      </c>
      <c r="H98" s="1" t="str">
        <f>IFERROR(__xludf.DUMMYFUNCTION("""COMPUTED_VALUE"""),"6-0")</f>
        <v>6-0</v>
      </c>
    </row>
    <row r="99">
      <c r="A99" s="1">
        <f>IFERROR(__xludf.DUMMYFUNCTION("""COMPUTED_VALUE"""),97.0)</f>
        <v>97</v>
      </c>
      <c r="B99" s="1" t="str">
        <f>IFERROR(__xludf.DUMMYFUNCTION("""COMPUTED_VALUE"""),"Furman 12")</f>
        <v>Furman 12</v>
      </c>
      <c r="C99" s="1" t="str">
        <f>IFERROR(__xludf.DUMMYFUNCTION("""COMPUTED_VALUE"""),"0-1")</f>
        <v>0-1</v>
      </c>
      <c r="D99" s="1" t="str">
        <f>IFERROR(__xludf.DUMMYFUNCTION("""COMPUTED_VALUE"""),"0-1")</f>
        <v>0-1</v>
      </c>
      <c r="E99" s="2">
        <f>IFERROR(__xludf.DUMMYFUNCTION("""COMPUTED_VALUE"""),45658.0)</f>
        <v>45658</v>
      </c>
      <c r="F99" s="2">
        <f>IFERROR(__xludf.DUMMYFUNCTION("""COMPUTED_VALUE"""),45659.0)</f>
        <v>45659</v>
      </c>
      <c r="G99" s="1" t="str">
        <f>IFERROR(__xludf.DUMMYFUNCTION("""COMPUTED_VALUE"""),"3-0")</f>
        <v>3-0</v>
      </c>
      <c r="H99" s="1" t="str">
        <f>IFERROR(__xludf.DUMMYFUNCTION("""COMPUTED_VALUE"""),"6-0")</f>
        <v>6-0</v>
      </c>
    </row>
    <row r="100">
      <c r="A100" s="1">
        <f>IFERROR(__xludf.DUMMYFUNCTION("""COMPUTED_VALUE"""),98.0)</f>
        <v>98</v>
      </c>
      <c r="B100" s="1" t="str">
        <f>IFERROR(__xludf.DUMMYFUNCTION("""COMPUTED_VALUE"""),"Central Connecticut 16")</f>
        <v>Central Connecticut 16</v>
      </c>
      <c r="C100" s="1" t="str">
        <f>IFERROR(__xludf.DUMMYFUNCTION("""COMPUTED_VALUE"""),"0-0")</f>
        <v>0-0</v>
      </c>
      <c r="D100" s="1" t="str">
        <f>IFERROR(__xludf.DUMMYFUNCTION("""COMPUTED_VALUE"""),"0-0")</f>
        <v>0-0</v>
      </c>
      <c r="E100" s="2">
        <f>IFERROR(__xludf.DUMMYFUNCTION("""COMPUTED_VALUE"""),45659.0)</f>
        <v>45659</v>
      </c>
      <c r="F100" s="2">
        <f>IFERROR(__xludf.DUMMYFUNCTION("""COMPUTED_VALUE"""),45659.0)</f>
        <v>45659</v>
      </c>
      <c r="G100" s="2">
        <f>IFERROR(__xludf.DUMMYFUNCTION("""COMPUTED_VALUE"""),45658.0)</f>
        <v>45658</v>
      </c>
      <c r="H100" s="2">
        <f>IFERROR(__xludf.DUMMYFUNCTION("""COMPUTED_VALUE"""),45839.0)</f>
        <v>45839</v>
      </c>
    </row>
    <row r="101">
      <c r="A101" s="1">
        <f>IFERROR(__xludf.DUMMYFUNCTION("""COMPUTED_VALUE"""),99.0)</f>
        <v>99</v>
      </c>
      <c r="B101" s="1" t="str">
        <f>IFERROR(__xludf.DUMMYFUNCTION("""COMPUTED_VALUE"""),"Illinois Chicago")</f>
        <v>Illinois Chicago</v>
      </c>
      <c r="C101" s="1" t="str">
        <f>IFERROR(__xludf.DUMMYFUNCTION("""COMPUTED_VALUE"""),"0-0")</f>
        <v>0-0</v>
      </c>
      <c r="D101" s="1" t="str">
        <f>IFERROR(__xludf.DUMMYFUNCTION("""COMPUTED_VALUE"""),"0-1")</f>
        <v>0-1</v>
      </c>
      <c r="E101" s="2">
        <f>IFERROR(__xludf.DUMMYFUNCTION("""COMPUTED_VALUE"""),45658.0)</f>
        <v>45658</v>
      </c>
      <c r="F101" s="2">
        <f>IFERROR(__xludf.DUMMYFUNCTION("""COMPUTED_VALUE"""),45659.0)</f>
        <v>45659</v>
      </c>
      <c r="G101" s="2">
        <f>IFERROR(__xludf.DUMMYFUNCTION("""COMPUTED_VALUE"""),45749.0)</f>
        <v>45749</v>
      </c>
      <c r="H101" s="2">
        <f>IFERROR(__xludf.DUMMYFUNCTION("""COMPUTED_VALUE"""),45689.0)</f>
        <v>45689</v>
      </c>
    </row>
    <row r="102">
      <c r="A102" s="1">
        <f>IFERROR(__xludf.DUMMYFUNCTION("""COMPUTED_VALUE"""),100.0)</f>
        <v>100</v>
      </c>
      <c r="B102" s="1" t="str">
        <f>IFERROR(__xludf.DUMMYFUNCTION("""COMPUTED_VALUE"""),"UMKC")</f>
        <v>UMKC</v>
      </c>
      <c r="C102" s="1" t="str">
        <f>IFERROR(__xludf.DUMMYFUNCTION("""COMPUTED_VALUE"""),"0-1")</f>
        <v>0-1</v>
      </c>
      <c r="D102" s="1" t="str">
        <f>IFERROR(__xludf.DUMMYFUNCTION("""COMPUTED_VALUE"""),"0-2")</f>
        <v>0-2</v>
      </c>
      <c r="E102" s="1" t="str">
        <f>IFERROR(__xludf.DUMMYFUNCTION("""COMPUTED_VALUE"""),"1-0")</f>
        <v>1-0</v>
      </c>
      <c r="F102" s="2">
        <f>IFERROR(__xludf.DUMMYFUNCTION("""COMPUTED_VALUE"""),45659.0)</f>
        <v>45659</v>
      </c>
      <c r="G102" s="2">
        <f>IFERROR(__xludf.DUMMYFUNCTION("""COMPUTED_VALUE"""),45659.0)</f>
        <v>45659</v>
      </c>
      <c r="H102" s="2">
        <f>IFERROR(__xludf.DUMMYFUNCTION("""COMPUTED_VALUE"""),45750.0)</f>
        <v>45750</v>
      </c>
    </row>
    <row r="103">
      <c r="A103" s="1" t="str">
        <f>IFERROR(__xludf.DUMMYFUNCTION("""COMPUTED_VALUE"""),"Rk")</f>
        <v>Rk</v>
      </c>
      <c r="B103" s="1" t="str">
        <f>IFERROR(__xludf.DUMMYFUNCTION("""COMPUTED_VALUE"""),"Team")</f>
        <v>Team</v>
      </c>
      <c r="C103" s="1" t="str">
        <f>IFERROR(__xludf.DUMMYFUNCTION("""COMPUTED_VALUE"""),"Q1-A")</f>
        <v>Q1-A</v>
      </c>
      <c r="D103" s="1" t="str">
        <f>IFERROR(__xludf.DUMMYFUNCTION("""COMPUTED_VALUE"""),"Q1")</f>
        <v>Q1</v>
      </c>
      <c r="E103" s="1" t="str">
        <f>IFERROR(__xludf.DUMMYFUNCTION("""COMPUTED_VALUE"""),"Q2")</f>
        <v>Q2</v>
      </c>
      <c r="F103" s="1" t="str">
        <f>IFERROR(__xludf.DUMMYFUNCTION("""COMPUTED_VALUE"""),"Q1&amp;2")</f>
        <v>Q1&amp;2</v>
      </c>
      <c r="G103" s="1" t="str">
        <f>IFERROR(__xludf.DUMMYFUNCTION("""COMPUTED_VALUE"""),"Q3")</f>
        <v>Q3</v>
      </c>
      <c r="H103" s="1" t="str">
        <f>IFERROR(__xludf.DUMMYFUNCTION("""COMPUTED_VALUE"""),"Q4")</f>
        <v>Q4</v>
      </c>
    </row>
    <row r="104">
      <c r="A104" s="1">
        <f>IFERROR(__xludf.DUMMYFUNCTION("""COMPUTED_VALUE"""),101.0)</f>
        <v>101</v>
      </c>
      <c r="B104" s="1" t="str">
        <f>IFERROR(__xludf.DUMMYFUNCTION("""COMPUTED_VALUE"""),"Bradley")</f>
        <v>Bradley</v>
      </c>
      <c r="C104" s="1" t="str">
        <f>IFERROR(__xludf.DUMMYFUNCTION("""COMPUTED_VALUE"""),"0-0")</f>
        <v>0-0</v>
      </c>
      <c r="D104" s="1" t="str">
        <f>IFERROR(__xludf.DUMMYFUNCTION("""COMPUTED_VALUE"""),"0-1")</f>
        <v>0-1</v>
      </c>
      <c r="E104" s="2">
        <f>IFERROR(__xludf.DUMMYFUNCTION("""COMPUTED_VALUE"""),45658.0)</f>
        <v>45658</v>
      </c>
      <c r="F104" s="2">
        <f>IFERROR(__xludf.DUMMYFUNCTION("""COMPUTED_VALUE"""),45659.0)</f>
        <v>45659</v>
      </c>
      <c r="G104" s="1" t="str">
        <f>IFERROR(__xludf.DUMMYFUNCTION("""COMPUTED_VALUE"""),"4-0")</f>
        <v>4-0</v>
      </c>
      <c r="H104" s="1" t="str">
        <f>IFERROR(__xludf.DUMMYFUNCTION("""COMPUTED_VALUE"""),"7-0")</f>
        <v>7-0</v>
      </c>
    </row>
    <row r="105">
      <c r="A105" s="1">
        <f>IFERROR(__xludf.DUMMYFUNCTION("""COMPUTED_VALUE"""),102.0)</f>
        <v>102</v>
      </c>
      <c r="B105" s="1" t="str">
        <f>IFERROR(__xludf.DUMMYFUNCTION("""COMPUTED_VALUE"""),"Hofstra")</f>
        <v>Hofstra</v>
      </c>
      <c r="C105" s="1" t="str">
        <f>IFERROR(__xludf.DUMMYFUNCTION("""COMPUTED_VALUE"""),"0-1")</f>
        <v>0-1</v>
      </c>
      <c r="D105" s="1" t="str">
        <f>IFERROR(__xludf.DUMMYFUNCTION("""COMPUTED_VALUE"""),"0-2")</f>
        <v>0-2</v>
      </c>
      <c r="E105" s="1" t="str">
        <f>IFERROR(__xludf.DUMMYFUNCTION("""COMPUTED_VALUE"""),"1-0")</f>
        <v>1-0</v>
      </c>
      <c r="F105" s="2">
        <f>IFERROR(__xludf.DUMMYFUNCTION("""COMPUTED_VALUE"""),45659.0)</f>
        <v>45659</v>
      </c>
      <c r="G105" s="2">
        <f>IFERROR(__xludf.DUMMYFUNCTION("""COMPUTED_VALUE"""),45749.0)</f>
        <v>45749</v>
      </c>
      <c r="H105" s="2">
        <f>IFERROR(__xludf.DUMMYFUNCTION("""COMPUTED_VALUE"""),45690.0)</f>
        <v>45690</v>
      </c>
    </row>
    <row r="106">
      <c r="A106" s="1">
        <f>IFERROR(__xludf.DUMMYFUNCTION("""COMPUTED_VALUE"""),103.0)</f>
        <v>103</v>
      </c>
      <c r="B106" s="1" t="str">
        <f>IFERROR(__xludf.DUMMYFUNCTION("""COMPUTED_VALUE"""),"St. Thomas")</f>
        <v>St. Thomas</v>
      </c>
      <c r="C106" s="1" t="str">
        <f>IFERROR(__xludf.DUMMYFUNCTION("""COMPUTED_VALUE"""),"0-0")</f>
        <v>0-0</v>
      </c>
      <c r="D106" s="1" t="str">
        <f>IFERROR(__xludf.DUMMYFUNCTION("""COMPUTED_VALUE"""),"0-1")</f>
        <v>0-1</v>
      </c>
      <c r="E106" s="2">
        <f>IFERROR(__xludf.DUMMYFUNCTION("""COMPUTED_VALUE"""),45659.0)</f>
        <v>45659</v>
      </c>
      <c r="F106" s="2">
        <f>IFERROR(__xludf.DUMMYFUNCTION("""COMPUTED_VALUE"""),45660.0)</f>
        <v>45660</v>
      </c>
      <c r="G106" s="2">
        <f>IFERROR(__xludf.DUMMYFUNCTION("""COMPUTED_VALUE"""),45690.0)</f>
        <v>45690</v>
      </c>
      <c r="H106" s="1" t="str">
        <f>IFERROR(__xludf.DUMMYFUNCTION("""COMPUTED_VALUE"""),"6-0")</f>
        <v>6-0</v>
      </c>
    </row>
    <row r="107">
      <c r="A107" s="1">
        <f>IFERROR(__xludf.DUMMYFUNCTION("""COMPUTED_VALUE"""),104.0)</f>
        <v>104</v>
      </c>
      <c r="B107" s="1" t="str">
        <f>IFERROR(__xludf.DUMMYFUNCTION("""COMPUTED_VALUE"""),"South Carolina")</f>
        <v>South Carolina</v>
      </c>
      <c r="C107" s="1" t="str">
        <f>IFERROR(__xludf.DUMMYFUNCTION("""COMPUTED_VALUE"""),"0-1")</f>
        <v>0-1</v>
      </c>
      <c r="D107" s="1" t="str">
        <f>IFERROR(__xludf.DUMMYFUNCTION("""COMPUTED_VALUE"""),"0-2")</f>
        <v>0-2</v>
      </c>
      <c r="E107" s="2">
        <f>IFERROR(__xludf.DUMMYFUNCTION("""COMPUTED_VALUE"""),45658.0)</f>
        <v>45658</v>
      </c>
      <c r="F107" s="2">
        <f>IFERROR(__xludf.DUMMYFUNCTION("""COMPUTED_VALUE"""),45660.0)</f>
        <v>45660</v>
      </c>
      <c r="G107" s="1" t="str">
        <f>IFERROR(__xludf.DUMMYFUNCTION("""COMPUTED_VALUE"""),"2-0")</f>
        <v>2-0</v>
      </c>
      <c r="H107" s="2">
        <f>IFERROR(__xludf.DUMMYFUNCTION("""COMPUTED_VALUE"""),45839.0)</f>
        <v>45839</v>
      </c>
    </row>
    <row r="108">
      <c r="A108" s="1">
        <f>IFERROR(__xludf.DUMMYFUNCTION("""COMPUTED_VALUE"""),105.0)</f>
        <v>105</v>
      </c>
      <c r="B108" s="1" t="str">
        <f>IFERROR(__xludf.DUMMYFUNCTION("""COMPUTED_VALUE"""),"Belmont")</f>
        <v>Belmont</v>
      </c>
      <c r="C108" s="1" t="str">
        <f>IFERROR(__xludf.DUMMYFUNCTION("""COMPUTED_VALUE"""),"0-0")</f>
        <v>0-0</v>
      </c>
      <c r="D108" s="1" t="str">
        <f>IFERROR(__xludf.DUMMYFUNCTION("""COMPUTED_VALUE"""),"1-0")</f>
        <v>1-0</v>
      </c>
      <c r="E108" s="1" t="str">
        <f>IFERROR(__xludf.DUMMYFUNCTION("""COMPUTED_VALUE"""),"0-3")</f>
        <v>0-3</v>
      </c>
      <c r="F108" s="2">
        <f>IFERROR(__xludf.DUMMYFUNCTION("""COMPUTED_VALUE"""),45660.0)</f>
        <v>45660</v>
      </c>
      <c r="G108" s="2">
        <f>IFERROR(__xludf.DUMMYFUNCTION("""COMPUTED_VALUE"""),45749.0)</f>
        <v>45749</v>
      </c>
      <c r="H108" s="1" t="str">
        <f>IFERROR(__xludf.DUMMYFUNCTION("""COMPUTED_VALUE"""),"4-0")</f>
        <v>4-0</v>
      </c>
    </row>
    <row r="109">
      <c r="A109" s="1">
        <f>IFERROR(__xludf.DUMMYFUNCTION("""COMPUTED_VALUE"""),106.0)</f>
        <v>106</v>
      </c>
      <c r="B109" s="1" t="str">
        <f>IFERROR(__xludf.DUMMYFUNCTION("""COMPUTED_VALUE"""),"New Mexico St.")</f>
        <v>New Mexico St.</v>
      </c>
      <c r="C109" s="1" t="str">
        <f>IFERROR(__xludf.DUMMYFUNCTION("""COMPUTED_VALUE"""),"0-0")</f>
        <v>0-0</v>
      </c>
      <c r="D109" s="2">
        <f>IFERROR(__xludf.DUMMYFUNCTION("""COMPUTED_VALUE"""),45659.0)</f>
        <v>45659</v>
      </c>
      <c r="E109" s="1" t="str">
        <f>IFERROR(__xludf.DUMMYFUNCTION("""COMPUTED_VALUE"""),"0-1")</f>
        <v>0-1</v>
      </c>
      <c r="F109" s="2">
        <f>IFERROR(__xludf.DUMMYFUNCTION("""COMPUTED_VALUE"""),45660.0)</f>
        <v>45660</v>
      </c>
      <c r="G109" s="2">
        <f>IFERROR(__xludf.DUMMYFUNCTION("""COMPUTED_VALUE"""),45689.0)</f>
        <v>45689</v>
      </c>
      <c r="H109" s="2">
        <f>IFERROR(__xludf.DUMMYFUNCTION("""COMPUTED_VALUE"""),45718.0)</f>
        <v>45718</v>
      </c>
    </row>
    <row r="110">
      <c r="A110" s="1">
        <f>IFERROR(__xludf.DUMMYFUNCTION("""COMPUTED_VALUE"""),107.0)</f>
        <v>107</v>
      </c>
      <c r="B110" s="1" t="str">
        <f>IFERROR(__xludf.DUMMYFUNCTION("""COMPUTED_VALUE"""),"BYU N4O")</f>
        <v>BYU N4O</v>
      </c>
      <c r="C110" s="1" t="str">
        <f>IFERROR(__xludf.DUMMYFUNCTION("""COMPUTED_VALUE"""),"0-1")</f>
        <v>0-1</v>
      </c>
      <c r="D110" s="1" t="str">
        <f>IFERROR(__xludf.DUMMYFUNCTION("""COMPUTED_VALUE"""),"0-2")</f>
        <v>0-2</v>
      </c>
      <c r="E110" s="2">
        <f>IFERROR(__xludf.DUMMYFUNCTION("""COMPUTED_VALUE"""),45658.0)</f>
        <v>45658</v>
      </c>
      <c r="F110" s="2">
        <f>IFERROR(__xludf.DUMMYFUNCTION("""COMPUTED_VALUE"""),45660.0)</f>
        <v>45660</v>
      </c>
      <c r="G110" s="1" t="str">
        <f>IFERROR(__xludf.DUMMYFUNCTION("""COMPUTED_VALUE"""),"3-0")</f>
        <v>3-0</v>
      </c>
      <c r="H110" s="1" t="str">
        <f>IFERROR(__xludf.DUMMYFUNCTION("""COMPUTED_VALUE"""),"6-0")</f>
        <v>6-0</v>
      </c>
    </row>
    <row r="111">
      <c r="A111" s="1">
        <f>IFERROR(__xludf.DUMMYFUNCTION("""COMPUTED_VALUE"""),108.0)</f>
        <v>108</v>
      </c>
      <c r="B111" s="1" t="str">
        <f>IFERROR(__xludf.DUMMYFUNCTION("""COMPUTED_VALUE"""),"Charleston 14")</f>
        <v>Charleston 14</v>
      </c>
      <c r="C111" s="1" t="str">
        <f>IFERROR(__xludf.DUMMYFUNCTION("""COMPUTED_VALUE"""),"0-0")</f>
        <v>0-0</v>
      </c>
      <c r="D111" s="1" t="str">
        <f>IFERROR(__xludf.DUMMYFUNCTION("""COMPUTED_VALUE"""),"0-0")</f>
        <v>0-0</v>
      </c>
      <c r="E111" s="2">
        <f>IFERROR(__xludf.DUMMYFUNCTION("""COMPUTED_VALUE"""),45660.0)</f>
        <v>45660</v>
      </c>
      <c r="F111" s="2">
        <f>IFERROR(__xludf.DUMMYFUNCTION("""COMPUTED_VALUE"""),45660.0)</f>
        <v>45660</v>
      </c>
      <c r="G111" s="1" t="str">
        <f>IFERROR(__xludf.DUMMYFUNCTION("""COMPUTED_VALUE"""),"3-0")</f>
        <v>3-0</v>
      </c>
      <c r="H111" s="1" t="str">
        <f>IFERROR(__xludf.DUMMYFUNCTION("""COMPUTED_VALUE"""),"7-0")</f>
        <v>7-0</v>
      </c>
    </row>
    <row r="112">
      <c r="A112" s="1">
        <f>IFERROR(__xludf.DUMMYFUNCTION("""COMPUTED_VALUE"""),109.0)</f>
        <v>109</v>
      </c>
      <c r="B112" s="1" t="str">
        <f>IFERROR(__xludf.DUMMYFUNCTION("""COMPUTED_VALUE"""),"Utah Valley")</f>
        <v>Utah Valley</v>
      </c>
      <c r="C112" s="1" t="str">
        <f>IFERROR(__xludf.DUMMYFUNCTION("""COMPUTED_VALUE"""),"0-0")</f>
        <v>0-0</v>
      </c>
      <c r="D112" s="1" t="str">
        <f>IFERROR(__xludf.DUMMYFUNCTION("""COMPUTED_VALUE"""),"0-0")</f>
        <v>0-0</v>
      </c>
      <c r="E112" s="2">
        <f>IFERROR(__xludf.DUMMYFUNCTION("""COMPUTED_VALUE"""),45660.0)</f>
        <v>45660</v>
      </c>
      <c r="F112" s="2">
        <f>IFERROR(__xludf.DUMMYFUNCTION("""COMPUTED_VALUE"""),45660.0)</f>
        <v>45660</v>
      </c>
      <c r="G112" s="2">
        <f>IFERROR(__xludf.DUMMYFUNCTION("""COMPUTED_VALUE"""),45690.0)</f>
        <v>45690</v>
      </c>
      <c r="H112" s="2">
        <f>IFERROR(__xludf.DUMMYFUNCTION("""COMPUTED_VALUE"""),45748.0)</f>
        <v>45748</v>
      </c>
    </row>
    <row r="113">
      <c r="A113" s="1">
        <f>IFERROR(__xludf.DUMMYFUNCTION("""COMPUTED_VALUE"""),110.0)</f>
        <v>110</v>
      </c>
      <c r="B113" s="1" t="str">
        <f>IFERROR(__xludf.DUMMYFUNCTION("""COMPUTED_VALUE"""),"Missouri F4O")</f>
        <v>Missouri F4O</v>
      </c>
      <c r="C113" s="2">
        <f>IFERROR(__xludf.DUMMYFUNCTION("""COMPUTED_VALUE"""),45660.0)</f>
        <v>45660</v>
      </c>
      <c r="D113" s="2">
        <f>IFERROR(__xludf.DUMMYFUNCTION("""COMPUTED_VALUE"""),45660.0)</f>
        <v>45660</v>
      </c>
      <c r="E113" s="1" t="str">
        <f>IFERROR(__xludf.DUMMYFUNCTION("""COMPUTED_VALUE"""),"0-0")</f>
        <v>0-0</v>
      </c>
      <c r="F113" s="2">
        <f>IFERROR(__xludf.DUMMYFUNCTION("""COMPUTED_VALUE"""),45660.0)</f>
        <v>45660</v>
      </c>
      <c r="G113" s="1" t="str">
        <f>IFERROR(__xludf.DUMMYFUNCTION("""COMPUTED_VALUE"""),"2-0")</f>
        <v>2-0</v>
      </c>
      <c r="H113" s="1" t="str">
        <f>IFERROR(__xludf.DUMMYFUNCTION("""COMPUTED_VALUE"""),"8-0")</f>
        <v>8-0</v>
      </c>
    </row>
    <row r="114">
      <c r="A114" s="1">
        <f>IFERROR(__xludf.DUMMYFUNCTION("""COMPUTED_VALUE"""),111.0)</f>
        <v>111</v>
      </c>
      <c r="B114" s="1" t="str">
        <f>IFERROR(__xludf.DUMMYFUNCTION("""COMPUTED_VALUE"""),"Wichita St.")</f>
        <v>Wichita St.</v>
      </c>
      <c r="C114" s="1" t="str">
        <f>IFERROR(__xludf.DUMMYFUNCTION("""COMPUTED_VALUE"""),"0-1")</f>
        <v>0-1</v>
      </c>
      <c r="D114" s="1" t="str">
        <f>IFERROR(__xludf.DUMMYFUNCTION("""COMPUTED_VALUE"""),"0-1")</f>
        <v>0-1</v>
      </c>
      <c r="E114" s="2">
        <f>IFERROR(__xludf.DUMMYFUNCTION("""COMPUTED_VALUE"""),45659.0)</f>
        <v>45659</v>
      </c>
      <c r="F114" s="2">
        <f>IFERROR(__xludf.DUMMYFUNCTION("""COMPUTED_VALUE"""),45660.0)</f>
        <v>45660</v>
      </c>
      <c r="G114" s="1" t="str">
        <f>IFERROR(__xludf.DUMMYFUNCTION("""COMPUTED_VALUE"""),"5-0")</f>
        <v>5-0</v>
      </c>
      <c r="H114" s="2">
        <f>IFERROR(__xludf.DUMMYFUNCTION("""COMPUTED_VALUE"""),45718.0)</f>
        <v>45718</v>
      </c>
    </row>
    <row r="115">
      <c r="A115" s="1">
        <f>IFERROR(__xludf.DUMMYFUNCTION("""COMPUTED_VALUE"""),112.0)</f>
        <v>112</v>
      </c>
      <c r="B115" s="1" t="str">
        <f>IFERROR(__xludf.DUMMYFUNCTION("""COMPUTED_VALUE"""),"Oregon St.")</f>
        <v>Oregon St.</v>
      </c>
      <c r="C115" s="1" t="str">
        <f>IFERROR(__xludf.DUMMYFUNCTION("""COMPUTED_VALUE"""),"0-0")</f>
        <v>0-0</v>
      </c>
      <c r="D115" s="1" t="str">
        <f>IFERROR(__xludf.DUMMYFUNCTION("""COMPUTED_VALUE"""),"0-3")</f>
        <v>0-3</v>
      </c>
      <c r="E115" s="1" t="str">
        <f>IFERROR(__xludf.DUMMYFUNCTION("""COMPUTED_VALUE"""),"1-0")</f>
        <v>1-0</v>
      </c>
      <c r="F115" s="2">
        <f>IFERROR(__xludf.DUMMYFUNCTION("""COMPUTED_VALUE"""),45660.0)</f>
        <v>45660</v>
      </c>
      <c r="G115" s="2">
        <f>IFERROR(__xludf.DUMMYFUNCTION("""COMPUTED_VALUE"""),45658.0)</f>
        <v>45658</v>
      </c>
      <c r="H115" s="1" t="str">
        <f>IFERROR(__xludf.DUMMYFUNCTION("""COMPUTED_VALUE"""),"9-0")</f>
        <v>9-0</v>
      </c>
    </row>
    <row r="116">
      <c r="A116" s="1">
        <f>IFERROR(__xludf.DUMMYFUNCTION("""COMPUTED_VALUE"""),113.0)</f>
        <v>113</v>
      </c>
      <c r="B116" s="1" t="str">
        <f>IFERROR(__xludf.DUMMYFUNCTION("""COMPUTED_VALUE"""),"South Florida")</f>
        <v>South Florida</v>
      </c>
      <c r="C116" s="1" t="str">
        <f>IFERROR(__xludf.DUMMYFUNCTION("""COMPUTED_VALUE"""),"0-2")</f>
        <v>0-2</v>
      </c>
      <c r="D116" s="1" t="str">
        <f>IFERROR(__xludf.DUMMYFUNCTION("""COMPUTED_VALUE"""),"0-2")</f>
        <v>0-2</v>
      </c>
      <c r="E116" s="2">
        <f>IFERROR(__xludf.DUMMYFUNCTION("""COMPUTED_VALUE"""),45658.0)</f>
        <v>45658</v>
      </c>
      <c r="F116" s="2">
        <f>IFERROR(__xludf.DUMMYFUNCTION("""COMPUTED_VALUE"""),45660.0)</f>
        <v>45660</v>
      </c>
      <c r="G116" s="2">
        <f>IFERROR(__xludf.DUMMYFUNCTION("""COMPUTED_VALUE"""),45659.0)</f>
        <v>45659</v>
      </c>
      <c r="H116" s="2">
        <f>IFERROR(__xludf.DUMMYFUNCTION("""COMPUTED_VALUE"""),45809.0)</f>
        <v>45809</v>
      </c>
    </row>
    <row r="117">
      <c r="A117" s="1">
        <f>IFERROR(__xludf.DUMMYFUNCTION("""COMPUTED_VALUE"""),114.0)</f>
        <v>114</v>
      </c>
      <c r="B117" s="1" t="str">
        <f>IFERROR(__xludf.DUMMYFUNCTION("""COMPUTED_VALUE"""),"Duquesne")</f>
        <v>Duquesne</v>
      </c>
      <c r="C117" s="1" t="str">
        <f>IFERROR(__xludf.DUMMYFUNCTION("""COMPUTED_VALUE"""),"0-0")</f>
        <v>0-0</v>
      </c>
      <c r="D117" s="1" t="str">
        <f>IFERROR(__xludf.DUMMYFUNCTION("""COMPUTED_VALUE"""),"0-0")</f>
        <v>0-0</v>
      </c>
      <c r="E117" s="2">
        <f>IFERROR(__xludf.DUMMYFUNCTION("""COMPUTED_VALUE"""),45660.0)</f>
        <v>45660</v>
      </c>
      <c r="F117" s="2">
        <f>IFERROR(__xludf.DUMMYFUNCTION("""COMPUTED_VALUE"""),45660.0)</f>
        <v>45660</v>
      </c>
      <c r="G117" s="2">
        <f>IFERROR(__xludf.DUMMYFUNCTION("""COMPUTED_VALUE"""),45660.0)</f>
        <v>45660</v>
      </c>
      <c r="H117" s="2">
        <f>IFERROR(__xludf.DUMMYFUNCTION("""COMPUTED_VALUE"""),45719.0)</f>
        <v>45719</v>
      </c>
    </row>
    <row r="118">
      <c r="A118" s="1">
        <f>IFERROR(__xludf.DUMMYFUNCTION("""COMPUTED_VALUE"""),115.0)</f>
        <v>115</v>
      </c>
      <c r="B118" s="1" t="str">
        <f>IFERROR(__xludf.DUMMYFUNCTION("""COMPUTED_VALUE"""),"VCU")</f>
        <v>VCU</v>
      </c>
      <c r="C118" s="1" t="str">
        <f>IFERROR(__xludf.DUMMYFUNCTION("""COMPUTED_VALUE"""),"0-0")</f>
        <v>0-0</v>
      </c>
      <c r="D118" s="1" t="str">
        <f>IFERROR(__xludf.DUMMYFUNCTION("""COMPUTED_VALUE"""),"0-2")</f>
        <v>0-2</v>
      </c>
      <c r="E118" s="2">
        <f>IFERROR(__xludf.DUMMYFUNCTION("""COMPUTED_VALUE"""),45658.0)</f>
        <v>45658</v>
      </c>
      <c r="F118" s="2">
        <f>IFERROR(__xludf.DUMMYFUNCTION("""COMPUTED_VALUE"""),45660.0)</f>
        <v>45660</v>
      </c>
      <c r="G118" s="2">
        <f>IFERROR(__xludf.DUMMYFUNCTION("""COMPUTED_VALUE"""),45689.0)</f>
        <v>45689</v>
      </c>
      <c r="H118" s="1" t="str">
        <f>IFERROR(__xludf.DUMMYFUNCTION("""COMPUTED_VALUE"""),"7-0")</f>
        <v>7-0</v>
      </c>
    </row>
    <row r="119">
      <c r="A119" s="1">
        <f>IFERROR(__xludf.DUMMYFUNCTION("""COMPUTED_VALUE"""),116.0)</f>
        <v>116</v>
      </c>
      <c r="B119" s="1" t="str">
        <f>IFERROR(__xludf.DUMMYFUNCTION("""COMPUTED_VALUE"""),"George Mason")</f>
        <v>George Mason</v>
      </c>
      <c r="C119" s="1" t="str">
        <f>IFERROR(__xludf.DUMMYFUNCTION("""COMPUTED_VALUE"""),"0-2")</f>
        <v>0-2</v>
      </c>
      <c r="D119" s="1" t="str">
        <f>IFERROR(__xludf.DUMMYFUNCTION("""COMPUTED_VALUE"""),"0-2")</f>
        <v>0-2</v>
      </c>
      <c r="E119" s="2">
        <f>IFERROR(__xludf.DUMMYFUNCTION("""COMPUTED_VALUE"""),45658.0)</f>
        <v>45658</v>
      </c>
      <c r="F119" s="2">
        <f>IFERROR(__xludf.DUMMYFUNCTION("""COMPUTED_VALUE"""),45660.0)</f>
        <v>45660</v>
      </c>
      <c r="G119" s="2">
        <f>IFERROR(__xludf.DUMMYFUNCTION("""COMPUTED_VALUE"""),45658.0)</f>
        <v>45658</v>
      </c>
      <c r="H119" s="2">
        <f>IFERROR(__xludf.DUMMYFUNCTION("""COMPUTED_VALUE"""),45839.0)</f>
        <v>45839</v>
      </c>
    </row>
    <row r="120">
      <c r="A120" s="1">
        <f>IFERROR(__xludf.DUMMYFUNCTION("""COMPUTED_VALUE"""),117.0)</f>
        <v>117</v>
      </c>
      <c r="B120" s="1" t="str">
        <f>IFERROR(__xludf.DUMMYFUNCTION("""COMPUTED_VALUE"""),"Austin Peay")</f>
        <v>Austin Peay</v>
      </c>
      <c r="C120" s="1" t="str">
        <f>IFERROR(__xludf.DUMMYFUNCTION("""COMPUTED_VALUE"""),"0-2")</f>
        <v>0-2</v>
      </c>
      <c r="D120" s="1" t="str">
        <f>IFERROR(__xludf.DUMMYFUNCTION("""COMPUTED_VALUE"""),"0-2")</f>
        <v>0-2</v>
      </c>
      <c r="E120" s="2">
        <f>IFERROR(__xludf.DUMMYFUNCTION("""COMPUTED_VALUE"""),45658.0)</f>
        <v>45658</v>
      </c>
      <c r="F120" s="2">
        <f>IFERROR(__xludf.DUMMYFUNCTION("""COMPUTED_VALUE"""),45660.0)</f>
        <v>45660</v>
      </c>
      <c r="G120" s="2">
        <f>IFERROR(__xludf.DUMMYFUNCTION("""COMPUTED_VALUE"""),45661.0)</f>
        <v>45661</v>
      </c>
      <c r="H120" s="2">
        <f>IFERROR(__xludf.DUMMYFUNCTION("""COMPUTED_VALUE"""),45690.0)</f>
        <v>45690</v>
      </c>
    </row>
    <row r="121">
      <c r="A121" s="1">
        <f>IFERROR(__xludf.DUMMYFUNCTION("""COMPUTED_VALUE"""),118.0)</f>
        <v>118</v>
      </c>
      <c r="B121" s="1" t="str">
        <f>IFERROR(__xludf.DUMMYFUNCTION("""COMPUTED_VALUE"""),"Texas 10")</f>
        <v>Texas 10</v>
      </c>
      <c r="C121" s="1" t="str">
        <f>IFERROR(__xludf.DUMMYFUNCTION("""COMPUTED_VALUE"""),"0-1")</f>
        <v>0-1</v>
      </c>
      <c r="D121" s="1" t="str">
        <f>IFERROR(__xludf.DUMMYFUNCTION("""COMPUTED_VALUE"""),"0-3")</f>
        <v>0-3</v>
      </c>
      <c r="E121" s="1" t="str">
        <f>IFERROR(__xludf.DUMMYFUNCTION("""COMPUTED_VALUE"""),"1-0")</f>
        <v>1-0</v>
      </c>
      <c r="F121" s="2">
        <f>IFERROR(__xludf.DUMMYFUNCTION("""COMPUTED_VALUE"""),45660.0)</f>
        <v>45660</v>
      </c>
      <c r="G121" s="1" t="str">
        <f>IFERROR(__xludf.DUMMYFUNCTION("""COMPUTED_VALUE"""),"2-0")</f>
        <v>2-0</v>
      </c>
      <c r="H121" s="1" t="str">
        <f>IFERROR(__xludf.DUMMYFUNCTION("""COMPUTED_VALUE"""),"8-0")</f>
        <v>8-0</v>
      </c>
    </row>
    <row r="122">
      <c r="A122" s="1">
        <f>IFERROR(__xludf.DUMMYFUNCTION("""COMPUTED_VALUE"""),119.0)</f>
        <v>119</v>
      </c>
      <c r="B122" s="1" t="str">
        <f>IFERROR(__xludf.DUMMYFUNCTION("""COMPUTED_VALUE"""),"Boston College")</f>
        <v>Boston College</v>
      </c>
      <c r="C122" s="1" t="str">
        <f>IFERROR(__xludf.DUMMYFUNCTION("""COMPUTED_VALUE"""),"0-0")</f>
        <v>0-0</v>
      </c>
      <c r="D122" s="1" t="str">
        <f>IFERROR(__xludf.DUMMYFUNCTION("""COMPUTED_VALUE"""),"0-0")</f>
        <v>0-0</v>
      </c>
      <c r="E122" s="2">
        <f>IFERROR(__xludf.DUMMYFUNCTION("""COMPUTED_VALUE"""),45660.0)</f>
        <v>45660</v>
      </c>
      <c r="F122" s="2">
        <f>IFERROR(__xludf.DUMMYFUNCTION("""COMPUTED_VALUE"""),45660.0)</f>
        <v>45660</v>
      </c>
      <c r="G122" s="2">
        <f>IFERROR(__xludf.DUMMYFUNCTION("""COMPUTED_VALUE"""),45659.0)</f>
        <v>45659</v>
      </c>
      <c r="H122" s="2">
        <f>IFERROR(__xludf.DUMMYFUNCTION("""COMPUTED_VALUE"""),45839.0)</f>
        <v>45839</v>
      </c>
    </row>
    <row r="123">
      <c r="A123" s="1">
        <f>IFERROR(__xludf.DUMMYFUNCTION("""COMPUTED_VALUE"""),120.0)</f>
        <v>120</v>
      </c>
      <c r="B123" s="1" t="str">
        <f>IFERROR(__xludf.DUMMYFUNCTION("""COMPUTED_VALUE"""),"Nebraska Omaha")</f>
        <v>Nebraska Omaha</v>
      </c>
      <c r="C123" s="1" t="str">
        <f>IFERROR(__xludf.DUMMYFUNCTION("""COMPUTED_VALUE"""),"0-1")</f>
        <v>0-1</v>
      </c>
      <c r="D123" s="1" t="str">
        <f>IFERROR(__xludf.DUMMYFUNCTION("""COMPUTED_VALUE"""),"0-1")</f>
        <v>0-1</v>
      </c>
      <c r="E123" s="2">
        <f>IFERROR(__xludf.DUMMYFUNCTION("""COMPUTED_VALUE"""),45659.0)</f>
        <v>45659</v>
      </c>
      <c r="F123" s="2">
        <f>IFERROR(__xludf.DUMMYFUNCTION("""COMPUTED_VALUE"""),45660.0)</f>
        <v>45660</v>
      </c>
      <c r="G123" s="2">
        <f>IFERROR(__xludf.DUMMYFUNCTION("""COMPUTED_VALUE"""),45660.0)</f>
        <v>45660</v>
      </c>
      <c r="H123" s="2">
        <f>IFERROR(__xludf.DUMMYFUNCTION("""COMPUTED_VALUE"""),45750.0)</f>
        <v>45750</v>
      </c>
    </row>
    <row r="124">
      <c r="A124" s="1">
        <f>IFERROR(__xludf.DUMMYFUNCTION("""COMPUTED_VALUE"""),121.0)</f>
        <v>121</v>
      </c>
      <c r="B124" s="1" t="str">
        <f>IFERROR(__xludf.DUMMYFUNCTION("""COMPUTED_VALUE"""),"Davidson")</f>
        <v>Davidson</v>
      </c>
      <c r="C124" s="1" t="str">
        <f>IFERROR(__xludf.DUMMYFUNCTION("""COMPUTED_VALUE"""),"0-2")</f>
        <v>0-2</v>
      </c>
      <c r="D124" s="1" t="str">
        <f>IFERROR(__xludf.DUMMYFUNCTION("""COMPUTED_VALUE"""),"0-2")</f>
        <v>0-2</v>
      </c>
      <c r="E124" s="2">
        <f>IFERROR(__xludf.DUMMYFUNCTION("""COMPUTED_VALUE"""),45659.0)</f>
        <v>45659</v>
      </c>
      <c r="F124" s="2">
        <f>IFERROR(__xludf.DUMMYFUNCTION("""COMPUTED_VALUE"""),45661.0)</f>
        <v>45661</v>
      </c>
      <c r="G124" s="1" t="str">
        <f>IFERROR(__xludf.DUMMYFUNCTION("""COMPUTED_VALUE"""),"1-0")</f>
        <v>1-0</v>
      </c>
      <c r="H124" s="1" t="str">
        <f>IFERROR(__xludf.DUMMYFUNCTION("""COMPUTED_VALUE"""),"8-0")</f>
        <v>8-0</v>
      </c>
    </row>
    <row r="125">
      <c r="A125" s="1">
        <f>IFERROR(__xludf.DUMMYFUNCTION("""COMPUTED_VALUE"""),122.0)</f>
        <v>122</v>
      </c>
      <c r="B125" s="1" t="str">
        <f>IFERROR(__xludf.DUMMYFUNCTION("""COMPUTED_VALUE"""),"South Dakota St.")</f>
        <v>South Dakota St.</v>
      </c>
      <c r="C125" s="1" t="str">
        <f>IFERROR(__xludf.DUMMYFUNCTION("""COMPUTED_VALUE"""),"0-1")</f>
        <v>0-1</v>
      </c>
      <c r="D125" s="1" t="str">
        <f>IFERROR(__xludf.DUMMYFUNCTION("""COMPUTED_VALUE"""),"0-2")</f>
        <v>0-2</v>
      </c>
      <c r="E125" s="2">
        <f>IFERROR(__xludf.DUMMYFUNCTION("""COMPUTED_VALUE"""),45659.0)</f>
        <v>45659</v>
      </c>
      <c r="F125" s="2">
        <f>IFERROR(__xludf.DUMMYFUNCTION("""COMPUTED_VALUE"""),45661.0)</f>
        <v>45661</v>
      </c>
      <c r="G125" s="2">
        <f>IFERROR(__xludf.DUMMYFUNCTION("""COMPUTED_VALUE"""),45659.0)</f>
        <v>45659</v>
      </c>
      <c r="H125" s="1" t="str">
        <f>IFERROR(__xludf.DUMMYFUNCTION("""COMPUTED_VALUE"""),"5-0")</f>
        <v>5-0</v>
      </c>
    </row>
    <row r="126">
      <c r="A126" s="1">
        <f>IFERROR(__xludf.DUMMYFUNCTION("""COMPUTED_VALUE"""),123.0)</f>
        <v>123</v>
      </c>
      <c r="B126" s="1" t="str">
        <f>IFERROR(__xludf.DUMMYFUNCTION("""COMPUTED_VALUE"""),"Wyoming")</f>
        <v>Wyoming</v>
      </c>
      <c r="C126" s="1" t="str">
        <f>IFERROR(__xludf.DUMMYFUNCTION("""COMPUTED_VALUE"""),"0-2")</f>
        <v>0-2</v>
      </c>
      <c r="D126" s="1" t="str">
        <f>IFERROR(__xludf.DUMMYFUNCTION("""COMPUTED_VALUE"""),"0-3")</f>
        <v>0-3</v>
      </c>
      <c r="E126" s="2">
        <f>IFERROR(__xludf.DUMMYFUNCTION("""COMPUTED_VALUE"""),45658.0)</f>
        <v>45658</v>
      </c>
      <c r="F126" s="2">
        <f>IFERROR(__xludf.DUMMYFUNCTION("""COMPUTED_VALUE"""),45661.0)</f>
        <v>45661</v>
      </c>
      <c r="G126" s="2">
        <f>IFERROR(__xludf.DUMMYFUNCTION("""COMPUTED_VALUE"""),45659.0)</f>
        <v>45659</v>
      </c>
      <c r="H126" s="1" t="str">
        <f>IFERROR(__xludf.DUMMYFUNCTION("""COMPUTED_VALUE"""),"6-0")</f>
        <v>6-0</v>
      </c>
    </row>
    <row r="127">
      <c r="A127" s="1">
        <f>IFERROR(__xludf.DUMMYFUNCTION("""COMPUTED_VALUE"""),124.0)</f>
        <v>124</v>
      </c>
      <c r="B127" s="1" t="str">
        <f>IFERROR(__xludf.DUMMYFUNCTION("""COMPUTED_VALUE"""),"Colorado")</f>
        <v>Colorado</v>
      </c>
      <c r="C127" s="2">
        <f>IFERROR(__xludf.DUMMYFUNCTION("""COMPUTED_VALUE"""),45660.0)</f>
        <v>45660</v>
      </c>
      <c r="D127" s="2">
        <f>IFERROR(__xludf.DUMMYFUNCTION("""COMPUTED_VALUE"""),45661.0)</f>
        <v>45661</v>
      </c>
      <c r="E127" s="1" t="str">
        <f>IFERROR(__xludf.DUMMYFUNCTION("""COMPUTED_VALUE"""),"0-0")</f>
        <v>0-0</v>
      </c>
      <c r="F127" s="2">
        <f>IFERROR(__xludf.DUMMYFUNCTION("""COMPUTED_VALUE"""),45661.0)</f>
        <v>45661</v>
      </c>
      <c r="G127" s="1" t="str">
        <f>IFERROR(__xludf.DUMMYFUNCTION("""COMPUTED_VALUE"""),"3-0")</f>
        <v>3-0</v>
      </c>
      <c r="H127" s="1" t="str">
        <f>IFERROR(__xludf.DUMMYFUNCTION("""COMPUTED_VALUE"""),"5-0")</f>
        <v>5-0</v>
      </c>
    </row>
    <row r="128">
      <c r="A128" s="1">
        <f>IFERROR(__xludf.DUMMYFUNCTION("""COMPUTED_VALUE"""),125.0)</f>
        <v>125</v>
      </c>
      <c r="B128" s="1" t="str">
        <f>IFERROR(__xludf.DUMMYFUNCTION("""COMPUTED_VALUE"""),"USC")</f>
        <v>USC</v>
      </c>
      <c r="C128" s="1" t="str">
        <f>IFERROR(__xludf.DUMMYFUNCTION("""COMPUTED_VALUE"""),"0-1")</f>
        <v>0-1</v>
      </c>
      <c r="D128" s="1" t="str">
        <f>IFERROR(__xludf.DUMMYFUNCTION("""COMPUTED_VALUE"""),"0-3")</f>
        <v>0-3</v>
      </c>
      <c r="E128" s="2">
        <f>IFERROR(__xludf.DUMMYFUNCTION("""COMPUTED_VALUE"""),45658.0)</f>
        <v>45658</v>
      </c>
      <c r="F128" s="2">
        <f>IFERROR(__xludf.DUMMYFUNCTION("""COMPUTED_VALUE"""),45661.0)</f>
        <v>45661</v>
      </c>
      <c r="G128" s="2">
        <f>IFERROR(__xludf.DUMMYFUNCTION("""COMPUTED_VALUE"""),45658.0)</f>
        <v>45658</v>
      </c>
      <c r="H128" s="1" t="str">
        <f>IFERROR(__xludf.DUMMYFUNCTION("""COMPUTED_VALUE"""),"7-0")</f>
        <v>7-0</v>
      </c>
    </row>
    <row r="129">
      <c r="A129" s="1">
        <f>IFERROR(__xludf.DUMMYFUNCTION("""COMPUTED_VALUE"""),126.0)</f>
        <v>126</v>
      </c>
      <c r="B129" s="1" t="str">
        <f>IFERROR(__xludf.DUMMYFUNCTION("""COMPUTED_VALUE"""),"North Florida")</f>
        <v>North Florida</v>
      </c>
      <c r="C129" s="1" t="str">
        <f>IFERROR(__xludf.DUMMYFUNCTION("""COMPUTED_VALUE"""),"0-3")</f>
        <v>0-3</v>
      </c>
      <c r="D129" s="1" t="str">
        <f>IFERROR(__xludf.DUMMYFUNCTION("""COMPUTED_VALUE"""),"0-3")</f>
        <v>0-3</v>
      </c>
      <c r="E129" s="2">
        <f>IFERROR(__xludf.DUMMYFUNCTION("""COMPUTED_VALUE"""),45658.0)</f>
        <v>45658</v>
      </c>
      <c r="F129" s="2">
        <f>IFERROR(__xludf.DUMMYFUNCTION("""COMPUTED_VALUE"""),45661.0)</f>
        <v>45661</v>
      </c>
      <c r="G129" s="2">
        <f>IFERROR(__xludf.DUMMYFUNCTION("""COMPUTED_VALUE"""),45689.0)</f>
        <v>45689</v>
      </c>
      <c r="H129" s="2">
        <f>IFERROR(__xludf.DUMMYFUNCTION("""COMPUTED_VALUE"""),45691.0)</f>
        <v>45691</v>
      </c>
    </row>
    <row r="130">
      <c r="A130" s="1">
        <f>IFERROR(__xludf.DUMMYFUNCTION("""COMPUTED_VALUE"""),127.0)</f>
        <v>127</v>
      </c>
      <c r="B130" s="1" t="str">
        <f>IFERROR(__xludf.DUMMYFUNCTION("""COMPUTED_VALUE"""),"Wake Forest")</f>
        <v>Wake Forest</v>
      </c>
      <c r="C130" s="2">
        <f>IFERROR(__xludf.DUMMYFUNCTION("""COMPUTED_VALUE"""),45660.0)</f>
        <v>45660</v>
      </c>
      <c r="D130" s="2">
        <f>IFERROR(__xludf.DUMMYFUNCTION("""COMPUTED_VALUE"""),45661.0)</f>
        <v>45661</v>
      </c>
      <c r="E130" s="1" t="str">
        <f>IFERROR(__xludf.DUMMYFUNCTION("""COMPUTED_VALUE"""),"0-0")</f>
        <v>0-0</v>
      </c>
      <c r="F130" s="2">
        <f>IFERROR(__xludf.DUMMYFUNCTION("""COMPUTED_VALUE"""),45661.0)</f>
        <v>45661</v>
      </c>
      <c r="G130" s="1" t="str">
        <f>IFERROR(__xludf.DUMMYFUNCTION("""COMPUTED_VALUE"""),"4-0")</f>
        <v>4-0</v>
      </c>
      <c r="H130" s="1" t="str">
        <f>IFERROR(__xludf.DUMMYFUNCTION("""COMPUTED_VALUE"""),"6-0")</f>
        <v>6-0</v>
      </c>
    </row>
    <row r="131">
      <c r="A131" s="1">
        <f>IFERROR(__xludf.DUMMYFUNCTION("""COMPUTED_VALUE"""),128.0)</f>
        <v>128</v>
      </c>
      <c r="B131" s="1" t="str">
        <f>IFERROR(__xludf.DUMMYFUNCTION("""COMPUTED_VALUE"""),"Middle Tennessee")</f>
        <v>Middle Tennessee</v>
      </c>
      <c r="C131" s="1" t="str">
        <f>IFERROR(__xludf.DUMMYFUNCTION("""COMPUTED_VALUE"""),"0-1")</f>
        <v>0-1</v>
      </c>
      <c r="D131" s="1" t="str">
        <f>IFERROR(__xludf.DUMMYFUNCTION("""COMPUTED_VALUE"""),"0-2")</f>
        <v>0-2</v>
      </c>
      <c r="E131" s="2">
        <f>IFERROR(__xludf.DUMMYFUNCTION("""COMPUTED_VALUE"""),45659.0)</f>
        <v>45659</v>
      </c>
      <c r="F131" s="2">
        <f>IFERROR(__xludf.DUMMYFUNCTION("""COMPUTED_VALUE"""),45661.0)</f>
        <v>45661</v>
      </c>
      <c r="G131" s="2">
        <f>IFERROR(__xludf.DUMMYFUNCTION("""COMPUTED_VALUE"""),45748.0)</f>
        <v>45748</v>
      </c>
      <c r="H131" s="1" t="str">
        <f>IFERROR(__xludf.DUMMYFUNCTION("""COMPUTED_VALUE"""),"3-0")</f>
        <v>3-0</v>
      </c>
    </row>
    <row r="132">
      <c r="A132" s="1">
        <f>IFERROR(__xludf.DUMMYFUNCTION("""COMPUTED_VALUE"""),129.0)</f>
        <v>129</v>
      </c>
      <c r="B132" s="1" t="str">
        <f>IFERROR(__xludf.DUMMYFUNCTION("""COMPUTED_VALUE"""),"UC Davis")</f>
        <v>UC Davis</v>
      </c>
      <c r="C132" s="1" t="str">
        <f>IFERROR(__xludf.DUMMYFUNCTION("""COMPUTED_VALUE"""),"0-0")</f>
        <v>0-0</v>
      </c>
      <c r="D132" s="1" t="str">
        <f>IFERROR(__xludf.DUMMYFUNCTION("""COMPUTED_VALUE"""),"0-1")</f>
        <v>0-1</v>
      </c>
      <c r="E132" s="2">
        <f>IFERROR(__xludf.DUMMYFUNCTION("""COMPUTED_VALUE"""),45660.0)</f>
        <v>45660</v>
      </c>
      <c r="F132" s="2">
        <f>IFERROR(__xludf.DUMMYFUNCTION("""COMPUTED_VALUE"""),45661.0)</f>
        <v>45661</v>
      </c>
      <c r="G132" s="2">
        <f>IFERROR(__xludf.DUMMYFUNCTION("""COMPUTED_VALUE"""),45660.0)</f>
        <v>45660</v>
      </c>
      <c r="H132" s="1" t="str">
        <f>IFERROR(__xludf.DUMMYFUNCTION("""COMPUTED_VALUE"""),"4-0")</f>
        <v>4-0</v>
      </c>
    </row>
    <row r="133">
      <c r="A133" s="1">
        <f>IFERROR(__xludf.DUMMYFUNCTION("""COMPUTED_VALUE"""),130.0)</f>
        <v>130</v>
      </c>
      <c r="B133" s="1" t="str">
        <f>IFERROR(__xludf.DUMMYFUNCTION("""COMPUTED_VALUE"""),"McNeese St. 13")</f>
        <v>McNeese St. 13</v>
      </c>
      <c r="C133" s="1" t="str">
        <f>IFERROR(__xludf.DUMMYFUNCTION("""COMPUTED_VALUE"""),"0-2")</f>
        <v>0-2</v>
      </c>
      <c r="D133" s="1" t="str">
        <f>IFERROR(__xludf.DUMMYFUNCTION("""COMPUTED_VALUE"""),"0-2")</f>
        <v>0-2</v>
      </c>
      <c r="E133" s="2">
        <f>IFERROR(__xludf.DUMMYFUNCTION("""COMPUTED_VALUE"""),45659.0)</f>
        <v>45659</v>
      </c>
      <c r="F133" s="2">
        <f>IFERROR(__xludf.DUMMYFUNCTION("""COMPUTED_VALUE"""),45661.0)</f>
        <v>45661</v>
      </c>
      <c r="G133" s="2">
        <f>IFERROR(__xludf.DUMMYFUNCTION("""COMPUTED_VALUE"""),45717.0)</f>
        <v>45717</v>
      </c>
      <c r="H133" s="1" t="str">
        <f>IFERROR(__xludf.DUMMYFUNCTION("""COMPUTED_VALUE"""),"4-0")</f>
        <v>4-0</v>
      </c>
    </row>
    <row r="134">
      <c r="A134" s="1">
        <f>IFERROR(__xludf.DUMMYFUNCTION("""COMPUTED_VALUE"""),131.0)</f>
        <v>131</v>
      </c>
      <c r="B134" s="1" t="str">
        <f>IFERROR(__xludf.DUMMYFUNCTION("""COMPUTED_VALUE"""),"Cal Poly")</f>
        <v>Cal Poly</v>
      </c>
      <c r="C134" s="1" t="str">
        <f>IFERROR(__xludf.DUMMYFUNCTION("""COMPUTED_VALUE"""),"0-0")</f>
        <v>0-0</v>
      </c>
      <c r="D134" s="1" t="str">
        <f>IFERROR(__xludf.DUMMYFUNCTION("""COMPUTED_VALUE"""),"0-3")</f>
        <v>0-3</v>
      </c>
      <c r="E134" s="2">
        <f>IFERROR(__xludf.DUMMYFUNCTION("""COMPUTED_VALUE"""),45659.0)</f>
        <v>45659</v>
      </c>
      <c r="F134" s="2">
        <f>IFERROR(__xludf.DUMMYFUNCTION("""COMPUTED_VALUE"""),45662.0)</f>
        <v>45662</v>
      </c>
      <c r="G134" s="2">
        <f>IFERROR(__xludf.DUMMYFUNCTION("""COMPUTED_VALUE"""),45661.0)</f>
        <v>45661</v>
      </c>
      <c r="H134" s="2">
        <f>IFERROR(__xludf.DUMMYFUNCTION("""COMPUTED_VALUE"""),45717.0)</f>
        <v>45717</v>
      </c>
    </row>
    <row r="135">
      <c r="A135" s="1">
        <f>IFERROR(__xludf.DUMMYFUNCTION("""COMPUTED_VALUE"""),132.0)</f>
        <v>132</v>
      </c>
      <c r="B135" s="1" t="str">
        <f>IFERROR(__xludf.DUMMYFUNCTION("""COMPUTED_VALUE"""),"Florida Gulf Coast")</f>
        <v>Florida Gulf Coast</v>
      </c>
      <c r="C135" s="1" t="str">
        <f>IFERROR(__xludf.DUMMYFUNCTION("""COMPUTED_VALUE"""),"0-0")</f>
        <v>0-0</v>
      </c>
      <c r="D135" s="1" t="str">
        <f>IFERROR(__xludf.DUMMYFUNCTION("""COMPUTED_VALUE"""),"0-1")</f>
        <v>0-1</v>
      </c>
      <c r="E135" s="2">
        <f>IFERROR(__xludf.DUMMYFUNCTION("""COMPUTED_VALUE"""),45661.0)</f>
        <v>45661</v>
      </c>
      <c r="F135" s="2">
        <f>IFERROR(__xludf.DUMMYFUNCTION("""COMPUTED_VALUE"""),45662.0)</f>
        <v>45662</v>
      </c>
      <c r="G135" s="1" t="str">
        <f>IFERROR(__xludf.DUMMYFUNCTION("""COMPUTED_VALUE"""),"0-2")</f>
        <v>0-2</v>
      </c>
      <c r="H135" s="2">
        <f>IFERROR(__xludf.DUMMYFUNCTION("""COMPUTED_VALUE"""),45749.0)</f>
        <v>45749</v>
      </c>
    </row>
    <row r="136">
      <c r="A136" s="1">
        <f>IFERROR(__xludf.DUMMYFUNCTION("""COMPUTED_VALUE"""),133.0)</f>
        <v>133</v>
      </c>
      <c r="B136" s="1" t="str">
        <f>IFERROR(__xludf.DUMMYFUNCTION("""COMPUTED_VALUE"""),"Kansas St.")</f>
        <v>Kansas St.</v>
      </c>
      <c r="C136" s="1" t="str">
        <f>IFERROR(__xludf.DUMMYFUNCTION("""COMPUTED_VALUE"""),"0-1")</f>
        <v>0-1</v>
      </c>
      <c r="D136" s="2">
        <f>IFERROR(__xludf.DUMMYFUNCTION("""COMPUTED_VALUE"""),45658.0)</f>
        <v>45658</v>
      </c>
      <c r="E136" s="1" t="str">
        <f>IFERROR(__xludf.DUMMYFUNCTION("""COMPUTED_VALUE"""),"0-4")</f>
        <v>0-4</v>
      </c>
      <c r="F136" s="2">
        <f>IFERROR(__xludf.DUMMYFUNCTION("""COMPUTED_VALUE"""),45662.0)</f>
        <v>45662</v>
      </c>
      <c r="G136" s="2">
        <f>IFERROR(__xludf.DUMMYFUNCTION("""COMPUTED_VALUE"""),45689.0)</f>
        <v>45689</v>
      </c>
      <c r="H136" s="1" t="str">
        <f>IFERROR(__xludf.DUMMYFUNCTION("""COMPUTED_VALUE"""),"4-0")</f>
        <v>4-0</v>
      </c>
    </row>
    <row r="137">
      <c r="A137" s="1">
        <f>IFERROR(__xludf.DUMMYFUNCTION("""COMPUTED_VALUE"""),134.0)</f>
        <v>134</v>
      </c>
      <c r="B137" s="1" t="str">
        <f>IFERROR(__xludf.DUMMYFUNCTION("""COMPUTED_VALUE"""),"Notre Dame")</f>
        <v>Notre Dame</v>
      </c>
      <c r="C137" s="1" t="str">
        <f>IFERROR(__xludf.DUMMYFUNCTION("""COMPUTED_VALUE"""),"0-2")</f>
        <v>0-2</v>
      </c>
      <c r="D137" s="2">
        <f>IFERROR(__xludf.DUMMYFUNCTION("""COMPUTED_VALUE"""),45659.0)</f>
        <v>45659</v>
      </c>
      <c r="E137" s="1" t="str">
        <f>IFERROR(__xludf.DUMMYFUNCTION("""COMPUTED_VALUE"""),"0-3")</f>
        <v>0-3</v>
      </c>
      <c r="F137" s="2">
        <f>IFERROR(__xludf.DUMMYFUNCTION("""COMPUTED_VALUE"""),45662.0)</f>
        <v>45662</v>
      </c>
      <c r="G137" s="1" t="str">
        <f>IFERROR(__xludf.DUMMYFUNCTION("""COMPUTED_VALUE"""),"0-2")</f>
        <v>0-2</v>
      </c>
      <c r="H137" s="1" t="str">
        <f>IFERROR(__xludf.DUMMYFUNCTION("""COMPUTED_VALUE"""),"6-0")</f>
        <v>6-0</v>
      </c>
    </row>
    <row r="138">
      <c r="A138" s="1">
        <f>IFERROR(__xludf.DUMMYFUNCTION("""COMPUTED_VALUE"""),135.0)</f>
        <v>135</v>
      </c>
      <c r="B138" s="1" t="str">
        <f>IFERROR(__xludf.DUMMYFUNCTION("""COMPUTED_VALUE"""),"Northern Iowa")</f>
        <v>Northern Iowa</v>
      </c>
      <c r="C138" s="1" t="str">
        <f>IFERROR(__xludf.DUMMYFUNCTION("""COMPUTED_VALUE"""),"0-0")</f>
        <v>0-0</v>
      </c>
      <c r="D138" s="1" t="str">
        <f>IFERROR(__xludf.DUMMYFUNCTION("""COMPUTED_VALUE"""),"0-0")</f>
        <v>0-0</v>
      </c>
      <c r="E138" s="2">
        <f>IFERROR(__xludf.DUMMYFUNCTION("""COMPUTED_VALUE"""),45662.0)</f>
        <v>45662</v>
      </c>
      <c r="F138" s="2">
        <f>IFERROR(__xludf.DUMMYFUNCTION("""COMPUTED_VALUE"""),45662.0)</f>
        <v>45662</v>
      </c>
      <c r="G138" s="2">
        <f>IFERROR(__xludf.DUMMYFUNCTION("""COMPUTED_VALUE"""),45717.0)</f>
        <v>45717</v>
      </c>
      <c r="H138" s="1" t="str">
        <f>IFERROR(__xludf.DUMMYFUNCTION("""COMPUTED_VALUE"""),"4-0")</f>
        <v>4-0</v>
      </c>
    </row>
    <row r="139">
      <c r="A139" s="1">
        <f>IFERROR(__xludf.DUMMYFUNCTION("""COMPUTED_VALUE"""),136.0)</f>
        <v>136</v>
      </c>
      <c r="B139" s="1" t="str">
        <f>IFERROR(__xludf.DUMMYFUNCTION("""COMPUTED_VALUE"""),"Seton Hall")</f>
        <v>Seton Hall</v>
      </c>
      <c r="C139" s="1" t="str">
        <f>IFERROR(__xludf.DUMMYFUNCTION("""COMPUTED_VALUE"""),"0-0")</f>
        <v>0-0</v>
      </c>
      <c r="D139" s="1" t="str">
        <f>IFERROR(__xludf.DUMMYFUNCTION("""COMPUTED_VALUE"""),"0-3")</f>
        <v>0-3</v>
      </c>
      <c r="E139" s="2">
        <f>IFERROR(__xludf.DUMMYFUNCTION("""COMPUTED_VALUE"""),45659.0)</f>
        <v>45659</v>
      </c>
      <c r="F139" s="2">
        <f>IFERROR(__xludf.DUMMYFUNCTION("""COMPUTED_VALUE"""),45662.0)</f>
        <v>45662</v>
      </c>
      <c r="G139" s="2">
        <f>IFERROR(__xludf.DUMMYFUNCTION("""COMPUTED_VALUE"""),45659.0)</f>
        <v>45659</v>
      </c>
      <c r="H139" s="2">
        <f>IFERROR(__xludf.DUMMYFUNCTION("""COMPUTED_VALUE"""),45718.0)</f>
        <v>45718</v>
      </c>
    </row>
    <row r="140">
      <c r="A140" s="1">
        <f>IFERROR(__xludf.DUMMYFUNCTION("""COMPUTED_VALUE"""),137.0)</f>
        <v>137</v>
      </c>
      <c r="B140" s="1" t="str">
        <f>IFERROR(__xludf.DUMMYFUNCTION("""COMPUTED_VALUE"""),"California")</f>
        <v>California</v>
      </c>
      <c r="C140" s="1" t="str">
        <f>IFERROR(__xludf.DUMMYFUNCTION("""COMPUTED_VALUE"""),"0-3")</f>
        <v>0-3</v>
      </c>
      <c r="D140" s="1" t="str">
        <f>IFERROR(__xludf.DUMMYFUNCTION("""COMPUTED_VALUE"""),"0-5")</f>
        <v>0-5</v>
      </c>
      <c r="E140" s="1" t="str">
        <f>IFERROR(__xludf.DUMMYFUNCTION("""COMPUTED_VALUE"""),"1-0")</f>
        <v>1-0</v>
      </c>
      <c r="F140" s="2">
        <f>IFERROR(__xludf.DUMMYFUNCTION("""COMPUTED_VALUE"""),45662.0)</f>
        <v>45662</v>
      </c>
      <c r="G140" s="1" t="str">
        <f>IFERROR(__xludf.DUMMYFUNCTION("""COMPUTED_VALUE"""),"0-2")</f>
        <v>0-2</v>
      </c>
      <c r="H140" s="1" t="str">
        <f>IFERROR(__xludf.DUMMYFUNCTION("""COMPUTED_VALUE"""),"6-0")</f>
        <v>6-0</v>
      </c>
    </row>
    <row r="141">
      <c r="A141" s="1">
        <f>IFERROR(__xludf.DUMMYFUNCTION("""COMPUTED_VALUE"""),138.0)</f>
        <v>138</v>
      </c>
      <c r="B141" s="1" t="str">
        <f>IFERROR(__xludf.DUMMYFUNCTION("""COMPUTED_VALUE"""),"Florida Atlantic")</f>
        <v>Florida Atlantic</v>
      </c>
      <c r="C141" s="1" t="str">
        <f>IFERROR(__xludf.DUMMYFUNCTION("""COMPUTED_VALUE"""),"0-1")</f>
        <v>0-1</v>
      </c>
      <c r="D141" s="1" t="str">
        <f>IFERROR(__xludf.DUMMYFUNCTION("""COMPUTED_VALUE"""),"0-1")</f>
        <v>0-1</v>
      </c>
      <c r="E141" s="2">
        <f>IFERROR(__xludf.DUMMYFUNCTION("""COMPUTED_VALUE"""),45661.0)</f>
        <v>45661</v>
      </c>
      <c r="F141" s="2">
        <f>IFERROR(__xludf.DUMMYFUNCTION("""COMPUTED_VALUE"""),45662.0)</f>
        <v>45662</v>
      </c>
      <c r="G141" s="2">
        <f>IFERROR(__xludf.DUMMYFUNCTION("""COMPUTED_VALUE"""),45748.0)</f>
        <v>45748</v>
      </c>
      <c r="H141" s="2">
        <f>IFERROR(__xludf.DUMMYFUNCTION("""COMPUTED_VALUE"""),45689.0)</f>
        <v>45689</v>
      </c>
    </row>
    <row r="142">
      <c r="A142" s="1">
        <f>IFERROR(__xludf.DUMMYFUNCTION("""COMPUTED_VALUE"""),139.0)</f>
        <v>139</v>
      </c>
      <c r="B142" s="1" t="str">
        <f>IFERROR(__xludf.DUMMYFUNCTION("""COMPUTED_VALUE"""),"Arizona N4O")</f>
        <v>Arizona N4O</v>
      </c>
      <c r="C142" s="2">
        <f>IFERROR(__xludf.DUMMYFUNCTION("""COMPUTED_VALUE"""),45660.0)</f>
        <v>45660</v>
      </c>
      <c r="D142" s="2">
        <f>IFERROR(__xludf.DUMMYFUNCTION("""COMPUTED_VALUE"""),45662.0)</f>
        <v>45662</v>
      </c>
      <c r="E142" s="1" t="str">
        <f>IFERROR(__xludf.DUMMYFUNCTION("""COMPUTED_VALUE"""),"0-0")</f>
        <v>0-0</v>
      </c>
      <c r="F142" s="2">
        <f>IFERROR(__xludf.DUMMYFUNCTION("""COMPUTED_VALUE"""),45662.0)</f>
        <v>45662</v>
      </c>
      <c r="G142" s="1" t="str">
        <f>IFERROR(__xludf.DUMMYFUNCTION("""COMPUTED_VALUE"""),"3-0")</f>
        <v>3-0</v>
      </c>
      <c r="H142" s="1" t="str">
        <f>IFERROR(__xludf.DUMMYFUNCTION("""COMPUTED_VALUE"""),"4-0")</f>
        <v>4-0</v>
      </c>
    </row>
    <row r="143">
      <c r="A143" s="1">
        <f>IFERROR(__xludf.DUMMYFUNCTION("""COMPUTED_VALUE"""),140.0)</f>
        <v>140</v>
      </c>
      <c r="B143" s="1" t="str">
        <f>IFERROR(__xludf.DUMMYFUNCTION("""COMPUTED_VALUE"""),"Merrimack 16")</f>
        <v>Merrimack 16</v>
      </c>
      <c r="C143" s="1" t="str">
        <f>IFERROR(__xludf.DUMMYFUNCTION("""COMPUTED_VALUE"""),"0-0")</f>
        <v>0-0</v>
      </c>
      <c r="D143" s="1" t="str">
        <f>IFERROR(__xludf.DUMMYFUNCTION("""COMPUTED_VALUE"""),"0-2")</f>
        <v>0-2</v>
      </c>
      <c r="E143" s="2">
        <f>IFERROR(__xludf.DUMMYFUNCTION("""COMPUTED_VALUE"""),45660.0)</f>
        <v>45660</v>
      </c>
      <c r="F143" s="2">
        <f>IFERROR(__xludf.DUMMYFUNCTION("""COMPUTED_VALUE"""),45662.0)</f>
        <v>45662</v>
      </c>
      <c r="G143" s="1" t="str">
        <f>IFERROR(__xludf.DUMMYFUNCTION("""COMPUTED_VALUE"""),"0-2")</f>
        <v>0-2</v>
      </c>
      <c r="H143" s="2">
        <f>IFERROR(__xludf.DUMMYFUNCTION("""COMPUTED_VALUE"""),45778.0)</f>
        <v>45778</v>
      </c>
    </row>
    <row r="144">
      <c r="A144" s="1">
        <f>IFERROR(__xludf.DUMMYFUNCTION("""COMPUTED_VALUE"""),141.0)</f>
        <v>141</v>
      </c>
      <c r="B144" s="1" t="str">
        <f>IFERROR(__xludf.DUMMYFUNCTION("""COMPUTED_VALUE"""),"Northwestern")</f>
        <v>Northwestern</v>
      </c>
      <c r="C144" s="2">
        <f>IFERROR(__xludf.DUMMYFUNCTION("""COMPUTED_VALUE"""),45658.0)</f>
        <v>45658</v>
      </c>
      <c r="D144" s="2">
        <f>IFERROR(__xludf.DUMMYFUNCTION("""COMPUTED_VALUE"""),45661.0)</f>
        <v>45661</v>
      </c>
      <c r="E144" s="1" t="str">
        <f>IFERROR(__xludf.DUMMYFUNCTION("""COMPUTED_VALUE"""),"0-1")</f>
        <v>0-1</v>
      </c>
      <c r="F144" s="2">
        <f>IFERROR(__xludf.DUMMYFUNCTION("""COMPUTED_VALUE"""),45662.0)</f>
        <v>45662</v>
      </c>
      <c r="G144" s="1" t="str">
        <f>IFERROR(__xludf.DUMMYFUNCTION("""COMPUTED_VALUE"""),"4-0")</f>
        <v>4-0</v>
      </c>
      <c r="H144" s="1" t="str">
        <f>IFERROR(__xludf.DUMMYFUNCTION("""COMPUTED_VALUE"""),"5-0")</f>
        <v>5-0</v>
      </c>
    </row>
    <row r="145">
      <c r="A145" s="1">
        <f>IFERROR(__xludf.DUMMYFUNCTION("""COMPUTED_VALUE"""),142.0)</f>
        <v>142</v>
      </c>
      <c r="B145" s="1" t="str">
        <f>IFERROR(__xludf.DUMMYFUNCTION("""COMPUTED_VALUE"""),"Virginia")</f>
        <v>Virginia</v>
      </c>
      <c r="C145" s="1" t="str">
        <f>IFERROR(__xludf.DUMMYFUNCTION("""COMPUTED_VALUE"""),"0-2")</f>
        <v>0-2</v>
      </c>
      <c r="D145" s="2">
        <f>IFERROR(__xludf.DUMMYFUNCTION("""COMPUTED_VALUE"""),45661.0)</f>
        <v>45661</v>
      </c>
      <c r="E145" s="1" t="str">
        <f>IFERROR(__xludf.DUMMYFUNCTION("""COMPUTED_VALUE"""),"0-2")</f>
        <v>0-2</v>
      </c>
      <c r="F145" s="2">
        <f>IFERROR(__xludf.DUMMYFUNCTION("""COMPUTED_VALUE"""),45663.0)</f>
        <v>45663</v>
      </c>
      <c r="G145" s="1" t="str">
        <f>IFERROR(__xludf.DUMMYFUNCTION("""COMPUTED_VALUE"""),"1-0")</f>
        <v>1-0</v>
      </c>
      <c r="H145" s="1" t="str">
        <f>IFERROR(__xludf.DUMMYFUNCTION("""COMPUTED_VALUE"""),"6-0")</f>
        <v>6-0</v>
      </c>
    </row>
    <row r="146">
      <c r="A146" s="1">
        <f>IFERROR(__xludf.DUMMYFUNCTION("""COMPUTED_VALUE"""),143.0)</f>
        <v>143</v>
      </c>
      <c r="B146" s="1" t="str">
        <f>IFERROR(__xludf.DUMMYFUNCTION("""COMPUTED_VALUE"""),"TCU")</f>
        <v>TCU</v>
      </c>
      <c r="C146" s="1" t="str">
        <f>IFERROR(__xludf.DUMMYFUNCTION("""COMPUTED_VALUE"""),"0-3")</f>
        <v>0-3</v>
      </c>
      <c r="D146" s="1" t="str">
        <f>IFERROR(__xludf.DUMMYFUNCTION("""COMPUTED_VALUE"""),"0-4")</f>
        <v>0-4</v>
      </c>
      <c r="E146" s="2">
        <f>IFERROR(__xludf.DUMMYFUNCTION("""COMPUTED_VALUE"""),45659.0)</f>
        <v>45659</v>
      </c>
      <c r="F146" s="2">
        <f>IFERROR(__xludf.DUMMYFUNCTION("""COMPUTED_VALUE"""),45663.0)</f>
        <v>45663</v>
      </c>
      <c r="G146" s="1" t="str">
        <f>IFERROR(__xludf.DUMMYFUNCTION("""COMPUTED_VALUE"""),"2-0")</f>
        <v>2-0</v>
      </c>
      <c r="H146" s="1" t="str">
        <f>IFERROR(__xludf.DUMMYFUNCTION("""COMPUTED_VALUE"""),"5-0")</f>
        <v>5-0</v>
      </c>
    </row>
    <row r="147">
      <c r="A147" s="1">
        <f>IFERROR(__xludf.DUMMYFUNCTION("""COMPUTED_VALUE"""),144.0)</f>
        <v>144</v>
      </c>
      <c r="B147" s="1" t="str">
        <f>IFERROR(__xludf.DUMMYFUNCTION("""COMPUTED_VALUE"""),"Xavier")</f>
        <v>Xavier</v>
      </c>
      <c r="C147" s="1" t="str">
        <f>IFERROR(__xludf.DUMMYFUNCTION("""COMPUTED_VALUE"""),"0-4")</f>
        <v>0-4</v>
      </c>
      <c r="D147" s="1" t="str">
        <f>IFERROR(__xludf.DUMMYFUNCTION("""COMPUTED_VALUE"""),"0-5")</f>
        <v>0-5</v>
      </c>
      <c r="E147" s="2">
        <f>IFERROR(__xludf.DUMMYFUNCTION("""COMPUTED_VALUE"""),45658.0)</f>
        <v>45658</v>
      </c>
      <c r="F147" s="2">
        <f>IFERROR(__xludf.DUMMYFUNCTION("""COMPUTED_VALUE"""),45663.0)</f>
        <v>45663</v>
      </c>
      <c r="G147" s="1" t="str">
        <f>IFERROR(__xludf.DUMMYFUNCTION("""COMPUTED_VALUE"""),"1-0")</f>
        <v>1-0</v>
      </c>
      <c r="H147" s="1" t="str">
        <f>IFERROR(__xludf.DUMMYFUNCTION("""COMPUTED_VALUE"""),"7-0")</f>
        <v>7-0</v>
      </c>
    </row>
    <row r="148">
      <c r="A148" s="1">
        <f>IFERROR(__xludf.DUMMYFUNCTION("""COMPUTED_VALUE"""),145.0)</f>
        <v>145</v>
      </c>
      <c r="B148" s="1" t="str">
        <f>IFERROR(__xludf.DUMMYFUNCTION("""COMPUTED_VALUE"""),"N.C. State")</f>
        <v>N.C. State</v>
      </c>
      <c r="C148" s="1" t="str">
        <f>IFERROR(__xludf.DUMMYFUNCTION("""COMPUTED_VALUE"""),"0-1")</f>
        <v>0-1</v>
      </c>
      <c r="D148" s="1" t="str">
        <f>IFERROR(__xludf.DUMMYFUNCTION("""COMPUTED_VALUE"""),"0-3")</f>
        <v>0-3</v>
      </c>
      <c r="E148" s="2">
        <f>IFERROR(__xludf.DUMMYFUNCTION("""COMPUTED_VALUE"""),45660.0)</f>
        <v>45660</v>
      </c>
      <c r="F148" s="2">
        <f>IFERROR(__xludf.DUMMYFUNCTION("""COMPUTED_VALUE"""),45663.0)</f>
        <v>45663</v>
      </c>
      <c r="G148" s="1" t="str">
        <f>IFERROR(__xludf.DUMMYFUNCTION("""COMPUTED_VALUE"""),"0-0")</f>
        <v>0-0</v>
      </c>
      <c r="H148" s="1" t="str">
        <f>IFERROR(__xludf.DUMMYFUNCTION("""COMPUTED_VALUE"""),"7-0")</f>
        <v>7-0</v>
      </c>
    </row>
    <row r="149">
      <c r="A149" s="1">
        <f>IFERROR(__xludf.DUMMYFUNCTION("""COMPUTED_VALUE"""),146.0)</f>
        <v>146</v>
      </c>
      <c r="B149" s="1" t="str">
        <f>IFERROR(__xludf.DUMMYFUNCTION("""COMPUTED_VALUE"""),"FIU")</f>
        <v>FIU</v>
      </c>
      <c r="C149" s="1" t="str">
        <f>IFERROR(__xludf.DUMMYFUNCTION("""COMPUTED_VALUE"""),"0-0")</f>
        <v>0-0</v>
      </c>
      <c r="D149" s="1" t="str">
        <f>IFERROR(__xludf.DUMMYFUNCTION("""COMPUTED_VALUE"""),"0-0")</f>
        <v>0-0</v>
      </c>
      <c r="E149" s="1" t="str">
        <f>IFERROR(__xludf.DUMMYFUNCTION("""COMPUTED_VALUE"""),"0-0")</f>
        <v>0-0</v>
      </c>
      <c r="F149" s="1" t="str">
        <f>IFERROR(__xludf.DUMMYFUNCTION("""COMPUTED_VALUE"""),"0-0")</f>
        <v>0-0</v>
      </c>
      <c r="G149" s="2">
        <f>IFERROR(__xludf.DUMMYFUNCTION("""COMPUTED_VALUE"""),45664.0)</f>
        <v>45664</v>
      </c>
      <c r="H149" s="2">
        <f>IFERROR(__xludf.DUMMYFUNCTION("""COMPUTED_VALUE"""),45748.0)</f>
        <v>45748</v>
      </c>
    </row>
    <row r="150">
      <c r="A150" s="1">
        <f>IFERROR(__xludf.DUMMYFUNCTION("""COMPUTED_VALUE"""),147.0)</f>
        <v>147</v>
      </c>
      <c r="B150" s="1" t="str">
        <f>IFERROR(__xludf.DUMMYFUNCTION("""COMPUTED_VALUE"""),"Marist")</f>
        <v>Marist</v>
      </c>
      <c r="C150" s="1" t="str">
        <f>IFERROR(__xludf.DUMMYFUNCTION("""COMPUTED_VALUE"""),"0-0")</f>
        <v>0-0</v>
      </c>
      <c r="D150" s="1" t="str">
        <f>IFERROR(__xludf.DUMMYFUNCTION("""COMPUTED_VALUE"""),"0-0")</f>
        <v>0-0</v>
      </c>
      <c r="E150" s="1" t="str">
        <f>IFERROR(__xludf.DUMMYFUNCTION("""COMPUTED_VALUE"""),"0-0")</f>
        <v>0-0</v>
      </c>
      <c r="F150" s="1" t="str">
        <f>IFERROR(__xludf.DUMMYFUNCTION("""COMPUTED_VALUE"""),"0-0")</f>
        <v>0-0</v>
      </c>
      <c r="G150" s="1" t="str">
        <f>IFERROR(__xludf.DUMMYFUNCTION("""COMPUTED_VALUE"""),"0-0")</f>
        <v>0-0</v>
      </c>
      <c r="H150" s="2">
        <f>IFERROR(__xludf.DUMMYFUNCTION("""COMPUTED_VALUE"""),45963.0)</f>
        <v>45963</v>
      </c>
    </row>
    <row r="151">
      <c r="A151" s="1">
        <f>IFERROR(__xludf.DUMMYFUNCTION("""COMPUTED_VALUE"""),148.0)</f>
        <v>148</v>
      </c>
      <c r="B151" s="1" t="str">
        <f>IFERROR(__xludf.DUMMYFUNCTION("""COMPUTED_VALUE"""),"Rhode Island")</f>
        <v>Rhode Island</v>
      </c>
      <c r="C151" s="1" t="str">
        <f>IFERROR(__xludf.DUMMYFUNCTION("""COMPUTED_VALUE"""),"0-0")</f>
        <v>0-0</v>
      </c>
      <c r="D151" s="1" t="str">
        <f>IFERROR(__xludf.DUMMYFUNCTION("""COMPUTED_VALUE"""),"0-0")</f>
        <v>0-0</v>
      </c>
      <c r="E151" s="1" t="str">
        <f>IFERROR(__xludf.DUMMYFUNCTION("""COMPUTED_VALUE"""),"0-0")</f>
        <v>0-0</v>
      </c>
      <c r="F151" s="1" t="str">
        <f>IFERROR(__xludf.DUMMYFUNCTION("""COMPUTED_VALUE"""),"0-0")</f>
        <v>0-0</v>
      </c>
      <c r="G151" s="2">
        <f>IFERROR(__xludf.DUMMYFUNCTION("""COMPUTED_VALUE"""),45840.0)</f>
        <v>45840</v>
      </c>
      <c r="H151" s="1" t="str">
        <f>IFERROR(__xludf.DUMMYFUNCTION("""COMPUTED_VALUE"""),"4-0")</f>
        <v>4-0</v>
      </c>
    </row>
    <row r="152">
      <c r="A152" s="1">
        <f>IFERROR(__xludf.DUMMYFUNCTION("""COMPUTED_VALUE"""),149.0)</f>
        <v>149</v>
      </c>
      <c r="B152" s="1" t="str">
        <f>IFERROR(__xludf.DUMMYFUNCTION("""COMPUTED_VALUE"""),"Saint Peter's")</f>
        <v>Saint Peter's</v>
      </c>
      <c r="C152" s="1" t="str">
        <f>IFERROR(__xludf.DUMMYFUNCTION("""COMPUTED_VALUE"""),"0-0")</f>
        <v>0-0</v>
      </c>
      <c r="D152" s="1" t="str">
        <f>IFERROR(__xludf.DUMMYFUNCTION("""COMPUTED_VALUE"""),"0-0")</f>
        <v>0-0</v>
      </c>
      <c r="E152" s="1" t="str">
        <f>IFERROR(__xludf.DUMMYFUNCTION("""COMPUTED_VALUE"""),"0-1")</f>
        <v>0-1</v>
      </c>
      <c r="F152" s="1" t="str">
        <f>IFERROR(__xludf.DUMMYFUNCTION("""COMPUTED_VALUE"""),"0-1")</f>
        <v>0-1</v>
      </c>
      <c r="G152" s="2">
        <f>IFERROR(__xludf.DUMMYFUNCTION("""COMPUTED_VALUE"""),45659.0)</f>
        <v>45659</v>
      </c>
      <c r="H152" s="2">
        <f>IFERROR(__xludf.DUMMYFUNCTION("""COMPUTED_VALUE"""),45719.0)</f>
        <v>45719</v>
      </c>
    </row>
    <row r="153">
      <c r="A153" s="1">
        <f>IFERROR(__xludf.DUMMYFUNCTION("""COMPUTED_VALUE"""),150.0)</f>
        <v>150</v>
      </c>
      <c r="B153" s="1" t="str">
        <f>IFERROR(__xludf.DUMMYFUNCTION("""COMPUTED_VALUE"""),"Louisiana Monroe")</f>
        <v>Louisiana Monroe</v>
      </c>
      <c r="C153" s="1" t="str">
        <f>IFERROR(__xludf.DUMMYFUNCTION("""COMPUTED_VALUE"""),"0-0")</f>
        <v>0-0</v>
      </c>
      <c r="D153" s="1" t="str">
        <f>IFERROR(__xludf.DUMMYFUNCTION("""COMPUTED_VALUE"""),"0-1")</f>
        <v>0-1</v>
      </c>
      <c r="E153" s="1" t="str">
        <f>IFERROR(__xludf.DUMMYFUNCTION("""COMPUTED_VALUE"""),"0-0")</f>
        <v>0-0</v>
      </c>
      <c r="F153" s="1" t="str">
        <f>IFERROR(__xludf.DUMMYFUNCTION("""COMPUTED_VALUE"""),"0-1")</f>
        <v>0-1</v>
      </c>
      <c r="G153" s="2">
        <f>IFERROR(__xludf.DUMMYFUNCTION("""COMPUTED_VALUE"""),45661.0)</f>
        <v>45661</v>
      </c>
      <c r="H153" s="2">
        <f>IFERROR(__xludf.DUMMYFUNCTION("""COMPUTED_VALUE"""),45664.0)</f>
        <v>45664</v>
      </c>
    </row>
    <row r="154">
      <c r="A154" s="1" t="str">
        <f>IFERROR(__xludf.DUMMYFUNCTION("""COMPUTED_VALUE"""),"Rk")</f>
        <v>Rk</v>
      </c>
      <c r="B154" s="1" t="str">
        <f>IFERROR(__xludf.DUMMYFUNCTION("""COMPUTED_VALUE"""),"Team")</f>
        <v>Team</v>
      </c>
      <c r="C154" s="1" t="str">
        <f>IFERROR(__xludf.DUMMYFUNCTION("""COMPUTED_VALUE"""),"Q1-A")</f>
        <v>Q1-A</v>
      </c>
      <c r="D154" s="1" t="str">
        <f>IFERROR(__xludf.DUMMYFUNCTION("""COMPUTED_VALUE"""),"Q1")</f>
        <v>Q1</v>
      </c>
      <c r="E154" s="1" t="str">
        <f>IFERROR(__xludf.DUMMYFUNCTION("""COMPUTED_VALUE"""),"Q2")</f>
        <v>Q2</v>
      </c>
      <c r="F154" s="1" t="str">
        <f>IFERROR(__xludf.DUMMYFUNCTION("""COMPUTED_VALUE"""),"Q1&amp;2")</f>
        <v>Q1&amp;2</v>
      </c>
      <c r="G154" s="1" t="str">
        <f>IFERROR(__xludf.DUMMYFUNCTION("""COMPUTED_VALUE"""),"Q3")</f>
        <v>Q3</v>
      </c>
      <c r="H154" s="1" t="str">
        <f>IFERROR(__xludf.DUMMYFUNCTION("""COMPUTED_VALUE"""),"Q4")</f>
        <v>Q4</v>
      </c>
    </row>
    <row r="155">
      <c r="A155" s="1">
        <f>IFERROR(__xludf.DUMMYFUNCTION("""COMPUTED_VALUE"""),151.0)</f>
        <v>151</v>
      </c>
      <c r="B155" s="1" t="str">
        <f>IFERROR(__xludf.DUMMYFUNCTION("""COMPUTED_VALUE"""),"Maine")</f>
        <v>Maine</v>
      </c>
      <c r="C155" s="1" t="str">
        <f>IFERROR(__xludf.DUMMYFUNCTION("""COMPUTED_VALUE"""),"0-1")</f>
        <v>0-1</v>
      </c>
      <c r="D155" s="1" t="str">
        <f>IFERROR(__xludf.DUMMYFUNCTION("""COMPUTED_VALUE"""),"0-1")</f>
        <v>0-1</v>
      </c>
      <c r="E155" s="1" t="str">
        <f>IFERROR(__xludf.DUMMYFUNCTION("""COMPUTED_VALUE"""),"0-0")</f>
        <v>0-0</v>
      </c>
      <c r="F155" s="1" t="str">
        <f>IFERROR(__xludf.DUMMYFUNCTION("""COMPUTED_VALUE"""),"0-1")</f>
        <v>0-1</v>
      </c>
      <c r="G155" s="2">
        <f>IFERROR(__xludf.DUMMYFUNCTION("""COMPUTED_VALUE"""),45718.0)</f>
        <v>45718</v>
      </c>
      <c r="H155" s="2">
        <f>IFERROR(__xludf.DUMMYFUNCTION("""COMPUTED_VALUE"""),45721.0)</f>
        <v>45721</v>
      </c>
    </row>
    <row r="156">
      <c r="A156" s="1">
        <f>IFERROR(__xludf.DUMMYFUNCTION("""COMPUTED_VALUE"""),152.0)</f>
        <v>152</v>
      </c>
      <c r="B156" s="1" t="str">
        <f>IFERROR(__xludf.DUMMYFUNCTION("""COMPUTED_VALUE"""),"Binghamton")</f>
        <v>Binghamton</v>
      </c>
      <c r="C156" s="1" t="str">
        <f>IFERROR(__xludf.DUMMYFUNCTION("""COMPUTED_VALUE"""),"0-0")</f>
        <v>0-0</v>
      </c>
      <c r="D156" s="1" t="str">
        <f>IFERROR(__xludf.DUMMYFUNCTION("""COMPUTED_VALUE"""),"0-1")</f>
        <v>0-1</v>
      </c>
      <c r="E156" s="1" t="str">
        <f>IFERROR(__xludf.DUMMYFUNCTION("""COMPUTED_VALUE"""),"0-0")</f>
        <v>0-0</v>
      </c>
      <c r="F156" s="1" t="str">
        <f>IFERROR(__xludf.DUMMYFUNCTION("""COMPUTED_VALUE"""),"0-1")</f>
        <v>0-1</v>
      </c>
      <c r="G156" s="1" t="str">
        <f>IFERROR(__xludf.DUMMYFUNCTION("""COMPUTED_VALUE"""),"0-3")</f>
        <v>0-3</v>
      </c>
      <c r="H156" s="2">
        <f>IFERROR(__xludf.DUMMYFUNCTION("""COMPUTED_VALUE"""),45811.0)</f>
        <v>45811</v>
      </c>
    </row>
    <row r="157">
      <c r="A157" s="1">
        <f>IFERROR(__xludf.DUMMYFUNCTION("""COMPUTED_VALUE"""),153.0)</f>
        <v>153</v>
      </c>
      <c r="B157" s="1" t="str">
        <f>IFERROR(__xludf.DUMMYFUNCTION("""COMPUTED_VALUE"""),"Richmond")</f>
        <v>Richmond</v>
      </c>
      <c r="C157" s="1" t="str">
        <f>IFERROR(__xludf.DUMMYFUNCTION("""COMPUTED_VALUE"""),"0-1")</f>
        <v>0-1</v>
      </c>
      <c r="D157" s="1" t="str">
        <f>IFERROR(__xludf.DUMMYFUNCTION("""COMPUTED_VALUE"""),"0-1")</f>
        <v>0-1</v>
      </c>
      <c r="E157" s="1" t="str">
        <f>IFERROR(__xludf.DUMMYFUNCTION("""COMPUTED_VALUE"""),"0-0")</f>
        <v>0-0</v>
      </c>
      <c r="F157" s="1" t="str">
        <f>IFERROR(__xludf.DUMMYFUNCTION("""COMPUTED_VALUE"""),"0-1")</f>
        <v>0-1</v>
      </c>
      <c r="G157" s="2">
        <f>IFERROR(__xludf.DUMMYFUNCTION("""COMPUTED_VALUE"""),45660.0)</f>
        <v>45660</v>
      </c>
      <c r="H157" s="2">
        <f>IFERROR(__xludf.DUMMYFUNCTION("""COMPUTED_VALUE"""),45751.0)</f>
        <v>45751</v>
      </c>
    </row>
    <row r="158">
      <c r="A158" s="1">
        <f>IFERROR(__xludf.DUMMYFUNCTION("""COMPUTED_VALUE"""),154.0)</f>
        <v>154</v>
      </c>
      <c r="B158" s="1" t="str">
        <f>IFERROR(__xludf.DUMMYFUNCTION("""COMPUTED_VALUE"""),"North Alabama")</f>
        <v>North Alabama</v>
      </c>
      <c r="C158" s="1" t="str">
        <f>IFERROR(__xludf.DUMMYFUNCTION("""COMPUTED_VALUE"""),"0-1")</f>
        <v>0-1</v>
      </c>
      <c r="D158" s="1" t="str">
        <f>IFERROR(__xludf.DUMMYFUNCTION("""COMPUTED_VALUE"""),"0-1")</f>
        <v>0-1</v>
      </c>
      <c r="E158" s="1" t="str">
        <f>IFERROR(__xludf.DUMMYFUNCTION("""COMPUTED_VALUE"""),"0-0")</f>
        <v>0-0</v>
      </c>
      <c r="F158" s="1" t="str">
        <f>IFERROR(__xludf.DUMMYFUNCTION("""COMPUTED_VALUE"""),"0-1")</f>
        <v>0-1</v>
      </c>
      <c r="G158" s="2">
        <f>IFERROR(__xludf.DUMMYFUNCTION("""COMPUTED_VALUE"""),45661.0)</f>
        <v>45661</v>
      </c>
      <c r="H158" s="1" t="str">
        <f>IFERROR(__xludf.DUMMYFUNCTION("""COMPUTED_VALUE"""),"7-0")</f>
        <v>7-0</v>
      </c>
    </row>
    <row r="159">
      <c r="A159" s="1">
        <f>IFERROR(__xludf.DUMMYFUNCTION("""COMPUTED_VALUE"""),155.0)</f>
        <v>155</v>
      </c>
      <c r="B159" s="1" t="str">
        <f>IFERROR(__xludf.DUMMYFUNCTION("""COMPUTED_VALUE"""),"Tulsa")</f>
        <v>Tulsa</v>
      </c>
      <c r="C159" s="1" t="str">
        <f>IFERROR(__xludf.DUMMYFUNCTION("""COMPUTED_VALUE"""),"0-0")</f>
        <v>0-0</v>
      </c>
      <c r="D159" s="1" t="str">
        <f>IFERROR(__xludf.DUMMYFUNCTION("""COMPUTED_VALUE"""),"0-0")</f>
        <v>0-0</v>
      </c>
      <c r="E159" s="1" t="str">
        <f>IFERROR(__xludf.DUMMYFUNCTION("""COMPUTED_VALUE"""),"0-1")</f>
        <v>0-1</v>
      </c>
      <c r="F159" s="1" t="str">
        <f>IFERROR(__xludf.DUMMYFUNCTION("""COMPUTED_VALUE"""),"0-1")</f>
        <v>0-1</v>
      </c>
      <c r="G159" s="1" t="str">
        <f>IFERROR(__xludf.DUMMYFUNCTION("""COMPUTED_VALUE"""),"0-5")</f>
        <v>0-5</v>
      </c>
      <c r="H159" s="2">
        <f>IFERROR(__xludf.DUMMYFUNCTION("""COMPUTED_VALUE"""),45750.0)</f>
        <v>45750</v>
      </c>
    </row>
    <row r="160">
      <c r="A160" s="1">
        <f>IFERROR(__xludf.DUMMYFUNCTION("""COMPUTED_VALUE"""),156.0)</f>
        <v>156</v>
      </c>
      <c r="B160" s="1" t="str">
        <f>IFERROR(__xludf.DUMMYFUNCTION("""COMPUTED_VALUE"""),"UC Santa Barbara")</f>
        <v>UC Santa Barbara</v>
      </c>
      <c r="C160" s="1" t="str">
        <f>IFERROR(__xludf.DUMMYFUNCTION("""COMPUTED_VALUE"""),"0-0")</f>
        <v>0-0</v>
      </c>
      <c r="D160" s="1" t="str">
        <f>IFERROR(__xludf.DUMMYFUNCTION("""COMPUTED_VALUE"""),"0-0")</f>
        <v>0-0</v>
      </c>
      <c r="E160" s="1" t="str">
        <f>IFERROR(__xludf.DUMMYFUNCTION("""COMPUTED_VALUE"""),"0-1")</f>
        <v>0-1</v>
      </c>
      <c r="F160" s="1" t="str">
        <f>IFERROR(__xludf.DUMMYFUNCTION("""COMPUTED_VALUE"""),"0-1")</f>
        <v>0-1</v>
      </c>
      <c r="G160" s="2">
        <f>IFERROR(__xludf.DUMMYFUNCTION("""COMPUTED_VALUE"""),45692.0)</f>
        <v>45692</v>
      </c>
      <c r="H160" s="1" t="str">
        <f>IFERROR(__xludf.DUMMYFUNCTION("""COMPUTED_VALUE"""),"5-0")</f>
        <v>5-0</v>
      </c>
    </row>
    <row r="161">
      <c r="A161" s="1">
        <f>IFERROR(__xludf.DUMMYFUNCTION("""COMPUTED_VALUE"""),157.0)</f>
        <v>157</v>
      </c>
      <c r="B161" s="1" t="str">
        <f>IFERROR(__xludf.DUMMYFUNCTION("""COMPUTED_VALUE"""),"Eastern Michigan")</f>
        <v>Eastern Michigan</v>
      </c>
      <c r="C161" s="1" t="str">
        <f>IFERROR(__xludf.DUMMYFUNCTION("""COMPUTED_VALUE"""),"0-0")</f>
        <v>0-0</v>
      </c>
      <c r="D161" s="1" t="str">
        <f>IFERROR(__xludf.DUMMYFUNCTION("""COMPUTED_VALUE"""),"0-0")</f>
        <v>0-0</v>
      </c>
      <c r="E161" s="1" t="str">
        <f>IFERROR(__xludf.DUMMYFUNCTION("""COMPUTED_VALUE"""),"0-1")</f>
        <v>0-1</v>
      </c>
      <c r="F161" s="1" t="str">
        <f>IFERROR(__xludf.DUMMYFUNCTION("""COMPUTED_VALUE"""),"0-1")</f>
        <v>0-1</v>
      </c>
      <c r="G161" s="2">
        <f>IFERROR(__xludf.DUMMYFUNCTION("""COMPUTED_VALUE"""),45661.0)</f>
        <v>45661</v>
      </c>
      <c r="H161" s="2">
        <f>IFERROR(__xludf.DUMMYFUNCTION("""COMPUTED_VALUE"""),45778.0)</f>
        <v>45778</v>
      </c>
    </row>
    <row r="162">
      <c r="A162" s="1">
        <f>IFERROR(__xludf.DUMMYFUNCTION("""COMPUTED_VALUE"""),158.0)</f>
        <v>158</v>
      </c>
      <c r="B162" s="1" t="str">
        <f>IFERROR(__xludf.DUMMYFUNCTION("""COMPUTED_VALUE"""),"Old Dominion")</f>
        <v>Old Dominion</v>
      </c>
      <c r="C162" s="1" t="str">
        <f>IFERROR(__xludf.DUMMYFUNCTION("""COMPUTED_VALUE"""),"0-1")</f>
        <v>0-1</v>
      </c>
      <c r="D162" s="1" t="str">
        <f>IFERROR(__xludf.DUMMYFUNCTION("""COMPUTED_VALUE"""),"0-1")</f>
        <v>0-1</v>
      </c>
      <c r="E162" s="1" t="str">
        <f>IFERROR(__xludf.DUMMYFUNCTION("""COMPUTED_VALUE"""),"0-0")</f>
        <v>0-0</v>
      </c>
      <c r="F162" s="1" t="str">
        <f>IFERROR(__xludf.DUMMYFUNCTION("""COMPUTED_VALUE"""),"0-1")</f>
        <v>0-1</v>
      </c>
      <c r="G162" s="1" t="str">
        <f>IFERROR(__xludf.DUMMYFUNCTION("""COMPUTED_VALUE"""),"0-5")</f>
        <v>0-5</v>
      </c>
      <c r="H162" s="2">
        <f>IFERROR(__xludf.DUMMYFUNCTION("""COMPUTED_VALUE"""),45750.0)</f>
        <v>45750</v>
      </c>
    </row>
    <row r="163">
      <c r="A163" s="1">
        <f>IFERROR(__xludf.DUMMYFUNCTION("""COMPUTED_VALUE"""),159.0)</f>
        <v>159</v>
      </c>
      <c r="B163" s="1" t="str">
        <f>IFERROR(__xludf.DUMMYFUNCTION("""COMPUTED_VALUE"""),"Bowling Green")</f>
        <v>Bowling Green</v>
      </c>
      <c r="C163" s="1" t="str">
        <f>IFERROR(__xludf.DUMMYFUNCTION("""COMPUTED_VALUE"""),"0-1")</f>
        <v>0-1</v>
      </c>
      <c r="D163" s="1" t="str">
        <f>IFERROR(__xludf.DUMMYFUNCTION("""COMPUTED_VALUE"""),"0-1")</f>
        <v>0-1</v>
      </c>
      <c r="E163" s="1" t="str">
        <f>IFERROR(__xludf.DUMMYFUNCTION("""COMPUTED_VALUE"""),"0-0")</f>
        <v>0-0</v>
      </c>
      <c r="F163" s="1" t="str">
        <f>IFERROR(__xludf.DUMMYFUNCTION("""COMPUTED_VALUE"""),"0-1")</f>
        <v>0-1</v>
      </c>
      <c r="G163" s="2">
        <f>IFERROR(__xludf.DUMMYFUNCTION("""COMPUTED_VALUE"""),45661.0)</f>
        <v>45661</v>
      </c>
      <c r="H163" s="2">
        <f>IFERROR(__xludf.DUMMYFUNCTION("""COMPUTED_VALUE"""),45691.0)</f>
        <v>45691</v>
      </c>
    </row>
    <row r="164">
      <c r="A164" s="1">
        <f>IFERROR(__xludf.DUMMYFUNCTION("""COMPUTED_VALUE"""),160.0)</f>
        <v>160</v>
      </c>
      <c r="B164" s="1" t="str">
        <f>IFERROR(__xludf.DUMMYFUNCTION("""COMPUTED_VALUE"""),"UAB")</f>
        <v>UAB</v>
      </c>
      <c r="C164" s="1" t="str">
        <f>IFERROR(__xludf.DUMMYFUNCTION("""COMPUTED_VALUE"""),"0-0")</f>
        <v>0-0</v>
      </c>
      <c r="D164" s="1" t="str">
        <f>IFERROR(__xludf.DUMMYFUNCTION("""COMPUTED_VALUE"""),"0-1")</f>
        <v>0-1</v>
      </c>
      <c r="E164" s="1" t="str">
        <f>IFERROR(__xludf.DUMMYFUNCTION("""COMPUTED_VALUE"""),"0-0")</f>
        <v>0-0</v>
      </c>
      <c r="F164" s="1" t="str">
        <f>IFERROR(__xludf.DUMMYFUNCTION("""COMPUTED_VALUE"""),"0-1")</f>
        <v>0-1</v>
      </c>
      <c r="G164" s="1" t="str">
        <f>IFERROR(__xludf.DUMMYFUNCTION("""COMPUTED_VALUE"""),"0-5")</f>
        <v>0-5</v>
      </c>
      <c r="H164" s="2">
        <f>IFERROR(__xludf.DUMMYFUNCTION("""COMPUTED_VALUE"""),45839.0)</f>
        <v>45839</v>
      </c>
    </row>
    <row r="165">
      <c r="A165" s="1">
        <f>IFERROR(__xludf.DUMMYFUNCTION("""COMPUTED_VALUE"""),161.0)</f>
        <v>161</v>
      </c>
      <c r="B165" s="1" t="str">
        <f>IFERROR(__xludf.DUMMYFUNCTION("""COMPUTED_VALUE"""),"East Carolina")</f>
        <v>East Carolina</v>
      </c>
      <c r="C165" s="1" t="str">
        <f>IFERROR(__xludf.DUMMYFUNCTION("""COMPUTED_VALUE"""),"0-0")</f>
        <v>0-0</v>
      </c>
      <c r="D165" s="1" t="str">
        <f>IFERROR(__xludf.DUMMYFUNCTION("""COMPUTED_VALUE"""),"0-0")</f>
        <v>0-0</v>
      </c>
      <c r="E165" s="1" t="str">
        <f>IFERROR(__xludf.DUMMYFUNCTION("""COMPUTED_VALUE"""),"0-1")</f>
        <v>0-1</v>
      </c>
      <c r="F165" s="1" t="str">
        <f>IFERROR(__xludf.DUMMYFUNCTION("""COMPUTED_VALUE"""),"0-1")</f>
        <v>0-1</v>
      </c>
      <c r="G165" s="2">
        <f>IFERROR(__xludf.DUMMYFUNCTION("""COMPUTED_VALUE"""),45692.0)</f>
        <v>45692</v>
      </c>
      <c r="H165" s="2">
        <f>IFERROR(__xludf.DUMMYFUNCTION("""COMPUTED_VALUE"""),45749.0)</f>
        <v>45749</v>
      </c>
    </row>
    <row r="166">
      <c r="A166" s="1">
        <f>IFERROR(__xludf.DUMMYFUNCTION("""COMPUTED_VALUE"""),162.0)</f>
        <v>162</v>
      </c>
      <c r="B166" s="1" t="str">
        <f>IFERROR(__xludf.DUMMYFUNCTION("""COMPUTED_VALUE"""),"UNC Wilmington")</f>
        <v>UNC Wilmington</v>
      </c>
      <c r="C166" s="1" t="str">
        <f>IFERROR(__xludf.DUMMYFUNCTION("""COMPUTED_VALUE"""),"0-1")</f>
        <v>0-1</v>
      </c>
      <c r="D166" s="1" t="str">
        <f>IFERROR(__xludf.DUMMYFUNCTION("""COMPUTED_VALUE"""),"0-1")</f>
        <v>0-1</v>
      </c>
      <c r="E166" s="1" t="str">
        <f>IFERROR(__xludf.DUMMYFUNCTION("""COMPUTED_VALUE"""),"0-0")</f>
        <v>0-0</v>
      </c>
      <c r="F166" s="1" t="str">
        <f>IFERROR(__xludf.DUMMYFUNCTION("""COMPUTED_VALUE"""),"0-1")</f>
        <v>0-1</v>
      </c>
      <c r="G166" s="1" t="str">
        <f>IFERROR(__xludf.DUMMYFUNCTION("""COMPUTED_VALUE"""),"1-0")</f>
        <v>1-0</v>
      </c>
      <c r="H166" s="2">
        <f>IFERROR(__xludf.DUMMYFUNCTION("""COMPUTED_VALUE"""),45872.0)</f>
        <v>45872</v>
      </c>
    </row>
    <row r="167">
      <c r="A167" s="1">
        <f>IFERROR(__xludf.DUMMYFUNCTION("""COMPUTED_VALUE"""),163.0)</f>
        <v>163</v>
      </c>
      <c r="B167" s="1" t="str">
        <f>IFERROR(__xludf.DUMMYFUNCTION("""COMPUTED_VALUE"""),"Boston University")</f>
        <v>Boston University</v>
      </c>
      <c r="C167" s="1" t="str">
        <f>IFERROR(__xludf.DUMMYFUNCTION("""COMPUTED_VALUE"""),"0-1")</f>
        <v>0-1</v>
      </c>
      <c r="D167" s="1" t="str">
        <f>IFERROR(__xludf.DUMMYFUNCTION("""COMPUTED_VALUE"""),"0-1")</f>
        <v>0-1</v>
      </c>
      <c r="E167" s="1" t="str">
        <f>IFERROR(__xludf.DUMMYFUNCTION("""COMPUTED_VALUE"""),"0-0")</f>
        <v>0-0</v>
      </c>
      <c r="F167" s="1" t="str">
        <f>IFERROR(__xludf.DUMMYFUNCTION("""COMPUTED_VALUE"""),"0-1")</f>
        <v>0-1</v>
      </c>
      <c r="G167" s="2">
        <f>IFERROR(__xludf.DUMMYFUNCTION("""COMPUTED_VALUE"""),45659.0)</f>
        <v>45659</v>
      </c>
      <c r="H167" s="2">
        <f>IFERROR(__xludf.DUMMYFUNCTION("""COMPUTED_VALUE"""),45782.0)</f>
        <v>45782</v>
      </c>
    </row>
    <row r="168">
      <c r="A168" s="1">
        <f>IFERROR(__xludf.DUMMYFUNCTION("""COMPUTED_VALUE"""),164.0)</f>
        <v>164</v>
      </c>
      <c r="B168" s="1" t="str">
        <f>IFERROR(__xludf.DUMMYFUNCTION("""COMPUTED_VALUE"""),"Albany")</f>
        <v>Albany</v>
      </c>
      <c r="C168" s="1" t="str">
        <f>IFERROR(__xludf.DUMMYFUNCTION("""COMPUTED_VALUE"""),"0-0")</f>
        <v>0-0</v>
      </c>
      <c r="D168" s="1" t="str">
        <f>IFERROR(__xludf.DUMMYFUNCTION("""COMPUTED_VALUE"""),"0-1")</f>
        <v>0-1</v>
      </c>
      <c r="E168" s="1" t="str">
        <f>IFERROR(__xludf.DUMMYFUNCTION("""COMPUTED_VALUE"""),"0-0")</f>
        <v>0-0</v>
      </c>
      <c r="F168" s="1" t="str">
        <f>IFERROR(__xludf.DUMMYFUNCTION("""COMPUTED_VALUE"""),"0-1")</f>
        <v>0-1</v>
      </c>
      <c r="G168" s="2">
        <f>IFERROR(__xludf.DUMMYFUNCTION("""COMPUTED_VALUE"""),45659.0)</f>
        <v>45659</v>
      </c>
      <c r="H168" s="2">
        <f>IFERROR(__xludf.DUMMYFUNCTION("""COMPUTED_VALUE"""),45782.0)</f>
        <v>45782</v>
      </c>
    </row>
    <row r="169">
      <c r="A169" s="1">
        <f>IFERROR(__xludf.DUMMYFUNCTION("""COMPUTED_VALUE"""),165.0)</f>
        <v>165</v>
      </c>
      <c r="B169" s="1" t="str">
        <f>IFERROR(__xludf.DUMMYFUNCTION("""COMPUTED_VALUE"""),"Northeastern")</f>
        <v>Northeastern</v>
      </c>
      <c r="C169" s="1" t="str">
        <f>IFERROR(__xludf.DUMMYFUNCTION("""COMPUTED_VALUE"""),"0-0")</f>
        <v>0-0</v>
      </c>
      <c r="D169" s="1" t="str">
        <f>IFERROR(__xludf.DUMMYFUNCTION("""COMPUTED_VALUE"""),"0-1")</f>
        <v>0-1</v>
      </c>
      <c r="E169" s="1" t="str">
        <f>IFERROR(__xludf.DUMMYFUNCTION("""COMPUTED_VALUE"""),"0-0")</f>
        <v>0-0</v>
      </c>
      <c r="F169" s="1" t="str">
        <f>IFERROR(__xludf.DUMMYFUNCTION("""COMPUTED_VALUE"""),"0-1")</f>
        <v>0-1</v>
      </c>
      <c r="G169" s="2">
        <f>IFERROR(__xludf.DUMMYFUNCTION("""COMPUTED_VALUE"""),45717.0)</f>
        <v>45717</v>
      </c>
      <c r="H169" s="2">
        <f>IFERROR(__xludf.DUMMYFUNCTION("""COMPUTED_VALUE"""),45812.0)</f>
        <v>45812</v>
      </c>
    </row>
    <row r="170">
      <c r="A170" s="1">
        <f>IFERROR(__xludf.DUMMYFUNCTION("""COMPUTED_VALUE"""),166.0)</f>
        <v>166</v>
      </c>
      <c r="B170" s="1" t="str">
        <f>IFERROR(__xludf.DUMMYFUNCTION("""COMPUTED_VALUE"""),"Navy")</f>
        <v>Navy</v>
      </c>
      <c r="C170" s="1" t="str">
        <f>IFERROR(__xludf.DUMMYFUNCTION("""COMPUTED_VALUE"""),"0-0")</f>
        <v>0-0</v>
      </c>
      <c r="D170" s="1" t="str">
        <f>IFERROR(__xludf.DUMMYFUNCTION("""COMPUTED_VALUE"""),"0-0")</f>
        <v>0-0</v>
      </c>
      <c r="E170" s="1" t="str">
        <f>IFERROR(__xludf.DUMMYFUNCTION("""COMPUTED_VALUE"""),"0-1")</f>
        <v>0-1</v>
      </c>
      <c r="F170" s="1" t="str">
        <f>IFERROR(__xludf.DUMMYFUNCTION("""COMPUTED_VALUE"""),"0-1")</f>
        <v>0-1</v>
      </c>
      <c r="G170" s="1" t="str">
        <f>IFERROR(__xludf.DUMMYFUNCTION("""COMPUTED_VALUE"""),"0-3")</f>
        <v>0-3</v>
      </c>
      <c r="H170" s="2">
        <f>IFERROR(__xludf.DUMMYFUNCTION("""COMPUTED_VALUE"""),45753.0)</f>
        <v>45753</v>
      </c>
    </row>
    <row r="171">
      <c r="A171" s="1">
        <f>IFERROR(__xludf.DUMMYFUNCTION("""COMPUTED_VALUE"""),167.0)</f>
        <v>167</v>
      </c>
      <c r="B171" s="1" t="str">
        <f>IFERROR(__xludf.DUMMYFUNCTION("""COMPUTED_VALUE"""),"Northern Arizona")</f>
        <v>Northern Arizona</v>
      </c>
      <c r="C171" s="1" t="str">
        <f>IFERROR(__xludf.DUMMYFUNCTION("""COMPUTED_VALUE"""),"0-0")</f>
        <v>0-0</v>
      </c>
      <c r="D171" s="1" t="str">
        <f>IFERROR(__xludf.DUMMYFUNCTION("""COMPUTED_VALUE"""),"0-0")</f>
        <v>0-0</v>
      </c>
      <c r="E171" s="1" t="str">
        <f>IFERROR(__xludf.DUMMYFUNCTION("""COMPUTED_VALUE"""),"0-1")</f>
        <v>0-1</v>
      </c>
      <c r="F171" s="1" t="str">
        <f>IFERROR(__xludf.DUMMYFUNCTION("""COMPUTED_VALUE"""),"0-1")</f>
        <v>0-1</v>
      </c>
      <c r="G171" s="2">
        <f>IFERROR(__xludf.DUMMYFUNCTION("""COMPUTED_VALUE"""),45658.0)</f>
        <v>45658</v>
      </c>
      <c r="H171" s="2">
        <f>IFERROR(__xludf.DUMMYFUNCTION("""COMPUTED_VALUE"""),45780.0)</f>
        <v>45780</v>
      </c>
    </row>
    <row r="172">
      <c r="A172" s="1">
        <f>IFERROR(__xludf.DUMMYFUNCTION("""COMPUTED_VALUE"""),168.0)</f>
        <v>168</v>
      </c>
      <c r="B172" s="1" t="str">
        <f>IFERROR(__xludf.DUMMYFUNCTION("""COMPUTED_VALUE"""),"William &amp; Mary")</f>
        <v>William &amp; Mary</v>
      </c>
      <c r="C172" s="1" t="str">
        <f>IFERROR(__xludf.DUMMYFUNCTION("""COMPUTED_VALUE"""),"0-0")</f>
        <v>0-0</v>
      </c>
      <c r="D172" s="1" t="str">
        <f>IFERROR(__xludf.DUMMYFUNCTION("""COMPUTED_VALUE"""),"0-1")</f>
        <v>0-1</v>
      </c>
      <c r="E172" s="1" t="str">
        <f>IFERROR(__xludf.DUMMYFUNCTION("""COMPUTED_VALUE"""),"0-1")</f>
        <v>0-1</v>
      </c>
      <c r="F172" s="1" t="str">
        <f>IFERROR(__xludf.DUMMYFUNCTION("""COMPUTED_VALUE"""),"0-2")</f>
        <v>0-2</v>
      </c>
      <c r="G172" s="2">
        <f>IFERROR(__xludf.DUMMYFUNCTION("""COMPUTED_VALUE"""),45691.0)</f>
        <v>45691</v>
      </c>
      <c r="H172" s="2">
        <f>IFERROR(__xludf.DUMMYFUNCTION("""COMPUTED_VALUE"""),45749.0)</f>
        <v>45749</v>
      </c>
    </row>
    <row r="173">
      <c r="A173" s="1">
        <f>IFERROR(__xludf.DUMMYFUNCTION("""COMPUTED_VALUE"""),169.0)</f>
        <v>169</v>
      </c>
      <c r="B173" s="1" t="str">
        <f>IFERROR(__xludf.DUMMYFUNCTION("""COMPUTED_VALUE"""),"Colgate")</f>
        <v>Colgate</v>
      </c>
      <c r="C173" s="1" t="str">
        <f>IFERROR(__xludf.DUMMYFUNCTION("""COMPUTED_VALUE"""),"0-1")</f>
        <v>0-1</v>
      </c>
      <c r="D173" s="1" t="str">
        <f>IFERROR(__xludf.DUMMYFUNCTION("""COMPUTED_VALUE"""),"0-1")</f>
        <v>0-1</v>
      </c>
      <c r="E173" s="1" t="str">
        <f>IFERROR(__xludf.DUMMYFUNCTION("""COMPUTED_VALUE"""),"0-1")</f>
        <v>0-1</v>
      </c>
      <c r="F173" s="1" t="str">
        <f>IFERROR(__xludf.DUMMYFUNCTION("""COMPUTED_VALUE"""),"0-2")</f>
        <v>0-2</v>
      </c>
      <c r="G173" s="2">
        <f>IFERROR(__xludf.DUMMYFUNCTION("""COMPUTED_VALUE"""),45662.0)</f>
        <v>45662</v>
      </c>
      <c r="H173" s="2">
        <f>IFERROR(__xludf.DUMMYFUNCTION("""COMPUTED_VALUE"""),45692.0)</f>
        <v>45692</v>
      </c>
    </row>
    <row r="174">
      <c r="A174" s="1">
        <f>IFERROR(__xludf.DUMMYFUNCTION("""COMPUTED_VALUE"""),170.0)</f>
        <v>170</v>
      </c>
      <c r="B174" s="1" t="str">
        <f>IFERROR(__xludf.DUMMYFUNCTION("""COMPUTED_VALUE"""),"Coastal Carolina")</f>
        <v>Coastal Carolina</v>
      </c>
      <c r="C174" s="1" t="str">
        <f>IFERROR(__xludf.DUMMYFUNCTION("""COMPUTED_VALUE"""),"0-0")</f>
        <v>0-0</v>
      </c>
      <c r="D174" s="1" t="str">
        <f>IFERROR(__xludf.DUMMYFUNCTION("""COMPUTED_VALUE"""),"0-0")</f>
        <v>0-0</v>
      </c>
      <c r="E174" s="1" t="str">
        <f>IFERROR(__xludf.DUMMYFUNCTION("""COMPUTED_VALUE"""),"0-2")</f>
        <v>0-2</v>
      </c>
      <c r="F174" s="1" t="str">
        <f>IFERROR(__xludf.DUMMYFUNCTION("""COMPUTED_VALUE"""),"0-2")</f>
        <v>0-2</v>
      </c>
      <c r="G174" s="1" t="str">
        <f>IFERROR(__xludf.DUMMYFUNCTION("""COMPUTED_VALUE"""),"0-3")</f>
        <v>0-3</v>
      </c>
      <c r="H174" s="2">
        <f>IFERROR(__xludf.DUMMYFUNCTION("""COMPUTED_VALUE"""),45810.0)</f>
        <v>45810</v>
      </c>
    </row>
    <row r="175">
      <c r="A175" s="1">
        <f>IFERROR(__xludf.DUMMYFUNCTION("""COMPUTED_VALUE"""),171.0)</f>
        <v>171</v>
      </c>
      <c r="B175" s="1" t="str">
        <f>IFERROR(__xludf.DUMMYFUNCTION("""COMPUTED_VALUE"""),"Harvard")</f>
        <v>Harvard</v>
      </c>
      <c r="C175" s="1" t="str">
        <f>IFERROR(__xludf.DUMMYFUNCTION("""COMPUTED_VALUE"""),"0-1")</f>
        <v>0-1</v>
      </c>
      <c r="D175" s="1" t="str">
        <f>IFERROR(__xludf.DUMMYFUNCTION("""COMPUTED_VALUE"""),"0-1")</f>
        <v>0-1</v>
      </c>
      <c r="E175" s="1" t="str">
        <f>IFERROR(__xludf.DUMMYFUNCTION("""COMPUTED_VALUE"""),"0-1")</f>
        <v>0-1</v>
      </c>
      <c r="F175" s="1" t="str">
        <f>IFERROR(__xludf.DUMMYFUNCTION("""COMPUTED_VALUE"""),"0-2")</f>
        <v>0-2</v>
      </c>
      <c r="G175" s="1" t="str">
        <f>IFERROR(__xludf.DUMMYFUNCTION("""COMPUTED_VALUE"""),"0-2")</f>
        <v>0-2</v>
      </c>
      <c r="H175" s="2">
        <f>IFERROR(__xludf.DUMMYFUNCTION("""COMPUTED_VALUE"""),45751.0)</f>
        <v>45751</v>
      </c>
    </row>
    <row r="176">
      <c r="A176" s="1">
        <f>IFERROR(__xludf.DUMMYFUNCTION("""COMPUTED_VALUE"""),172.0)</f>
        <v>172</v>
      </c>
      <c r="B176" s="1" t="str">
        <f>IFERROR(__xludf.DUMMYFUNCTION("""COMPUTED_VALUE"""),"Abilene Christian")</f>
        <v>Abilene Christian</v>
      </c>
      <c r="C176" s="1" t="str">
        <f>IFERROR(__xludf.DUMMYFUNCTION("""COMPUTED_VALUE"""),"0-2")</f>
        <v>0-2</v>
      </c>
      <c r="D176" s="1" t="str">
        <f>IFERROR(__xludf.DUMMYFUNCTION("""COMPUTED_VALUE"""),"0-2")</f>
        <v>0-2</v>
      </c>
      <c r="E176" s="1" t="str">
        <f>IFERROR(__xludf.DUMMYFUNCTION("""COMPUTED_VALUE"""),"0-0")</f>
        <v>0-0</v>
      </c>
      <c r="F176" s="1" t="str">
        <f>IFERROR(__xludf.DUMMYFUNCTION("""COMPUTED_VALUE"""),"0-2")</f>
        <v>0-2</v>
      </c>
      <c r="G176" s="2">
        <f>IFERROR(__xludf.DUMMYFUNCTION("""COMPUTED_VALUE"""),45661.0)</f>
        <v>45661</v>
      </c>
      <c r="H176" s="2">
        <f>IFERROR(__xludf.DUMMYFUNCTION("""COMPUTED_VALUE"""),45749.0)</f>
        <v>45749</v>
      </c>
    </row>
    <row r="177">
      <c r="A177" s="1">
        <f>IFERROR(__xludf.DUMMYFUNCTION("""COMPUTED_VALUE"""),173.0)</f>
        <v>173</v>
      </c>
      <c r="B177" s="1" t="str">
        <f>IFERROR(__xludf.DUMMYFUNCTION("""COMPUTED_VALUE"""),"Presbyterian")</f>
        <v>Presbyterian</v>
      </c>
      <c r="C177" s="1" t="str">
        <f>IFERROR(__xludf.DUMMYFUNCTION("""COMPUTED_VALUE"""),"0-0")</f>
        <v>0-0</v>
      </c>
      <c r="D177" s="1" t="str">
        <f>IFERROR(__xludf.DUMMYFUNCTION("""COMPUTED_VALUE"""),"0-0")</f>
        <v>0-0</v>
      </c>
      <c r="E177" s="1" t="str">
        <f>IFERROR(__xludf.DUMMYFUNCTION("""COMPUTED_VALUE"""),"0-2")</f>
        <v>0-2</v>
      </c>
      <c r="F177" s="1" t="str">
        <f>IFERROR(__xludf.DUMMYFUNCTION("""COMPUTED_VALUE"""),"0-2")</f>
        <v>0-2</v>
      </c>
      <c r="G177" s="2">
        <f>IFERROR(__xludf.DUMMYFUNCTION("""COMPUTED_VALUE"""),45691.0)</f>
        <v>45691</v>
      </c>
      <c r="H177" s="2">
        <f>IFERROR(__xludf.DUMMYFUNCTION("""COMPUTED_VALUE"""),45720.0)</f>
        <v>45720</v>
      </c>
    </row>
    <row r="178">
      <c r="A178" s="1">
        <f>IFERROR(__xludf.DUMMYFUNCTION("""COMPUTED_VALUE"""),174.0)</f>
        <v>174</v>
      </c>
      <c r="B178" s="1" t="str">
        <f>IFERROR(__xludf.DUMMYFUNCTION("""COMPUTED_VALUE"""),"Incarnate Word")</f>
        <v>Incarnate Word</v>
      </c>
      <c r="C178" s="1" t="str">
        <f>IFERROR(__xludf.DUMMYFUNCTION("""COMPUTED_VALUE"""),"0-1")</f>
        <v>0-1</v>
      </c>
      <c r="D178" s="1" t="str">
        <f>IFERROR(__xludf.DUMMYFUNCTION("""COMPUTED_VALUE"""),"0-1")</f>
        <v>0-1</v>
      </c>
      <c r="E178" s="1" t="str">
        <f>IFERROR(__xludf.DUMMYFUNCTION("""COMPUTED_VALUE"""),"0-1")</f>
        <v>0-1</v>
      </c>
      <c r="F178" s="1" t="str">
        <f>IFERROR(__xludf.DUMMYFUNCTION("""COMPUTED_VALUE"""),"0-2")</f>
        <v>0-2</v>
      </c>
      <c r="G178" s="1" t="str">
        <f>IFERROR(__xludf.DUMMYFUNCTION("""COMPUTED_VALUE"""),"0-2")</f>
        <v>0-2</v>
      </c>
      <c r="H178" s="2">
        <f>IFERROR(__xludf.DUMMYFUNCTION("""COMPUTED_VALUE"""),45779.0)</f>
        <v>45779</v>
      </c>
    </row>
    <row r="179">
      <c r="A179" s="1">
        <f>IFERROR(__xludf.DUMMYFUNCTION("""COMPUTED_VALUE"""),175.0)</f>
        <v>175</v>
      </c>
      <c r="B179" s="1" t="str">
        <f>IFERROR(__xludf.DUMMYFUNCTION("""COMPUTED_VALUE"""),"Air Force")</f>
        <v>Air Force</v>
      </c>
      <c r="C179" s="1" t="str">
        <f>IFERROR(__xludf.DUMMYFUNCTION("""COMPUTED_VALUE"""),"0-0")</f>
        <v>0-0</v>
      </c>
      <c r="D179" s="1" t="str">
        <f>IFERROR(__xludf.DUMMYFUNCTION("""COMPUTED_VALUE"""),"0-1")</f>
        <v>0-1</v>
      </c>
      <c r="E179" s="1" t="str">
        <f>IFERROR(__xludf.DUMMYFUNCTION("""COMPUTED_VALUE"""),"0-1")</f>
        <v>0-1</v>
      </c>
      <c r="F179" s="1" t="str">
        <f>IFERROR(__xludf.DUMMYFUNCTION("""COMPUTED_VALUE"""),"0-2")</f>
        <v>0-2</v>
      </c>
      <c r="G179" s="2">
        <f>IFERROR(__xludf.DUMMYFUNCTION("""COMPUTED_VALUE"""),45664.0)</f>
        <v>45664</v>
      </c>
      <c r="H179" s="2">
        <f>IFERROR(__xludf.DUMMYFUNCTION("""COMPUTED_VALUE"""),45690.0)</f>
        <v>45690</v>
      </c>
    </row>
    <row r="180">
      <c r="A180" s="1">
        <f>IFERROR(__xludf.DUMMYFUNCTION("""COMPUTED_VALUE"""),176.0)</f>
        <v>176</v>
      </c>
      <c r="B180" s="1" t="str">
        <f>IFERROR(__xludf.DUMMYFUNCTION("""COMPUTED_VALUE"""),"Longwood")</f>
        <v>Longwood</v>
      </c>
      <c r="C180" s="1" t="str">
        <f>IFERROR(__xludf.DUMMYFUNCTION("""COMPUTED_VALUE"""),"0-0")</f>
        <v>0-0</v>
      </c>
      <c r="D180" s="1" t="str">
        <f>IFERROR(__xludf.DUMMYFUNCTION("""COMPUTED_VALUE"""),"0-1")</f>
        <v>0-1</v>
      </c>
      <c r="E180" s="1" t="str">
        <f>IFERROR(__xludf.DUMMYFUNCTION("""COMPUTED_VALUE"""),"0-1")</f>
        <v>0-1</v>
      </c>
      <c r="F180" s="1" t="str">
        <f>IFERROR(__xludf.DUMMYFUNCTION("""COMPUTED_VALUE"""),"0-2")</f>
        <v>0-2</v>
      </c>
      <c r="G180" s="2">
        <f>IFERROR(__xludf.DUMMYFUNCTION("""COMPUTED_VALUE"""),45690.0)</f>
        <v>45690</v>
      </c>
      <c r="H180" s="2">
        <f>IFERROR(__xludf.DUMMYFUNCTION("""COMPUTED_VALUE"""),45839.0)</f>
        <v>45839</v>
      </c>
    </row>
    <row r="181">
      <c r="A181" s="1">
        <f>IFERROR(__xludf.DUMMYFUNCTION("""COMPUTED_VALUE"""),177.0)</f>
        <v>177</v>
      </c>
      <c r="B181" s="1" t="str">
        <f>IFERROR(__xludf.DUMMYFUNCTION("""COMPUTED_VALUE"""),"Southeastern Louisiana")</f>
        <v>Southeastern Louisiana</v>
      </c>
      <c r="C181" s="1" t="str">
        <f>IFERROR(__xludf.DUMMYFUNCTION("""COMPUTED_VALUE"""),"0-1")</f>
        <v>0-1</v>
      </c>
      <c r="D181" s="1" t="str">
        <f>IFERROR(__xludf.DUMMYFUNCTION("""COMPUTED_VALUE"""),"0-2")</f>
        <v>0-2</v>
      </c>
      <c r="E181" s="1" t="str">
        <f>IFERROR(__xludf.DUMMYFUNCTION("""COMPUTED_VALUE"""),"0-0")</f>
        <v>0-0</v>
      </c>
      <c r="F181" s="1" t="str">
        <f>IFERROR(__xludf.DUMMYFUNCTION("""COMPUTED_VALUE"""),"0-2")</f>
        <v>0-2</v>
      </c>
      <c r="G181" s="2">
        <f>IFERROR(__xludf.DUMMYFUNCTION("""COMPUTED_VALUE"""),45661.0)</f>
        <v>45661</v>
      </c>
      <c r="H181" s="2">
        <f>IFERROR(__xludf.DUMMYFUNCTION("""COMPUTED_VALUE"""),45749.0)</f>
        <v>45749</v>
      </c>
    </row>
    <row r="182">
      <c r="A182" s="1">
        <f>IFERROR(__xludf.DUMMYFUNCTION("""COMPUTED_VALUE"""),178.0)</f>
        <v>178</v>
      </c>
      <c r="B182" s="1" t="str">
        <f>IFERROR(__xludf.DUMMYFUNCTION("""COMPUTED_VALUE"""),"Youngstown St.")</f>
        <v>Youngstown St.</v>
      </c>
      <c r="C182" s="1" t="str">
        <f>IFERROR(__xludf.DUMMYFUNCTION("""COMPUTED_VALUE"""),"0-1")</f>
        <v>0-1</v>
      </c>
      <c r="D182" s="1" t="str">
        <f>IFERROR(__xludf.DUMMYFUNCTION("""COMPUTED_VALUE"""),"0-1")</f>
        <v>0-1</v>
      </c>
      <c r="E182" s="1" t="str">
        <f>IFERROR(__xludf.DUMMYFUNCTION("""COMPUTED_VALUE"""),"0-1")</f>
        <v>0-1</v>
      </c>
      <c r="F182" s="1" t="str">
        <f>IFERROR(__xludf.DUMMYFUNCTION("""COMPUTED_VALUE"""),"0-2")</f>
        <v>0-2</v>
      </c>
      <c r="G182" s="2">
        <f>IFERROR(__xludf.DUMMYFUNCTION("""COMPUTED_VALUE"""),45689.0)</f>
        <v>45689</v>
      </c>
      <c r="H182" s="2">
        <f>IFERROR(__xludf.DUMMYFUNCTION("""COMPUTED_VALUE"""),45841.0)</f>
        <v>45841</v>
      </c>
    </row>
    <row r="183">
      <c r="A183" s="1">
        <f>IFERROR(__xludf.DUMMYFUNCTION("""COMPUTED_VALUE"""),179.0)</f>
        <v>179</v>
      </c>
      <c r="B183" s="1" t="str">
        <f>IFERROR(__xludf.DUMMYFUNCTION("""COMPUTED_VALUE"""),"Iona")</f>
        <v>Iona</v>
      </c>
      <c r="C183" s="1" t="str">
        <f>IFERROR(__xludf.DUMMYFUNCTION("""COMPUTED_VALUE"""),"0-1")</f>
        <v>0-1</v>
      </c>
      <c r="D183" s="1" t="str">
        <f>IFERROR(__xludf.DUMMYFUNCTION("""COMPUTED_VALUE"""),"0-1")</f>
        <v>0-1</v>
      </c>
      <c r="E183" s="1" t="str">
        <f>IFERROR(__xludf.DUMMYFUNCTION("""COMPUTED_VALUE"""),"0-1")</f>
        <v>0-1</v>
      </c>
      <c r="F183" s="1" t="str">
        <f>IFERROR(__xludf.DUMMYFUNCTION("""COMPUTED_VALUE"""),"0-2")</f>
        <v>0-2</v>
      </c>
      <c r="G183" s="1" t="str">
        <f>IFERROR(__xludf.DUMMYFUNCTION("""COMPUTED_VALUE"""),"0-4")</f>
        <v>0-4</v>
      </c>
      <c r="H183" s="2">
        <f>IFERROR(__xludf.DUMMYFUNCTION("""COMPUTED_VALUE"""),45781.0)</f>
        <v>45781</v>
      </c>
    </row>
    <row r="184">
      <c r="A184" s="1">
        <f>IFERROR(__xludf.DUMMYFUNCTION("""COMPUTED_VALUE"""),180.0)</f>
        <v>180</v>
      </c>
      <c r="B184" s="1" t="str">
        <f>IFERROR(__xludf.DUMMYFUNCTION("""COMPUTED_VALUE"""),"South Alabama")</f>
        <v>South Alabama</v>
      </c>
      <c r="C184" s="1" t="str">
        <f>IFERROR(__xludf.DUMMYFUNCTION("""COMPUTED_VALUE"""),"0-1")</f>
        <v>0-1</v>
      </c>
      <c r="D184" s="1" t="str">
        <f>IFERROR(__xludf.DUMMYFUNCTION("""COMPUTED_VALUE"""),"0-1")</f>
        <v>0-1</v>
      </c>
      <c r="E184" s="1" t="str">
        <f>IFERROR(__xludf.DUMMYFUNCTION("""COMPUTED_VALUE"""),"0-1")</f>
        <v>0-1</v>
      </c>
      <c r="F184" s="1" t="str">
        <f>IFERROR(__xludf.DUMMYFUNCTION("""COMPUTED_VALUE"""),"0-2")</f>
        <v>0-2</v>
      </c>
      <c r="G184" s="1" t="str">
        <f>IFERROR(__xludf.DUMMYFUNCTION("""COMPUTED_VALUE"""),"3-0")</f>
        <v>3-0</v>
      </c>
      <c r="H184" s="2">
        <f>IFERROR(__xludf.DUMMYFUNCTION("""COMPUTED_VALUE"""),45810.0)</f>
        <v>45810</v>
      </c>
    </row>
    <row r="185">
      <c r="A185" s="1">
        <f>IFERROR(__xludf.DUMMYFUNCTION("""COMPUTED_VALUE"""),181.0)</f>
        <v>181</v>
      </c>
      <c r="B185" s="1" t="str">
        <f>IFERROR(__xludf.DUMMYFUNCTION("""COMPUTED_VALUE"""),"Siena")</f>
        <v>Siena</v>
      </c>
      <c r="C185" s="1" t="str">
        <f>IFERROR(__xludf.DUMMYFUNCTION("""COMPUTED_VALUE"""),"0-0")</f>
        <v>0-0</v>
      </c>
      <c r="D185" s="1" t="str">
        <f>IFERROR(__xludf.DUMMYFUNCTION("""COMPUTED_VALUE"""),"0-1")</f>
        <v>0-1</v>
      </c>
      <c r="E185" s="1" t="str">
        <f>IFERROR(__xludf.DUMMYFUNCTION("""COMPUTED_VALUE"""),"0-1")</f>
        <v>0-1</v>
      </c>
      <c r="F185" s="1" t="str">
        <f>IFERROR(__xludf.DUMMYFUNCTION("""COMPUTED_VALUE"""),"0-2")</f>
        <v>0-2</v>
      </c>
      <c r="G185" s="2">
        <f>IFERROR(__xludf.DUMMYFUNCTION("""COMPUTED_VALUE"""),45691.0)</f>
        <v>45691</v>
      </c>
      <c r="H185" s="2">
        <f>IFERROR(__xludf.DUMMYFUNCTION("""COMPUTED_VALUE"""),45780.0)</f>
        <v>45780</v>
      </c>
    </row>
    <row r="186">
      <c r="A186" s="1">
        <f>IFERROR(__xludf.DUMMYFUNCTION("""COMPUTED_VALUE"""),182.0)</f>
        <v>182</v>
      </c>
      <c r="B186" s="1" t="str">
        <f>IFERROR(__xludf.DUMMYFUNCTION("""COMPUTED_VALUE"""),"Loyola MD")</f>
        <v>Loyola MD</v>
      </c>
      <c r="C186" s="1" t="str">
        <f>IFERROR(__xludf.DUMMYFUNCTION("""COMPUTED_VALUE"""),"0-0")</f>
        <v>0-0</v>
      </c>
      <c r="D186" s="1" t="str">
        <f>IFERROR(__xludf.DUMMYFUNCTION("""COMPUTED_VALUE"""),"0-1")</f>
        <v>0-1</v>
      </c>
      <c r="E186" s="1" t="str">
        <f>IFERROR(__xludf.DUMMYFUNCTION("""COMPUTED_VALUE"""),"0-1")</f>
        <v>0-1</v>
      </c>
      <c r="F186" s="1" t="str">
        <f>IFERROR(__xludf.DUMMYFUNCTION("""COMPUTED_VALUE"""),"0-2")</f>
        <v>0-2</v>
      </c>
      <c r="G186" s="2">
        <f>IFERROR(__xludf.DUMMYFUNCTION("""COMPUTED_VALUE"""),45659.0)</f>
        <v>45659</v>
      </c>
      <c r="H186" s="2">
        <f>IFERROR(__xludf.DUMMYFUNCTION("""COMPUTED_VALUE"""),45750.0)</f>
        <v>45750</v>
      </c>
    </row>
    <row r="187">
      <c r="A187" s="1">
        <f>IFERROR(__xludf.DUMMYFUNCTION("""COMPUTED_VALUE"""),183.0)</f>
        <v>183</v>
      </c>
      <c r="B187" s="1" t="str">
        <f>IFERROR(__xludf.DUMMYFUNCTION("""COMPUTED_VALUE"""),"Manhattan")</f>
        <v>Manhattan</v>
      </c>
      <c r="C187" s="1" t="str">
        <f>IFERROR(__xludf.DUMMYFUNCTION("""COMPUTED_VALUE"""),"0-1")</f>
        <v>0-1</v>
      </c>
      <c r="D187" s="1" t="str">
        <f>IFERROR(__xludf.DUMMYFUNCTION("""COMPUTED_VALUE"""),"0-1")</f>
        <v>0-1</v>
      </c>
      <c r="E187" s="1" t="str">
        <f>IFERROR(__xludf.DUMMYFUNCTION("""COMPUTED_VALUE"""),"0-1")</f>
        <v>0-1</v>
      </c>
      <c r="F187" s="1" t="str">
        <f>IFERROR(__xludf.DUMMYFUNCTION("""COMPUTED_VALUE"""),"0-2")</f>
        <v>0-2</v>
      </c>
      <c r="G187" s="1" t="str">
        <f>IFERROR(__xludf.DUMMYFUNCTION("""COMPUTED_VALUE"""),"2-0")</f>
        <v>2-0</v>
      </c>
      <c r="H187" s="2">
        <f>IFERROR(__xludf.DUMMYFUNCTION("""COMPUTED_VALUE"""),45751.0)</f>
        <v>45751</v>
      </c>
    </row>
    <row r="188">
      <c r="A188" s="1">
        <f>IFERROR(__xludf.DUMMYFUNCTION("""COMPUTED_VALUE"""),184.0)</f>
        <v>184</v>
      </c>
      <c r="B188" s="1" t="str">
        <f>IFERROR(__xludf.DUMMYFUNCTION("""COMPUTED_VALUE"""),"The Citadel")</f>
        <v>The Citadel</v>
      </c>
      <c r="C188" s="1" t="str">
        <f>IFERROR(__xludf.DUMMYFUNCTION("""COMPUTED_VALUE"""),"0-1")</f>
        <v>0-1</v>
      </c>
      <c r="D188" s="1" t="str">
        <f>IFERROR(__xludf.DUMMYFUNCTION("""COMPUTED_VALUE"""),"0-1")</f>
        <v>0-1</v>
      </c>
      <c r="E188" s="1" t="str">
        <f>IFERROR(__xludf.DUMMYFUNCTION("""COMPUTED_VALUE"""),"0-1")</f>
        <v>0-1</v>
      </c>
      <c r="F188" s="1" t="str">
        <f>IFERROR(__xludf.DUMMYFUNCTION("""COMPUTED_VALUE"""),"0-2")</f>
        <v>0-2</v>
      </c>
      <c r="G188" s="1" t="str">
        <f>IFERROR(__xludf.DUMMYFUNCTION("""COMPUTED_VALUE"""),"0-2")</f>
        <v>0-2</v>
      </c>
      <c r="H188" s="2">
        <f>IFERROR(__xludf.DUMMYFUNCTION("""COMPUTED_VALUE"""),45661.0)</f>
        <v>45661</v>
      </c>
    </row>
    <row r="189">
      <c r="A189" s="1">
        <f>IFERROR(__xludf.DUMMYFUNCTION("""COMPUTED_VALUE"""),185.0)</f>
        <v>185</v>
      </c>
      <c r="B189" s="1" t="str">
        <f>IFERROR(__xludf.DUMMYFUNCTION("""COMPUTED_VALUE"""),"SIU Edwardsville")</f>
        <v>SIU Edwardsville</v>
      </c>
      <c r="C189" s="1" t="str">
        <f>IFERROR(__xludf.DUMMYFUNCTION("""COMPUTED_VALUE"""),"0-1")</f>
        <v>0-1</v>
      </c>
      <c r="D189" s="1" t="str">
        <f>IFERROR(__xludf.DUMMYFUNCTION("""COMPUTED_VALUE"""),"0-2")</f>
        <v>0-2</v>
      </c>
      <c r="E189" s="1" t="str">
        <f>IFERROR(__xludf.DUMMYFUNCTION("""COMPUTED_VALUE"""),"0-0")</f>
        <v>0-0</v>
      </c>
      <c r="F189" s="1" t="str">
        <f>IFERROR(__xludf.DUMMYFUNCTION("""COMPUTED_VALUE"""),"0-2")</f>
        <v>0-2</v>
      </c>
      <c r="G189" s="2">
        <f>IFERROR(__xludf.DUMMYFUNCTION("""COMPUTED_VALUE"""),45658.0)</f>
        <v>45658</v>
      </c>
      <c r="H189" s="2">
        <f>IFERROR(__xludf.DUMMYFUNCTION("""COMPUTED_VALUE"""),45780.0)</f>
        <v>45780</v>
      </c>
    </row>
    <row r="190">
      <c r="A190" s="1">
        <f>IFERROR(__xludf.DUMMYFUNCTION("""COMPUTED_VALUE"""),186.0)</f>
        <v>186</v>
      </c>
      <c r="B190" s="1" t="str">
        <f>IFERROR(__xludf.DUMMYFUNCTION("""COMPUTED_VALUE"""),"UMBC")</f>
        <v>UMBC</v>
      </c>
      <c r="C190" s="1" t="str">
        <f>IFERROR(__xludf.DUMMYFUNCTION("""COMPUTED_VALUE"""),"0-0")</f>
        <v>0-0</v>
      </c>
      <c r="D190" s="1" t="str">
        <f>IFERROR(__xludf.DUMMYFUNCTION("""COMPUTED_VALUE"""),"0-2")</f>
        <v>0-2</v>
      </c>
      <c r="E190" s="1" t="str">
        <f>IFERROR(__xludf.DUMMYFUNCTION("""COMPUTED_VALUE"""),"0-0")</f>
        <v>0-0</v>
      </c>
      <c r="F190" s="1" t="str">
        <f>IFERROR(__xludf.DUMMYFUNCTION("""COMPUTED_VALUE"""),"0-2")</f>
        <v>0-2</v>
      </c>
      <c r="G190" s="2">
        <f>IFERROR(__xludf.DUMMYFUNCTION("""COMPUTED_VALUE"""),45659.0)</f>
        <v>45659</v>
      </c>
      <c r="H190" s="2">
        <f>IFERROR(__xludf.DUMMYFUNCTION("""COMPUTED_VALUE"""),45751.0)</f>
        <v>45751</v>
      </c>
    </row>
    <row r="191">
      <c r="A191" s="1">
        <f>IFERROR(__xludf.DUMMYFUNCTION("""COMPUTED_VALUE"""),187.0)</f>
        <v>187</v>
      </c>
      <c r="B191" s="1" t="str">
        <f>IFERROR(__xludf.DUMMYFUNCTION("""COMPUTED_VALUE"""),"Charlotte")</f>
        <v>Charlotte</v>
      </c>
      <c r="C191" s="1" t="str">
        <f>IFERROR(__xludf.DUMMYFUNCTION("""COMPUTED_VALUE"""),"0-1")</f>
        <v>0-1</v>
      </c>
      <c r="D191" s="1" t="str">
        <f>IFERROR(__xludf.DUMMYFUNCTION("""COMPUTED_VALUE"""),"0-1")</f>
        <v>0-1</v>
      </c>
      <c r="E191" s="1" t="str">
        <f>IFERROR(__xludf.DUMMYFUNCTION("""COMPUTED_VALUE"""),"0-1")</f>
        <v>0-1</v>
      </c>
      <c r="F191" s="1" t="str">
        <f>IFERROR(__xludf.DUMMYFUNCTION("""COMPUTED_VALUE"""),"0-2")</f>
        <v>0-2</v>
      </c>
      <c r="G191" s="2">
        <f>IFERROR(__xludf.DUMMYFUNCTION("""COMPUTED_VALUE"""),45661.0)</f>
        <v>45661</v>
      </c>
      <c r="H191" s="2">
        <f>IFERROR(__xludf.DUMMYFUNCTION("""COMPUTED_VALUE"""),45779.0)</f>
        <v>45779</v>
      </c>
    </row>
    <row r="192">
      <c r="A192" s="1">
        <f>IFERROR(__xludf.DUMMYFUNCTION("""COMPUTED_VALUE"""),188.0)</f>
        <v>188</v>
      </c>
      <c r="B192" s="1" t="str">
        <f>IFERROR(__xludf.DUMMYFUNCTION("""COMPUTED_VALUE"""),"Louisiana Tech")</f>
        <v>Louisiana Tech</v>
      </c>
      <c r="C192" s="1" t="str">
        <f>IFERROR(__xludf.DUMMYFUNCTION("""COMPUTED_VALUE"""),"0-1")</f>
        <v>0-1</v>
      </c>
      <c r="D192" s="1" t="str">
        <f>IFERROR(__xludf.DUMMYFUNCTION("""COMPUTED_VALUE"""),"0-1")</f>
        <v>0-1</v>
      </c>
      <c r="E192" s="1" t="str">
        <f>IFERROR(__xludf.DUMMYFUNCTION("""COMPUTED_VALUE"""),"0-1")</f>
        <v>0-1</v>
      </c>
      <c r="F192" s="1" t="str">
        <f>IFERROR(__xludf.DUMMYFUNCTION("""COMPUTED_VALUE"""),"0-2")</f>
        <v>0-2</v>
      </c>
      <c r="G192" s="2">
        <f>IFERROR(__xludf.DUMMYFUNCTION("""COMPUTED_VALUE"""),45689.0)</f>
        <v>45689</v>
      </c>
      <c r="H192" s="2">
        <f>IFERROR(__xludf.DUMMYFUNCTION("""COMPUTED_VALUE"""),45809.0)</f>
        <v>45809</v>
      </c>
    </row>
    <row r="193">
      <c r="A193" s="1">
        <f>IFERROR(__xludf.DUMMYFUNCTION("""COMPUTED_VALUE"""),189.0)</f>
        <v>189</v>
      </c>
      <c r="B193" s="1" t="str">
        <f>IFERROR(__xludf.DUMMYFUNCTION("""COMPUTED_VALUE"""),"Jacksonville St.")</f>
        <v>Jacksonville St.</v>
      </c>
      <c r="C193" s="1" t="str">
        <f>IFERROR(__xludf.DUMMYFUNCTION("""COMPUTED_VALUE"""),"0-0")</f>
        <v>0-0</v>
      </c>
      <c r="D193" s="1" t="str">
        <f>IFERROR(__xludf.DUMMYFUNCTION("""COMPUTED_VALUE"""),"0-1")</f>
        <v>0-1</v>
      </c>
      <c r="E193" s="1" t="str">
        <f>IFERROR(__xludf.DUMMYFUNCTION("""COMPUTED_VALUE"""),"0-1")</f>
        <v>0-1</v>
      </c>
      <c r="F193" s="1" t="str">
        <f>IFERROR(__xludf.DUMMYFUNCTION("""COMPUTED_VALUE"""),"0-2")</f>
        <v>0-2</v>
      </c>
      <c r="G193" s="2">
        <f>IFERROR(__xludf.DUMMYFUNCTION("""COMPUTED_VALUE"""),45690.0)</f>
        <v>45690</v>
      </c>
      <c r="H193" s="2">
        <f>IFERROR(__xludf.DUMMYFUNCTION("""COMPUTED_VALUE"""),45718.0)</f>
        <v>45718</v>
      </c>
    </row>
    <row r="194">
      <c r="A194" s="1">
        <f>IFERROR(__xludf.DUMMYFUNCTION("""COMPUTED_VALUE"""),190.0)</f>
        <v>190</v>
      </c>
      <c r="B194" s="1" t="str">
        <f>IFERROR(__xludf.DUMMYFUNCTION("""COMPUTED_VALUE"""),"Kennesaw St.")</f>
        <v>Kennesaw St.</v>
      </c>
      <c r="C194" s="1" t="str">
        <f>IFERROR(__xludf.DUMMYFUNCTION("""COMPUTED_VALUE"""),"0-0")</f>
        <v>0-0</v>
      </c>
      <c r="D194" s="1" t="str">
        <f>IFERROR(__xludf.DUMMYFUNCTION("""COMPUTED_VALUE"""),"0-1")</f>
        <v>0-1</v>
      </c>
      <c r="E194" s="1" t="str">
        <f>IFERROR(__xludf.DUMMYFUNCTION("""COMPUTED_VALUE"""),"0-1")</f>
        <v>0-1</v>
      </c>
      <c r="F194" s="1" t="str">
        <f>IFERROR(__xludf.DUMMYFUNCTION("""COMPUTED_VALUE"""),"0-2")</f>
        <v>0-2</v>
      </c>
      <c r="G194" s="2">
        <f>IFERROR(__xludf.DUMMYFUNCTION("""COMPUTED_VALUE"""),45691.0)</f>
        <v>45691</v>
      </c>
      <c r="H194" s="1" t="str">
        <f>IFERROR(__xludf.DUMMYFUNCTION("""COMPUTED_VALUE"""),"4-0")</f>
        <v>4-0</v>
      </c>
    </row>
    <row r="195">
      <c r="A195" s="1">
        <f>IFERROR(__xludf.DUMMYFUNCTION("""COMPUTED_VALUE"""),191.0)</f>
        <v>191</v>
      </c>
      <c r="B195" s="1" t="str">
        <f>IFERROR(__xludf.DUMMYFUNCTION("""COMPUTED_VALUE"""),"Drexel")</f>
        <v>Drexel</v>
      </c>
      <c r="C195" s="1" t="str">
        <f>IFERROR(__xludf.DUMMYFUNCTION("""COMPUTED_VALUE"""),"0-0")</f>
        <v>0-0</v>
      </c>
      <c r="D195" s="1" t="str">
        <f>IFERROR(__xludf.DUMMYFUNCTION("""COMPUTED_VALUE"""),"0-0")</f>
        <v>0-0</v>
      </c>
      <c r="E195" s="1" t="str">
        <f>IFERROR(__xludf.DUMMYFUNCTION("""COMPUTED_VALUE"""),"0-2")</f>
        <v>0-2</v>
      </c>
      <c r="F195" s="1" t="str">
        <f>IFERROR(__xludf.DUMMYFUNCTION("""COMPUTED_VALUE"""),"0-2")</f>
        <v>0-2</v>
      </c>
      <c r="G195" s="2">
        <f>IFERROR(__xludf.DUMMYFUNCTION("""COMPUTED_VALUE"""),45659.0)</f>
        <v>45659</v>
      </c>
      <c r="H195" s="2">
        <f>IFERROR(__xludf.DUMMYFUNCTION("""COMPUTED_VALUE"""),45840.0)</f>
        <v>45840</v>
      </c>
    </row>
    <row r="196">
      <c r="A196" s="1">
        <f>IFERROR(__xludf.DUMMYFUNCTION("""COMPUTED_VALUE"""),192.0)</f>
        <v>192</v>
      </c>
      <c r="B196" s="1" t="str">
        <f>IFERROR(__xludf.DUMMYFUNCTION("""COMPUTED_VALUE"""),"Sacred Heart")</f>
        <v>Sacred Heart</v>
      </c>
      <c r="C196" s="1" t="str">
        <f>IFERROR(__xludf.DUMMYFUNCTION("""COMPUTED_VALUE"""),"0-1")</f>
        <v>0-1</v>
      </c>
      <c r="D196" s="1" t="str">
        <f>IFERROR(__xludf.DUMMYFUNCTION("""COMPUTED_VALUE"""),"0-1")</f>
        <v>0-1</v>
      </c>
      <c r="E196" s="1" t="str">
        <f>IFERROR(__xludf.DUMMYFUNCTION("""COMPUTED_VALUE"""),"0-1")</f>
        <v>0-1</v>
      </c>
      <c r="F196" s="1" t="str">
        <f>IFERROR(__xludf.DUMMYFUNCTION("""COMPUTED_VALUE"""),"0-2")</f>
        <v>0-2</v>
      </c>
      <c r="G196" s="2">
        <f>IFERROR(__xludf.DUMMYFUNCTION("""COMPUTED_VALUE"""),45660.0)</f>
        <v>45660</v>
      </c>
      <c r="H196" s="2">
        <f>IFERROR(__xludf.DUMMYFUNCTION("""COMPUTED_VALUE"""),45750.0)</f>
        <v>45750</v>
      </c>
    </row>
    <row r="197">
      <c r="A197" s="1">
        <f>IFERROR(__xludf.DUMMYFUNCTION("""COMPUTED_VALUE"""),193.0)</f>
        <v>193</v>
      </c>
      <c r="B197" s="1" t="str">
        <f>IFERROR(__xludf.DUMMYFUNCTION("""COMPUTED_VALUE"""),"Robert Morris")</f>
        <v>Robert Morris</v>
      </c>
      <c r="C197" s="1" t="str">
        <f>IFERROR(__xludf.DUMMYFUNCTION("""COMPUTED_VALUE"""),"0-1")</f>
        <v>0-1</v>
      </c>
      <c r="D197" s="1" t="str">
        <f>IFERROR(__xludf.DUMMYFUNCTION("""COMPUTED_VALUE"""),"0-1")</f>
        <v>0-1</v>
      </c>
      <c r="E197" s="1" t="str">
        <f>IFERROR(__xludf.DUMMYFUNCTION("""COMPUTED_VALUE"""),"0-1")</f>
        <v>0-1</v>
      </c>
      <c r="F197" s="1" t="str">
        <f>IFERROR(__xludf.DUMMYFUNCTION("""COMPUTED_VALUE"""),"0-2")</f>
        <v>0-2</v>
      </c>
      <c r="G197" s="2">
        <f>IFERROR(__xludf.DUMMYFUNCTION("""COMPUTED_VALUE"""),45690.0)</f>
        <v>45690</v>
      </c>
      <c r="H197" s="2">
        <f>IFERROR(__xludf.DUMMYFUNCTION("""COMPUTED_VALUE"""),45840.0)</f>
        <v>45840</v>
      </c>
    </row>
    <row r="198">
      <c r="A198" s="1">
        <f>IFERROR(__xludf.DUMMYFUNCTION("""COMPUTED_VALUE"""),194.0)</f>
        <v>194</v>
      </c>
      <c r="B198" s="1" t="str">
        <f>IFERROR(__xludf.DUMMYFUNCTION("""COMPUTED_VALUE"""),"Morehead St.")</f>
        <v>Morehead St.</v>
      </c>
      <c r="C198" s="1" t="str">
        <f>IFERROR(__xludf.DUMMYFUNCTION("""COMPUTED_VALUE"""),"0-2")</f>
        <v>0-2</v>
      </c>
      <c r="D198" s="1" t="str">
        <f>IFERROR(__xludf.DUMMYFUNCTION("""COMPUTED_VALUE"""),"0-2")</f>
        <v>0-2</v>
      </c>
      <c r="E198" s="1" t="str">
        <f>IFERROR(__xludf.DUMMYFUNCTION("""COMPUTED_VALUE"""),"0-0")</f>
        <v>0-0</v>
      </c>
      <c r="F198" s="1" t="str">
        <f>IFERROR(__xludf.DUMMYFUNCTION("""COMPUTED_VALUE"""),"0-2")</f>
        <v>0-2</v>
      </c>
      <c r="G198" s="2">
        <f>IFERROR(__xludf.DUMMYFUNCTION("""COMPUTED_VALUE"""),45660.0)</f>
        <v>45660</v>
      </c>
      <c r="H198" s="2">
        <f>IFERROR(__xludf.DUMMYFUNCTION("""COMPUTED_VALUE"""),45749.0)</f>
        <v>45749</v>
      </c>
    </row>
    <row r="199">
      <c r="A199" s="1">
        <f>IFERROR(__xludf.DUMMYFUNCTION("""COMPUTED_VALUE"""),195.0)</f>
        <v>195</v>
      </c>
      <c r="B199" s="1" t="str">
        <f>IFERROR(__xludf.DUMMYFUNCTION("""COMPUTED_VALUE"""),"Lamar")</f>
        <v>Lamar</v>
      </c>
      <c r="C199" s="1" t="str">
        <f>IFERROR(__xludf.DUMMYFUNCTION("""COMPUTED_VALUE"""),"0-2")</f>
        <v>0-2</v>
      </c>
      <c r="D199" s="1" t="str">
        <f>IFERROR(__xludf.DUMMYFUNCTION("""COMPUTED_VALUE"""),"0-2")</f>
        <v>0-2</v>
      </c>
      <c r="E199" s="1" t="str">
        <f>IFERROR(__xludf.DUMMYFUNCTION("""COMPUTED_VALUE"""),"0-0")</f>
        <v>0-0</v>
      </c>
      <c r="F199" s="1" t="str">
        <f>IFERROR(__xludf.DUMMYFUNCTION("""COMPUTED_VALUE"""),"0-2")</f>
        <v>0-2</v>
      </c>
      <c r="G199" s="2">
        <f>IFERROR(__xludf.DUMMYFUNCTION("""COMPUTED_VALUE"""),45689.0)</f>
        <v>45689</v>
      </c>
      <c r="H199" s="2">
        <f>IFERROR(__xludf.DUMMYFUNCTION("""COMPUTED_VALUE"""),45750.0)</f>
        <v>45750</v>
      </c>
    </row>
    <row r="200">
      <c r="A200" s="1">
        <f>IFERROR(__xludf.DUMMYFUNCTION("""COMPUTED_VALUE"""),196.0)</f>
        <v>196</v>
      </c>
      <c r="B200" s="1" t="str">
        <f>IFERROR(__xludf.DUMMYFUNCTION("""COMPUTED_VALUE"""),"Vermont")</f>
        <v>Vermont</v>
      </c>
      <c r="C200" s="1" t="str">
        <f>IFERROR(__xludf.DUMMYFUNCTION("""COMPUTED_VALUE"""),"0-1")</f>
        <v>0-1</v>
      </c>
      <c r="D200" s="1" t="str">
        <f>IFERROR(__xludf.DUMMYFUNCTION("""COMPUTED_VALUE"""),"0-1")</f>
        <v>0-1</v>
      </c>
      <c r="E200" s="1" t="str">
        <f>IFERROR(__xludf.DUMMYFUNCTION("""COMPUTED_VALUE"""),"0-1")</f>
        <v>0-1</v>
      </c>
      <c r="F200" s="1" t="str">
        <f>IFERROR(__xludf.DUMMYFUNCTION("""COMPUTED_VALUE"""),"0-2")</f>
        <v>0-2</v>
      </c>
      <c r="G200" s="2">
        <f>IFERROR(__xludf.DUMMYFUNCTION("""COMPUTED_VALUE"""),45689.0)</f>
        <v>45689</v>
      </c>
      <c r="H200" s="2">
        <f>IFERROR(__xludf.DUMMYFUNCTION("""COMPUTED_VALUE"""),45752.0)</f>
        <v>45752</v>
      </c>
    </row>
    <row r="201">
      <c r="A201" s="1">
        <f>IFERROR(__xludf.DUMMYFUNCTION("""COMPUTED_VALUE"""),197.0)</f>
        <v>197</v>
      </c>
      <c r="B201" s="1" t="str">
        <f>IFERROR(__xludf.DUMMYFUNCTION("""COMPUTED_VALUE"""),"Cal St. Northridge")</f>
        <v>Cal St. Northridge</v>
      </c>
      <c r="C201" s="1" t="str">
        <f>IFERROR(__xludf.DUMMYFUNCTION("""COMPUTED_VALUE"""),"0-0")</f>
        <v>0-0</v>
      </c>
      <c r="D201" s="1" t="str">
        <f>IFERROR(__xludf.DUMMYFUNCTION("""COMPUTED_VALUE"""),"0-1")</f>
        <v>0-1</v>
      </c>
      <c r="E201" s="1" t="str">
        <f>IFERROR(__xludf.DUMMYFUNCTION("""COMPUTED_VALUE"""),"0-1")</f>
        <v>0-1</v>
      </c>
      <c r="F201" s="1" t="str">
        <f>IFERROR(__xludf.DUMMYFUNCTION("""COMPUTED_VALUE"""),"0-2")</f>
        <v>0-2</v>
      </c>
      <c r="G201" s="2">
        <f>IFERROR(__xludf.DUMMYFUNCTION("""COMPUTED_VALUE"""),45690.0)</f>
        <v>45690</v>
      </c>
      <c r="H201" s="1" t="str">
        <f>IFERROR(__xludf.DUMMYFUNCTION("""COMPUTED_VALUE"""),"7-0")</f>
        <v>7-0</v>
      </c>
    </row>
    <row r="202">
      <c r="A202" s="1">
        <f>IFERROR(__xludf.DUMMYFUNCTION("""COMPUTED_VALUE"""),198.0)</f>
        <v>198</v>
      </c>
      <c r="B202" s="1" t="str">
        <f>IFERROR(__xludf.DUMMYFUNCTION("""COMPUTED_VALUE"""),"UNC Asheville")</f>
        <v>UNC Asheville</v>
      </c>
      <c r="C202" s="1" t="str">
        <f>IFERROR(__xludf.DUMMYFUNCTION("""COMPUTED_VALUE"""),"0-1")</f>
        <v>0-1</v>
      </c>
      <c r="D202" s="1" t="str">
        <f>IFERROR(__xludf.DUMMYFUNCTION("""COMPUTED_VALUE"""),"0-1")</f>
        <v>0-1</v>
      </c>
      <c r="E202" s="1" t="str">
        <f>IFERROR(__xludf.DUMMYFUNCTION("""COMPUTED_VALUE"""),"0-1")</f>
        <v>0-1</v>
      </c>
      <c r="F202" s="1" t="str">
        <f>IFERROR(__xludf.DUMMYFUNCTION("""COMPUTED_VALUE"""),"0-2")</f>
        <v>0-2</v>
      </c>
      <c r="G202" s="2">
        <f>IFERROR(__xludf.DUMMYFUNCTION("""COMPUTED_VALUE"""),45690.0)</f>
        <v>45690</v>
      </c>
      <c r="H202" s="2">
        <f>IFERROR(__xludf.DUMMYFUNCTION("""COMPUTED_VALUE"""),45748.0)</f>
        <v>45748</v>
      </c>
    </row>
    <row r="203">
      <c r="A203" s="1">
        <f>IFERROR(__xludf.DUMMYFUNCTION("""COMPUTED_VALUE"""),199.0)</f>
        <v>199</v>
      </c>
      <c r="B203" s="1" t="str">
        <f>IFERROR(__xludf.DUMMYFUNCTION("""COMPUTED_VALUE"""),"Miami OH")</f>
        <v>Miami OH</v>
      </c>
      <c r="C203" s="1" t="str">
        <f>IFERROR(__xludf.DUMMYFUNCTION("""COMPUTED_VALUE"""),"0-1")</f>
        <v>0-1</v>
      </c>
      <c r="D203" s="1" t="str">
        <f>IFERROR(__xludf.DUMMYFUNCTION("""COMPUTED_VALUE"""),"0-2")</f>
        <v>0-2</v>
      </c>
      <c r="E203" s="1" t="str">
        <f>IFERROR(__xludf.DUMMYFUNCTION("""COMPUTED_VALUE"""),"0-0")</f>
        <v>0-0</v>
      </c>
      <c r="F203" s="1" t="str">
        <f>IFERROR(__xludf.DUMMYFUNCTION("""COMPUTED_VALUE"""),"0-2")</f>
        <v>0-2</v>
      </c>
      <c r="G203" s="1" t="str">
        <f>IFERROR(__xludf.DUMMYFUNCTION("""COMPUTED_VALUE"""),"1-0")</f>
        <v>1-0</v>
      </c>
      <c r="H203" s="2">
        <f>IFERROR(__xludf.DUMMYFUNCTION("""COMPUTED_VALUE"""),45810.0)</f>
        <v>45810</v>
      </c>
    </row>
    <row r="204">
      <c r="A204" s="1">
        <f>IFERROR(__xludf.DUMMYFUNCTION("""COMPUTED_VALUE"""),200.0)</f>
        <v>200</v>
      </c>
      <c r="B204" s="1" t="str">
        <f>IFERROR(__xludf.DUMMYFUNCTION("""COMPUTED_VALUE"""),"Army")</f>
        <v>Army</v>
      </c>
      <c r="C204" s="1" t="str">
        <f>IFERROR(__xludf.DUMMYFUNCTION("""COMPUTED_VALUE"""),"0-1")</f>
        <v>0-1</v>
      </c>
      <c r="D204" s="1" t="str">
        <f>IFERROR(__xludf.DUMMYFUNCTION("""COMPUTED_VALUE"""),"0-1")</f>
        <v>0-1</v>
      </c>
      <c r="E204" s="1" t="str">
        <f>IFERROR(__xludf.DUMMYFUNCTION("""COMPUTED_VALUE"""),"0-1")</f>
        <v>0-1</v>
      </c>
      <c r="F204" s="1" t="str">
        <f>IFERROR(__xludf.DUMMYFUNCTION("""COMPUTED_VALUE"""),"0-2")</f>
        <v>0-2</v>
      </c>
      <c r="G204" s="1" t="str">
        <f>IFERROR(__xludf.DUMMYFUNCTION("""COMPUTED_VALUE"""),"0-2")</f>
        <v>0-2</v>
      </c>
      <c r="H204" s="2">
        <f>IFERROR(__xludf.DUMMYFUNCTION("""COMPUTED_VALUE"""),45751.0)</f>
        <v>45751</v>
      </c>
    </row>
    <row r="205">
      <c r="A205" s="1" t="str">
        <f>IFERROR(__xludf.DUMMYFUNCTION("""COMPUTED_VALUE"""),"Rk")</f>
        <v>Rk</v>
      </c>
      <c r="B205" s="1" t="str">
        <f>IFERROR(__xludf.DUMMYFUNCTION("""COMPUTED_VALUE"""),"Team")</f>
        <v>Team</v>
      </c>
      <c r="C205" s="1" t="str">
        <f>IFERROR(__xludf.DUMMYFUNCTION("""COMPUTED_VALUE"""),"Q1-A")</f>
        <v>Q1-A</v>
      </c>
      <c r="D205" s="1" t="str">
        <f>IFERROR(__xludf.DUMMYFUNCTION("""COMPUTED_VALUE"""),"Q1")</f>
        <v>Q1</v>
      </c>
      <c r="E205" s="1" t="str">
        <f>IFERROR(__xludf.DUMMYFUNCTION("""COMPUTED_VALUE"""),"Q2")</f>
        <v>Q2</v>
      </c>
      <c r="F205" s="1" t="str">
        <f>IFERROR(__xludf.DUMMYFUNCTION("""COMPUTED_VALUE"""),"Q1&amp;2")</f>
        <v>Q1&amp;2</v>
      </c>
      <c r="G205" s="1" t="str">
        <f>IFERROR(__xludf.DUMMYFUNCTION("""COMPUTED_VALUE"""),"Q3")</f>
        <v>Q3</v>
      </c>
      <c r="H205" s="1" t="str">
        <f>IFERROR(__xludf.DUMMYFUNCTION("""COMPUTED_VALUE"""),"Q4")</f>
        <v>Q4</v>
      </c>
    </row>
    <row r="206">
      <c r="A206" s="1">
        <f>IFERROR(__xludf.DUMMYFUNCTION("""COMPUTED_VALUE"""),201.0)</f>
        <v>201</v>
      </c>
      <c r="B206" s="1" t="str">
        <f>IFERROR(__xludf.DUMMYFUNCTION("""COMPUTED_VALUE"""),"Milwaukee 15")</f>
        <v>Milwaukee 15</v>
      </c>
      <c r="C206" s="1" t="str">
        <f>IFERROR(__xludf.DUMMYFUNCTION("""COMPUTED_VALUE"""),"0-0")</f>
        <v>0-0</v>
      </c>
      <c r="D206" s="1" t="str">
        <f>IFERROR(__xludf.DUMMYFUNCTION("""COMPUTED_VALUE"""),"0-0")</f>
        <v>0-0</v>
      </c>
      <c r="E206" s="1" t="str">
        <f>IFERROR(__xludf.DUMMYFUNCTION("""COMPUTED_VALUE"""),"0-2")</f>
        <v>0-2</v>
      </c>
      <c r="F206" s="1" t="str">
        <f>IFERROR(__xludf.DUMMYFUNCTION("""COMPUTED_VALUE"""),"0-2")</f>
        <v>0-2</v>
      </c>
      <c r="G206" s="2">
        <f>IFERROR(__xludf.DUMMYFUNCTION("""COMPUTED_VALUE"""),45749.0)</f>
        <v>45749</v>
      </c>
      <c r="H206" s="2">
        <f>IFERROR(__xludf.DUMMYFUNCTION("""COMPUTED_VALUE"""),45778.0)</f>
        <v>45778</v>
      </c>
    </row>
    <row r="207">
      <c r="A207" s="1">
        <f>IFERROR(__xludf.DUMMYFUNCTION("""COMPUTED_VALUE"""),202.0)</f>
        <v>202</v>
      </c>
      <c r="B207" s="1" t="str">
        <f>IFERROR(__xludf.DUMMYFUNCTION("""COMPUTED_VALUE"""),"Wright St.")</f>
        <v>Wright St.</v>
      </c>
      <c r="C207" s="1" t="str">
        <f>IFERROR(__xludf.DUMMYFUNCTION("""COMPUTED_VALUE"""),"0-1")</f>
        <v>0-1</v>
      </c>
      <c r="D207" s="1" t="str">
        <f>IFERROR(__xludf.DUMMYFUNCTION("""COMPUTED_VALUE"""),"0-1")</f>
        <v>0-1</v>
      </c>
      <c r="E207" s="1" t="str">
        <f>IFERROR(__xludf.DUMMYFUNCTION("""COMPUTED_VALUE"""),"0-1")</f>
        <v>0-1</v>
      </c>
      <c r="F207" s="1" t="str">
        <f>IFERROR(__xludf.DUMMYFUNCTION("""COMPUTED_VALUE"""),"0-2")</f>
        <v>0-2</v>
      </c>
      <c r="G207" s="2">
        <f>IFERROR(__xludf.DUMMYFUNCTION("""COMPUTED_VALUE"""),45692.0)</f>
        <v>45692</v>
      </c>
      <c r="H207" s="2">
        <f>IFERROR(__xludf.DUMMYFUNCTION("""COMPUTED_VALUE"""),45749.0)</f>
        <v>45749</v>
      </c>
    </row>
    <row r="208">
      <c r="A208" s="1">
        <f>IFERROR(__xludf.DUMMYFUNCTION("""COMPUTED_VALUE"""),203.0)</f>
        <v>203</v>
      </c>
      <c r="B208" s="1" t="str">
        <f>IFERROR(__xludf.DUMMYFUNCTION("""COMPUTED_VALUE"""),"Alabama A&amp;M")</f>
        <v>Alabama A&amp;M</v>
      </c>
      <c r="C208" s="1" t="str">
        <f>IFERROR(__xludf.DUMMYFUNCTION("""COMPUTED_VALUE"""),"0-1")</f>
        <v>0-1</v>
      </c>
      <c r="D208" s="1" t="str">
        <f>IFERROR(__xludf.DUMMYFUNCTION("""COMPUTED_VALUE"""),"0-1")</f>
        <v>0-1</v>
      </c>
      <c r="E208" s="1" t="str">
        <f>IFERROR(__xludf.DUMMYFUNCTION("""COMPUTED_VALUE"""),"0-1")</f>
        <v>0-1</v>
      </c>
      <c r="F208" s="1" t="str">
        <f>IFERROR(__xludf.DUMMYFUNCTION("""COMPUTED_VALUE"""),"0-2")</f>
        <v>0-2</v>
      </c>
      <c r="G208" s="1" t="str">
        <f>IFERROR(__xludf.DUMMYFUNCTION("""COMPUTED_VALUE"""),"0-4")</f>
        <v>0-4</v>
      </c>
      <c r="H208" s="2">
        <f>IFERROR(__xludf.DUMMYFUNCTION("""COMPUTED_VALUE"""),45719.0)</f>
        <v>45719</v>
      </c>
    </row>
    <row r="209">
      <c r="A209" s="1">
        <f>IFERROR(__xludf.DUMMYFUNCTION("""COMPUTED_VALUE"""),204.0)</f>
        <v>204</v>
      </c>
      <c r="B209" s="1" t="str">
        <f>IFERROR(__xludf.DUMMYFUNCTION("""COMPUTED_VALUE"""),"Appalachian St.")</f>
        <v>Appalachian St.</v>
      </c>
      <c r="C209" s="1" t="str">
        <f>IFERROR(__xludf.DUMMYFUNCTION("""COMPUTED_VALUE"""),"0-1")</f>
        <v>0-1</v>
      </c>
      <c r="D209" s="1" t="str">
        <f>IFERROR(__xludf.DUMMYFUNCTION("""COMPUTED_VALUE"""),"0-2")</f>
        <v>0-2</v>
      </c>
      <c r="E209" s="1" t="str">
        <f>IFERROR(__xludf.DUMMYFUNCTION("""COMPUTED_VALUE"""),"0-0")</f>
        <v>0-0</v>
      </c>
      <c r="F209" s="1" t="str">
        <f>IFERROR(__xludf.DUMMYFUNCTION("""COMPUTED_VALUE"""),"0-2")</f>
        <v>0-2</v>
      </c>
      <c r="G209" s="2">
        <f>IFERROR(__xludf.DUMMYFUNCTION("""COMPUTED_VALUE"""),45661.0)</f>
        <v>45661</v>
      </c>
      <c r="H209" s="2">
        <f>IFERROR(__xludf.DUMMYFUNCTION("""COMPUTED_VALUE"""),45748.0)</f>
        <v>45748</v>
      </c>
    </row>
    <row r="210">
      <c r="A210" s="1">
        <f>IFERROR(__xludf.DUMMYFUNCTION("""COMPUTED_VALUE"""),205.0)</f>
        <v>205</v>
      </c>
      <c r="B210" s="1" t="str">
        <f>IFERROR(__xludf.DUMMYFUNCTION("""COMPUTED_VALUE"""),"LIU")</f>
        <v>LIU</v>
      </c>
      <c r="C210" s="1" t="str">
        <f>IFERROR(__xludf.DUMMYFUNCTION("""COMPUTED_VALUE"""),"0-1")</f>
        <v>0-1</v>
      </c>
      <c r="D210" s="1" t="str">
        <f>IFERROR(__xludf.DUMMYFUNCTION("""COMPUTED_VALUE"""),"0-2")</f>
        <v>0-2</v>
      </c>
      <c r="E210" s="1" t="str">
        <f>IFERROR(__xludf.DUMMYFUNCTION("""COMPUTED_VALUE"""),"0-0")</f>
        <v>0-0</v>
      </c>
      <c r="F210" s="1" t="str">
        <f>IFERROR(__xludf.DUMMYFUNCTION("""COMPUTED_VALUE"""),"0-2")</f>
        <v>0-2</v>
      </c>
      <c r="G210" s="1" t="str">
        <f>IFERROR(__xludf.DUMMYFUNCTION("""COMPUTED_VALUE"""),"0-4")</f>
        <v>0-4</v>
      </c>
      <c r="H210" s="2">
        <f>IFERROR(__xludf.DUMMYFUNCTION("""COMPUTED_VALUE"""),45752.0)</f>
        <v>45752</v>
      </c>
    </row>
    <row r="211">
      <c r="A211" s="1">
        <f>IFERROR(__xludf.DUMMYFUNCTION("""COMPUTED_VALUE"""),206.0)</f>
        <v>206</v>
      </c>
      <c r="B211" s="1" t="str">
        <f>IFERROR(__xludf.DUMMYFUNCTION("""COMPUTED_VALUE"""),"Dartmouth")</f>
        <v>Dartmouth</v>
      </c>
      <c r="C211" s="1" t="str">
        <f>IFERROR(__xludf.DUMMYFUNCTION("""COMPUTED_VALUE"""),"0-0")</f>
        <v>0-0</v>
      </c>
      <c r="D211" s="1" t="str">
        <f>IFERROR(__xludf.DUMMYFUNCTION("""COMPUTED_VALUE"""),"0-0")</f>
        <v>0-0</v>
      </c>
      <c r="E211" s="1" t="str">
        <f>IFERROR(__xludf.DUMMYFUNCTION("""COMPUTED_VALUE"""),"0-2")</f>
        <v>0-2</v>
      </c>
      <c r="F211" s="1" t="str">
        <f>IFERROR(__xludf.DUMMYFUNCTION("""COMPUTED_VALUE"""),"0-2")</f>
        <v>0-2</v>
      </c>
      <c r="G211" s="2">
        <f>IFERROR(__xludf.DUMMYFUNCTION("""COMPUTED_VALUE"""),45659.0)</f>
        <v>45659</v>
      </c>
      <c r="H211" s="2">
        <f>IFERROR(__xludf.DUMMYFUNCTION("""COMPUTED_VALUE"""),45719.0)</f>
        <v>45719</v>
      </c>
    </row>
    <row r="212">
      <c r="A212" s="1">
        <f>IFERROR(__xludf.DUMMYFUNCTION("""COMPUTED_VALUE"""),207.0)</f>
        <v>207</v>
      </c>
      <c r="B212" s="1" t="str">
        <f>IFERROR(__xludf.DUMMYFUNCTION("""COMPUTED_VALUE"""),"Georgia Southern")</f>
        <v>Georgia Southern</v>
      </c>
      <c r="C212" s="1" t="str">
        <f>IFERROR(__xludf.DUMMYFUNCTION("""COMPUTED_VALUE"""),"0-0")</f>
        <v>0-0</v>
      </c>
      <c r="D212" s="1" t="str">
        <f>IFERROR(__xludf.DUMMYFUNCTION("""COMPUTED_VALUE"""),"0-1")</f>
        <v>0-1</v>
      </c>
      <c r="E212" s="1" t="str">
        <f>IFERROR(__xludf.DUMMYFUNCTION("""COMPUTED_VALUE"""),"0-1")</f>
        <v>0-1</v>
      </c>
      <c r="F212" s="1" t="str">
        <f>IFERROR(__xludf.DUMMYFUNCTION("""COMPUTED_VALUE"""),"0-2")</f>
        <v>0-2</v>
      </c>
      <c r="G212" s="2">
        <f>IFERROR(__xludf.DUMMYFUNCTION("""COMPUTED_VALUE"""),45662.0)</f>
        <v>45662</v>
      </c>
      <c r="H212" s="1" t="str">
        <f>IFERROR(__xludf.DUMMYFUNCTION("""COMPUTED_VALUE"""),"6-0")</f>
        <v>6-0</v>
      </c>
    </row>
    <row r="213">
      <c r="A213" s="1">
        <f>IFERROR(__xludf.DUMMYFUNCTION("""COMPUTED_VALUE"""),208.0)</f>
        <v>208</v>
      </c>
      <c r="B213" s="1" t="str">
        <f>IFERROR(__xludf.DUMMYFUNCTION("""COMPUTED_VALUE"""),"West Georgia")</f>
        <v>West Georgia</v>
      </c>
      <c r="C213" s="1" t="str">
        <f>IFERROR(__xludf.DUMMYFUNCTION("""COMPUTED_VALUE"""),"0-1")</f>
        <v>0-1</v>
      </c>
      <c r="D213" s="1" t="str">
        <f>IFERROR(__xludf.DUMMYFUNCTION("""COMPUTED_VALUE"""),"0-1")</f>
        <v>0-1</v>
      </c>
      <c r="E213" s="1" t="str">
        <f>IFERROR(__xludf.DUMMYFUNCTION("""COMPUTED_VALUE"""),"0-1")</f>
        <v>0-1</v>
      </c>
      <c r="F213" s="1" t="str">
        <f>IFERROR(__xludf.DUMMYFUNCTION("""COMPUTED_VALUE"""),"0-2")</f>
        <v>0-2</v>
      </c>
      <c r="G213" s="1" t="str">
        <f>IFERROR(__xludf.DUMMYFUNCTION("""COMPUTED_VALUE"""),"0-6")</f>
        <v>0-6</v>
      </c>
      <c r="H213" s="2">
        <f>IFERROR(__xludf.DUMMYFUNCTION("""COMPUTED_VALUE"""),45662.0)</f>
        <v>45662</v>
      </c>
    </row>
    <row r="214">
      <c r="A214" s="1">
        <f>IFERROR(__xludf.DUMMYFUNCTION("""COMPUTED_VALUE"""),209.0)</f>
        <v>209</v>
      </c>
      <c r="B214" s="1" t="str">
        <f>IFERROR(__xludf.DUMMYFUNCTION("""COMPUTED_VALUE"""),"Samford")</f>
        <v>Samford</v>
      </c>
      <c r="C214" s="1" t="str">
        <f>IFERROR(__xludf.DUMMYFUNCTION("""COMPUTED_VALUE"""),"0-2")</f>
        <v>0-2</v>
      </c>
      <c r="D214" s="1" t="str">
        <f>IFERROR(__xludf.DUMMYFUNCTION("""COMPUTED_VALUE"""),"0-2")</f>
        <v>0-2</v>
      </c>
      <c r="E214" s="1" t="str">
        <f>IFERROR(__xludf.DUMMYFUNCTION("""COMPUTED_VALUE"""),"0-0")</f>
        <v>0-0</v>
      </c>
      <c r="F214" s="1" t="str">
        <f>IFERROR(__xludf.DUMMYFUNCTION("""COMPUTED_VALUE"""),"0-2")</f>
        <v>0-2</v>
      </c>
      <c r="G214" s="2">
        <f>IFERROR(__xludf.DUMMYFUNCTION("""COMPUTED_VALUE"""),45748.0)</f>
        <v>45748</v>
      </c>
      <c r="H214" s="1" t="str">
        <f>IFERROR(__xludf.DUMMYFUNCTION("""COMPUTED_VALUE"""),"6-0")</f>
        <v>6-0</v>
      </c>
    </row>
    <row r="215">
      <c r="A215" s="1">
        <f>IFERROR(__xludf.DUMMYFUNCTION("""COMPUTED_VALUE"""),210.0)</f>
        <v>210</v>
      </c>
      <c r="B215" s="1" t="str">
        <f>IFERROR(__xludf.DUMMYFUNCTION("""COMPUTED_VALUE"""),"North Carolina Central")</f>
        <v>North Carolina Central</v>
      </c>
      <c r="C215" s="1" t="str">
        <f>IFERROR(__xludf.DUMMYFUNCTION("""COMPUTED_VALUE"""),"0-1")</f>
        <v>0-1</v>
      </c>
      <c r="D215" s="1" t="str">
        <f>IFERROR(__xludf.DUMMYFUNCTION("""COMPUTED_VALUE"""),"0-1")</f>
        <v>0-1</v>
      </c>
      <c r="E215" s="1" t="str">
        <f>IFERROR(__xludf.DUMMYFUNCTION("""COMPUTED_VALUE"""),"0-1")</f>
        <v>0-1</v>
      </c>
      <c r="F215" s="1" t="str">
        <f>IFERROR(__xludf.DUMMYFUNCTION("""COMPUTED_VALUE"""),"0-2")</f>
        <v>0-2</v>
      </c>
      <c r="G215" s="2">
        <f>IFERROR(__xludf.DUMMYFUNCTION("""COMPUTED_VALUE"""),45718.0)</f>
        <v>45718</v>
      </c>
      <c r="H215" s="1" t="str">
        <f>IFERROR(__xludf.DUMMYFUNCTION("""COMPUTED_VALUE"""),"0-7")</f>
        <v>0-7</v>
      </c>
    </row>
    <row r="216">
      <c r="A216" s="1">
        <f>IFERROR(__xludf.DUMMYFUNCTION("""COMPUTED_VALUE"""),211.0)</f>
        <v>211</v>
      </c>
      <c r="B216" s="1" t="str">
        <f>IFERROR(__xludf.DUMMYFUNCTION("""COMPUTED_VALUE"""),"Brown")</f>
        <v>Brown</v>
      </c>
      <c r="C216" s="1" t="str">
        <f>IFERROR(__xludf.DUMMYFUNCTION("""COMPUTED_VALUE"""),"0-2")</f>
        <v>0-2</v>
      </c>
      <c r="D216" s="1" t="str">
        <f>IFERROR(__xludf.DUMMYFUNCTION("""COMPUTED_VALUE"""),"0-2")</f>
        <v>0-2</v>
      </c>
      <c r="E216" s="1" t="str">
        <f>IFERROR(__xludf.DUMMYFUNCTION("""COMPUTED_VALUE"""),"0-0")</f>
        <v>0-0</v>
      </c>
      <c r="F216" s="1" t="str">
        <f>IFERROR(__xludf.DUMMYFUNCTION("""COMPUTED_VALUE"""),"0-2")</f>
        <v>0-2</v>
      </c>
      <c r="G216" s="1" t="str">
        <f>IFERROR(__xludf.DUMMYFUNCTION("""COMPUTED_VALUE"""),"2-0")</f>
        <v>2-0</v>
      </c>
      <c r="H216" s="2">
        <f>IFERROR(__xludf.DUMMYFUNCTION("""COMPUTED_VALUE"""),45780.0)</f>
        <v>45780</v>
      </c>
    </row>
    <row r="217">
      <c r="A217" s="1">
        <f>IFERROR(__xludf.DUMMYFUNCTION("""COMPUTED_VALUE"""),212.0)</f>
        <v>212</v>
      </c>
      <c r="B217" s="1" t="str">
        <f>IFERROR(__xludf.DUMMYFUNCTION("""COMPUTED_VALUE"""),"Southern Indiana")</f>
        <v>Southern Indiana</v>
      </c>
      <c r="C217" s="1" t="str">
        <f>IFERROR(__xludf.DUMMYFUNCTION("""COMPUTED_VALUE"""),"0-0")</f>
        <v>0-0</v>
      </c>
      <c r="D217" s="1" t="str">
        <f>IFERROR(__xludf.DUMMYFUNCTION("""COMPUTED_VALUE"""),"0-0")</f>
        <v>0-0</v>
      </c>
      <c r="E217" s="1" t="str">
        <f>IFERROR(__xludf.DUMMYFUNCTION("""COMPUTED_VALUE"""),"0-2")</f>
        <v>0-2</v>
      </c>
      <c r="F217" s="1" t="str">
        <f>IFERROR(__xludf.DUMMYFUNCTION("""COMPUTED_VALUE"""),"0-2")</f>
        <v>0-2</v>
      </c>
      <c r="G217" s="1" t="str">
        <f>IFERROR(__xludf.DUMMYFUNCTION("""COMPUTED_VALUE"""),"0-1")</f>
        <v>0-1</v>
      </c>
      <c r="H217" s="2">
        <f>IFERROR(__xludf.DUMMYFUNCTION("""COMPUTED_VALUE"""),45752.0)</f>
        <v>45752</v>
      </c>
    </row>
    <row r="218">
      <c r="A218" s="1">
        <f>IFERROR(__xludf.DUMMYFUNCTION("""COMPUTED_VALUE"""),213.0)</f>
        <v>213</v>
      </c>
      <c r="B218" s="1" t="str">
        <f>IFERROR(__xludf.DUMMYFUNCTION("""COMPUTED_VALUE"""),"Morgan St.")</f>
        <v>Morgan St.</v>
      </c>
      <c r="C218" s="1" t="str">
        <f>IFERROR(__xludf.DUMMYFUNCTION("""COMPUTED_VALUE"""),"0-1")</f>
        <v>0-1</v>
      </c>
      <c r="D218" s="1" t="str">
        <f>IFERROR(__xludf.DUMMYFUNCTION("""COMPUTED_VALUE"""),"0-2")</f>
        <v>0-2</v>
      </c>
      <c r="E218" s="1" t="str">
        <f>IFERROR(__xludf.DUMMYFUNCTION("""COMPUTED_VALUE"""),"0-0")</f>
        <v>0-0</v>
      </c>
      <c r="F218" s="1" t="str">
        <f>IFERROR(__xludf.DUMMYFUNCTION("""COMPUTED_VALUE"""),"0-2")</f>
        <v>0-2</v>
      </c>
      <c r="G218" s="1" t="str">
        <f>IFERROR(__xludf.DUMMYFUNCTION("""COMPUTED_VALUE"""),"0-2")</f>
        <v>0-2</v>
      </c>
      <c r="H218" s="2">
        <f>IFERROR(__xludf.DUMMYFUNCTION("""COMPUTED_VALUE"""),45695.0)</f>
        <v>45695</v>
      </c>
    </row>
    <row r="219">
      <c r="A219" s="1">
        <f>IFERROR(__xludf.DUMMYFUNCTION("""COMPUTED_VALUE"""),214.0)</f>
        <v>214</v>
      </c>
      <c r="B219" s="1" t="str">
        <f>IFERROR(__xludf.DUMMYFUNCTION("""COMPUTED_VALUE"""),"Tennessee St.")</f>
        <v>Tennessee St.</v>
      </c>
      <c r="C219" s="1" t="str">
        <f>IFERROR(__xludf.DUMMYFUNCTION("""COMPUTED_VALUE"""),"0-0")</f>
        <v>0-0</v>
      </c>
      <c r="D219" s="1" t="str">
        <f>IFERROR(__xludf.DUMMYFUNCTION("""COMPUTED_VALUE"""),"0-0")</f>
        <v>0-0</v>
      </c>
      <c r="E219" s="1" t="str">
        <f>IFERROR(__xludf.DUMMYFUNCTION("""COMPUTED_VALUE"""),"0-2")</f>
        <v>0-2</v>
      </c>
      <c r="F219" s="1" t="str">
        <f>IFERROR(__xludf.DUMMYFUNCTION("""COMPUTED_VALUE"""),"0-2")</f>
        <v>0-2</v>
      </c>
      <c r="G219" s="1" t="str">
        <f>IFERROR(__xludf.DUMMYFUNCTION("""COMPUTED_VALUE"""),"0-3")</f>
        <v>0-3</v>
      </c>
      <c r="H219" s="2">
        <f>IFERROR(__xludf.DUMMYFUNCTION("""COMPUTED_VALUE"""),45693.0)</f>
        <v>45693</v>
      </c>
    </row>
    <row r="220">
      <c r="A220" s="1">
        <f>IFERROR(__xludf.DUMMYFUNCTION("""COMPUTED_VALUE"""),215.0)</f>
        <v>215</v>
      </c>
      <c r="B220" s="1" t="str">
        <f>IFERROR(__xludf.DUMMYFUNCTION("""COMPUTED_VALUE"""),"Stetson")</f>
        <v>Stetson</v>
      </c>
      <c r="C220" s="1" t="str">
        <f>IFERROR(__xludf.DUMMYFUNCTION("""COMPUTED_VALUE"""),"0-1")</f>
        <v>0-1</v>
      </c>
      <c r="D220" s="1" t="str">
        <f>IFERROR(__xludf.DUMMYFUNCTION("""COMPUTED_VALUE"""),"0-3")</f>
        <v>0-3</v>
      </c>
      <c r="E220" s="1" t="str">
        <f>IFERROR(__xludf.DUMMYFUNCTION("""COMPUTED_VALUE"""),"0-0")</f>
        <v>0-0</v>
      </c>
      <c r="F220" s="1" t="str">
        <f>IFERROR(__xludf.DUMMYFUNCTION("""COMPUTED_VALUE"""),"0-3")</f>
        <v>0-3</v>
      </c>
      <c r="G220" s="1" t="str">
        <f>IFERROR(__xludf.DUMMYFUNCTION("""COMPUTED_VALUE"""),"0-2")</f>
        <v>0-2</v>
      </c>
      <c r="H220" s="2">
        <f>IFERROR(__xludf.DUMMYFUNCTION("""COMPUTED_VALUE"""),45664.0)</f>
        <v>45664</v>
      </c>
    </row>
    <row r="221">
      <c r="A221" s="1">
        <f>IFERROR(__xludf.DUMMYFUNCTION("""COMPUTED_VALUE"""),216.0)</f>
        <v>216</v>
      </c>
      <c r="B221" s="1" t="str">
        <f>IFERROR(__xludf.DUMMYFUNCTION("""COMPUTED_VALUE"""),"North Dakota")</f>
        <v>North Dakota</v>
      </c>
      <c r="C221" s="1" t="str">
        <f>IFERROR(__xludf.DUMMYFUNCTION("""COMPUTED_VALUE"""),"0-1")</f>
        <v>0-1</v>
      </c>
      <c r="D221" s="1" t="str">
        <f>IFERROR(__xludf.DUMMYFUNCTION("""COMPUTED_VALUE"""),"0-1")</f>
        <v>0-1</v>
      </c>
      <c r="E221" s="1" t="str">
        <f>IFERROR(__xludf.DUMMYFUNCTION("""COMPUTED_VALUE"""),"0-2")</f>
        <v>0-2</v>
      </c>
      <c r="F221" s="1" t="str">
        <f>IFERROR(__xludf.DUMMYFUNCTION("""COMPUTED_VALUE"""),"0-3")</f>
        <v>0-3</v>
      </c>
      <c r="G221" s="2">
        <f>IFERROR(__xludf.DUMMYFUNCTION("""COMPUTED_VALUE"""),45690.0)</f>
        <v>45690</v>
      </c>
      <c r="H221" s="2">
        <f>IFERROR(__xludf.DUMMYFUNCTION("""COMPUTED_VALUE"""),45663.0)</f>
        <v>45663</v>
      </c>
    </row>
    <row r="222">
      <c r="A222" s="1">
        <f>IFERROR(__xludf.DUMMYFUNCTION("""COMPUTED_VALUE"""),217.0)</f>
        <v>217</v>
      </c>
      <c r="B222" s="1" t="str">
        <f>IFERROR(__xludf.DUMMYFUNCTION("""COMPUTED_VALUE"""),"Marshall")</f>
        <v>Marshall</v>
      </c>
      <c r="C222" s="1" t="str">
        <f>IFERROR(__xludf.DUMMYFUNCTION("""COMPUTED_VALUE"""),"0-1")</f>
        <v>0-1</v>
      </c>
      <c r="D222" s="1" t="str">
        <f>IFERROR(__xludf.DUMMYFUNCTION("""COMPUTED_VALUE"""),"0-1")</f>
        <v>0-1</v>
      </c>
      <c r="E222" s="1" t="str">
        <f>IFERROR(__xludf.DUMMYFUNCTION("""COMPUTED_VALUE"""),"0-2")</f>
        <v>0-2</v>
      </c>
      <c r="F222" s="1" t="str">
        <f>IFERROR(__xludf.DUMMYFUNCTION("""COMPUTED_VALUE"""),"0-3")</f>
        <v>0-3</v>
      </c>
      <c r="G222" s="1" t="str">
        <f>IFERROR(__xludf.DUMMYFUNCTION("""COMPUTED_VALUE"""),"0-3")</f>
        <v>0-3</v>
      </c>
      <c r="H222" s="2">
        <f>IFERROR(__xludf.DUMMYFUNCTION("""COMPUTED_VALUE"""),45810.0)</f>
        <v>45810</v>
      </c>
    </row>
    <row r="223">
      <c r="A223" s="1">
        <f>IFERROR(__xludf.DUMMYFUNCTION("""COMPUTED_VALUE"""),218.0)</f>
        <v>218</v>
      </c>
      <c r="B223" s="1" t="str">
        <f>IFERROR(__xludf.DUMMYFUNCTION("""COMPUTED_VALUE"""),"Stonehill")</f>
        <v>Stonehill</v>
      </c>
      <c r="C223" s="1" t="str">
        <f>IFERROR(__xludf.DUMMYFUNCTION("""COMPUTED_VALUE"""),"0-1")</f>
        <v>0-1</v>
      </c>
      <c r="D223" s="1" t="str">
        <f>IFERROR(__xludf.DUMMYFUNCTION("""COMPUTED_VALUE"""),"0-1")</f>
        <v>0-1</v>
      </c>
      <c r="E223" s="1" t="str">
        <f>IFERROR(__xludf.DUMMYFUNCTION("""COMPUTED_VALUE"""),"0-2")</f>
        <v>0-2</v>
      </c>
      <c r="F223" s="1" t="str">
        <f>IFERROR(__xludf.DUMMYFUNCTION("""COMPUTED_VALUE"""),"0-3")</f>
        <v>0-3</v>
      </c>
      <c r="G223" s="1" t="str">
        <f>IFERROR(__xludf.DUMMYFUNCTION("""COMPUTED_VALUE"""),"0-3")</f>
        <v>0-3</v>
      </c>
      <c r="H223" s="2">
        <f>IFERROR(__xludf.DUMMYFUNCTION("""COMPUTED_VALUE"""),45840.0)</f>
        <v>45840</v>
      </c>
    </row>
    <row r="224">
      <c r="A224" s="1">
        <f>IFERROR(__xludf.DUMMYFUNCTION("""COMPUTED_VALUE"""),219.0)</f>
        <v>219</v>
      </c>
      <c r="B224" s="1" t="str">
        <f>IFERROR(__xludf.DUMMYFUNCTION("""COMPUTED_VALUE"""),"Stephen F. Austin")</f>
        <v>Stephen F. Austin</v>
      </c>
      <c r="C224" s="1" t="str">
        <f>IFERROR(__xludf.DUMMYFUNCTION("""COMPUTED_VALUE"""),"0-1")</f>
        <v>0-1</v>
      </c>
      <c r="D224" s="1" t="str">
        <f>IFERROR(__xludf.DUMMYFUNCTION("""COMPUTED_VALUE"""),"0-1")</f>
        <v>0-1</v>
      </c>
      <c r="E224" s="1" t="str">
        <f>IFERROR(__xludf.DUMMYFUNCTION("""COMPUTED_VALUE"""),"0-2")</f>
        <v>0-2</v>
      </c>
      <c r="F224" s="1" t="str">
        <f>IFERROR(__xludf.DUMMYFUNCTION("""COMPUTED_VALUE"""),"0-3")</f>
        <v>0-3</v>
      </c>
      <c r="G224" s="1" t="str">
        <f>IFERROR(__xludf.DUMMYFUNCTION("""COMPUTED_VALUE"""),"0-2")</f>
        <v>0-2</v>
      </c>
      <c r="H224" s="2">
        <f>IFERROR(__xludf.DUMMYFUNCTION("""COMPUTED_VALUE"""),45750.0)</f>
        <v>45750</v>
      </c>
    </row>
    <row r="225">
      <c r="A225" s="1">
        <f>IFERROR(__xludf.DUMMYFUNCTION("""COMPUTED_VALUE"""),220.0)</f>
        <v>220</v>
      </c>
      <c r="B225" s="1" t="str">
        <f>IFERROR(__xludf.DUMMYFUNCTION("""COMPUTED_VALUE"""),"East Tennessee St.")</f>
        <v>East Tennessee St.</v>
      </c>
      <c r="C225" s="1" t="str">
        <f>IFERROR(__xludf.DUMMYFUNCTION("""COMPUTED_VALUE"""),"0-0")</f>
        <v>0-0</v>
      </c>
      <c r="D225" s="1" t="str">
        <f>IFERROR(__xludf.DUMMYFUNCTION("""COMPUTED_VALUE"""),"0-0")</f>
        <v>0-0</v>
      </c>
      <c r="E225" s="1" t="str">
        <f>IFERROR(__xludf.DUMMYFUNCTION("""COMPUTED_VALUE"""),"0-3")</f>
        <v>0-3</v>
      </c>
      <c r="F225" s="1" t="str">
        <f>IFERROR(__xludf.DUMMYFUNCTION("""COMPUTED_VALUE"""),"0-3")</f>
        <v>0-3</v>
      </c>
      <c r="G225" s="2">
        <f>IFERROR(__xludf.DUMMYFUNCTION("""COMPUTED_VALUE"""),45660.0)</f>
        <v>45660</v>
      </c>
      <c r="H225" s="2">
        <f>IFERROR(__xludf.DUMMYFUNCTION("""COMPUTED_VALUE"""),45778.0)</f>
        <v>45778</v>
      </c>
    </row>
    <row r="226">
      <c r="A226" s="1">
        <f>IFERROR(__xludf.DUMMYFUNCTION("""COMPUTED_VALUE"""),221.0)</f>
        <v>221</v>
      </c>
      <c r="B226" s="1" t="str">
        <f>IFERROR(__xludf.DUMMYFUNCTION("""COMPUTED_VALUE"""),"Quinnipiac")</f>
        <v>Quinnipiac</v>
      </c>
      <c r="C226" s="1" t="str">
        <f>IFERROR(__xludf.DUMMYFUNCTION("""COMPUTED_VALUE"""),"0-1")</f>
        <v>0-1</v>
      </c>
      <c r="D226" s="1" t="str">
        <f>IFERROR(__xludf.DUMMYFUNCTION("""COMPUTED_VALUE"""),"0-1")</f>
        <v>0-1</v>
      </c>
      <c r="E226" s="1" t="str">
        <f>IFERROR(__xludf.DUMMYFUNCTION("""COMPUTED_VALUE"""),"0-2")</f>
        <v>0-2</v>
      </c>
      <c r="F226" s="1" t="str">
        <f>IFERROR(__xludf.DUMMYFUNCTION("""COMPUTED_VALUE"""),"0-3")</f>
        <v>0-3</v>
      </c>
      <c r="G226" s="2">
        <f>IFERROR(__xludf.DUMMYFUNCTION("""COMPUTED_VALUE"""),45660.0)</f>
        <v>45660</v>
      </c>
      <c r="H226" s="2">
        <f>IFERROR(__xludf.DUMMYFUNCTION("""COMPUTED_VALUE"""),45779.0)</f>
        <v>45779</v>
      </c>
    </row>
    <row r="227">
      <c r="A227" s="1">
        <f>IFERROR(__xludf.DUMMYFUNCTION("""COMPUTED_VALUE"""),222.0)</f>
        <v>222</v>
      </c>
      <c r="B227" s="1" t="str">
        <f>IFERROR(__xludf.DUMMYFUNCTION("""COMPUTED_VALUE"""),"Bryant")</f>
        <v>Bryant</v>
      </c>
      <c r="C227" s="1" t="str">
        <f>IFERROR(__xludf.DUMMYFUNCTION("""COMPUTED_VALUE"""),"0-1")</f>
        <v>0-1</v>
      </c>
      <c r="D227" s="1" t="str">
        <f>IFERROR(__xludf.DUMMYFUNCTION("""COMPUTED_VALUE"""),"0-2")</f>
        <v>0-2</v>
      </c>
      <c r="E227" s="1" t="str">
        <f>IFERROR(__xludf.DUMMYFUNCTION("""COMPUTED_VALUE"""),"0-1")</f>
        <v>0-1</v>
      </c>
      <c r="F227" s="1" t="str">
        <f>IFERROR(__xludf.DUMMYFUNCTION("""COMPUTED_VALUE"""),"0-3")</f>
        <v>0-3</v>
      </c>
      <c r="G227" s="2">
        <f>IFERROR(__xludf.DUMMYFUNCTION("""COMPUTED_VALUE"""),45690.0)</f>
        <v>45690</v>
      </c>
      <c r="H227" s="2">
        <f>IFERROR(__xludf.DUMMYFUNCTION("""COMPUTED_VALUE"""),45720.0)</f>
        <v>45720</v>
      </c>
    </row>
    <row r="228">
      <c r="A228" s="1">
        <f>IFERROR(__xludf.DUMMYFUNCTION("""COMPUTED_VALUE"""),223.0)</f>
        <v>223</v>
      </c>
      <c r="B228" s="1" t="str">
        <f>IFERROR(__xludf.DUMMYFUNCTION("""COMPUTED_VALUE"""),"UNC Greensboro")</f>
        <v>UNC Greensboro</v>
      </c>
      <c r="C228" s="1" t="str">
        <f>IFERROR(__xludf.DUMMYFUNCTION("""COMPUTED_VALUE"""),"0-0")</f>
        <v>0-0</v>
      </c>
      <c r="D228" s="1" t="str">
        <f>IFERROR(__xludf.DUMMYFUNCTION("""COMPUTED_VALUE"""),"0-2")</f>
        <v>0-2</v>
      </c>
      <c r="E228" s="1" t="str">
        <f>IFERROR(__xludf.DUMMYFUNCTION("""COMPUTED_VALUE"""),"0-1")</f>
        <v>0-1</v>
      </c>
      <c r="F228" s="1" t="str">
        <f>IFERROR(__xludf.DUMMYFUNCTION("""COMPUTED_VALUE"""),"0-3")</f>
        <v>0-3</v>
      </c>
      <c r="G228" s="2">
        <f>IFERROR(__xludf.DUMMYFUNCTION("""COMPUTED_VALUE"""),45718.0)</f>
        <v>45718</v>
      </c>
      <c r="H228" s="2">
        <f>IFERROR(__xludf.DUMMYFUNCTION("""COMPUTED_VALUE"""),45717.0)</f>
        <v>45717</v>
      </c>
    </row>
    <row r="229">
      <c r="A229" s="1">
        <f>IFERROR(__xludf.DUMMYFUNCTION("""COMPUTED_VALUE"""),224.0)</f>
        <v>224</v>
      </c>
      <c r="B229" s="1" t="str">
        <f>IFERROR(__xludf.DUMMYFUNCTION("""COMPUTED_VALUE"""),"Little Rock 16")</f>
        <v>Little Rock 16</v>
      </c>
      <c r="C229" s="1" t="str">
        <f>IFERROR(__xludf.DUMMYFUNCTION("""COMPUTED_VALUE"""),"0-2")</f>
        <v>0-2</v>
      </c>
      <c r="D229" s="1" t="str">
        <f>IFERROR(__xludf.DUMMYFUNCTION("""COMPUTED_VALUE"""),"0-2")</f>
        <v>0-2</v>
      </c>
      <c r="E229" s="1" t="str">
        <f>IFERROR(__xludf.DUMMYFUNCTION("""COMPUTED_VALUE"""),"0-1")</f>
        <v>0-1</v>
      </c>
      <c r="F229" s="1" t="str">
        <f>IFERROR(__xludf.DUMMYFUNCTION("""COMPUTED_VALUE"""),"0-3")</f>
        <v>0-3</v>
      </c>
      <c r="G229" s="1" t="str">
        <f>IFERROR(__xludf.DUMMYFUNCTION("""COMPUTED_VALUE"""),"0-2")</f>
        <v>0-2</v>
      </c>
      <c r="H229" s="2">
        <f>IFERROR(__xludf.DUMMYFUNCTION("""COMPUTED_VALUE"""),45809.0)</f>
        <v>45809</v>
      </c>
    </row>
    <row r="230">
      <c r="A230" s="1">
        <f>IFERROR(__xludf.DUMMYFUNCTION("""COMPUTED_VALUE"""),225.0)</f>
        <v>225</v>
      </c>
      <c r="B230" s="1" t="str">
        <f>IFERROR(__xludf.DUMMYFUNCTION("""COMPUTED_VALUE"""),"Purdue Fort Wayne")</f>
        <v>Purdue Fort Wayne</v>
      </c>
      <c r="C230" s="1" t="str">
        <f>IFERROR(__xludf.DUMMYFUNCTION("""COMPUTED_VALUE"""),"0-1")</f>
        <v>0-1</v>
      </c>
      <c r="D230" s="1" t="str">
        <f>IFERROR(__xludf.DUMMYFUNCTION("""COMPUTED_VALUE"""),"0-2")</f>
        <v>0-2</v>
      </c>
      <c r="E230" s="1" t="str">
        <f>IFERROR(__xludf.DUMMYFUNCTION("""COMPUTED_VALUE"""),"0-1")</f>
        <v>0-1</v>
      </c>
      <c r="F230" s="1" t="str">
        <f>IFERROR(__xludf.DUMMYFUNCTION("""COMPUTED_VALUE"""),"0-3")</f>
        <v>0-3</v>
      </c>
      <c r="G230" s="2">
        <f>IFERROR(__xludf.DUMMYFUNCTION("""COMPUTED_VALUE"""),45659.0)</f>
        <v>45659</v>
      </c>
      <c r="H230" s="2">
        <f>IFERROR(__xludf.DUMMYFUNCTION("""COMPUTED_VALUE"""),45870.0)</f>
        <v>45870</v>
      </c>
    </row>
    <row r="231">
      <c r="A231" s="1">
        <f>IFERROR(__xludf.DUMMYFUNCTION("""COMPUTED_VALUE"""),226.0)</f>
        <v>226</v>
      </c>
      <c r="B231" s="1" t="str">
        <f>IFERROR(__xludf.DUMMYFUNCTION("""COMPUTED_VALUE"""),"Sacramento St.")</f>
        <v>Sacramento St.</v>
      </c>
      <c r="C231" s="1" t="str">
        <f>IFERROR(__xludf.DUMMYFUNCTION("""COMPUTED_VALUE"""),"0-0")</f>
        <v>0-0</v>
      </c>
      <c r="D231" s="1" t="str">
        <f>IFERROR(__xludf.DUMMYFUNCTION("""COMPUTED_VALUE"""),"0-2")</f>
        <v>0-2</v>
      </c>
      <c r="E231" s="1" t="str">
        <f>IFERROR(__xludf.DUMMYFUNCTION("""COMPUTED_VALUE"""),"0-1")</f>
        <v>0-1</v>
      </c>
      <c r="F231" s="1" t="str">
        <f>IFERROR(__xludf.DUMMYFUNCTION("""COMPUTED_VALUE"""),"0-3")</f>
        <v>0-3</v>
      </c>
      <c r="G231" s="1" t="str">
        <f>IFERROR(__xludf.DUMMYFUNCTION("""COMPUTED_VALUE"""),"0-1")</f>
        <v>0-1</v>
      </c>
      <c r="H231" s="2">
        <f>IFERROR(__xludf.DUMMYFUNCTION("""COMPUTED_VALUE"""),45693.0)</f>
        <v>45693</v>
      </c>
    </row>
    <row r="232">
      <c r="A232" s="1">
        <f>IFERROR(__xludf.DUMMYFUNCTION("""COMPUTED_VALUE"""),227.0)</f>
        <v>227</v>
      </c>
      <c r="B232" s="1" t="str">
        <f>IFERROR(__xludf.DUMMYFUNCTION("""COMPUTED_VALUE"""),"Nicholls St.")</f>
        <v>Nicholls St.</v>
      </c>
      <c r="C232" s="1" t="str">
        <f>IFERROR(__xludf.DUMMYFUNCTION("""COMPUTED_VALUE"""),"0-2")</f>
        <v>0-2</v>
      </c>
      <c r="D232" s="1" t="str">
        <f>IFERROR(__xludf.DUMMYFUNCTION("""COMPUTED_VALUE"""),"0-3")</f>
        <v>0-3</v>
      </c>
      <c r="E232" s="1" t="str">
        <f>IFERROR(__xludf.DUMMYFUNCTION("""COMPUTED_VALUE"""),"0-0")</f>
        <v>0-0</v>
      </c>
      <c r="F232" s="1" t="str">
        <f>IFERROR(__xludf.DUMMYFUNCTION("""COMPUTED_VALUE"""),"0-3")</f>
        <v>0-3</v>
      </c>
      <c r="G232" s="2">
        <f>IFERROR(__xludf.DUMMYFUNCTION("""COMPUTED_VALUE"""),45690.0)</f>
        <v>45690</v>
      </c>
      <c r="H232" s="2">
        <f>IFERROR(__xludf.DUMMYFUNCTION("""COMPUTED_VALUE"""),45748.0)</f>
        <v>45748</v>
      </c>
    </row>
    <row r="233">
      <c r="A233" s="1">
        <f>IFERROR(__xludf.DUMMYFUNCTION("""COMPUTED_VALUE"""),228.0)</f>
        <v>228</v>
      </c>
      <c r="B233" s="1" t="str">
        <f>IFERROR(__xludf.DUMMYFUNCTION("""COMPUTED_VALUE"""),"Mount St. Mary's")</f>
        <v>Mount St. Mary's</v>
      </c>
      <c r="C233" s="1" t="str">
        <f>IFERROR(__xludf.DUMMYFUNCTION("""COMPUTED_VALUE"""),"0-1")</f>
        <v>0-1</v>
      </c>
      <c r="D233" s="1" t="str">
        <f>IFERROR(__xludf.DUMMYFUNCTION("""COMPUTED_VALUE"""),"0-2")</f>
        <v>0-2</v>
      </c>
      <c r="E233" s="1" t="str">
        <f>IFERROR(__xludf.DUMMYFUNCTION("""COMPUTED_VALUE"""),"0-1")</f>
        <v>0-1</v>
      </c>
      <c r="F233" s="1" t="str">
        <f>IFERROR(__xludf.DUMMYFUNCTION("""COMPUTED_VALUE"""),"0-3")</f>
        <v>0-3</v>
      </c>
      <c r="G233" s="2">
        <f>IFERROR(__xludf.DUMMYFUNCTION("""COMPUTED_VALUE"""),45658.0)</f>
        <v>45658</v>
      </c>
      <c r="H233" s="2">
        <f>IFERROR(__xludf.DUMMYFUNCTION("""COMPUTED_VALUE"""),45839.0)</f>
        <v>45839</v>
      </c>
    </row>
    <row r="234">
      <c r="A234" s="1">
        <f>IFERROR(__xludf.DUMMYFUNCTION("""COMPUTED_VALUE"""),229.0)</f>
        <v>229</v>
      </c>
      <c r="B234" s="1" t="str">
        <f>IFERROR(__xludf.DUMMYFUNCTION("""COMPUTED_VALUE"""),"Southern Utah")</f>
        <v>Southern Utah</v>
      </c>
      <c r="C234" s="1" t="str">
        <f>IFERROR(__xludf.DUMMYFUNCTION("""COMPUTED_VALUE"""),"0-2")</f>
        <v>0-2</v>
      </c>
      <c r="D234" s="1" t="str">
        <f>IFERROR(__xludf.DUMMYFUNCTION("""COMPUTED_VALUE"""),"0-2")</f>
        <v>0-2</v>
      </c>
      <c r="E234" s="1" t="str">
        <f>IFERROR(__xludf.DUMMYFUNCTION("""COMPUTED_VALUE"""),"0-1")</f>
        <v>0-1</v>
      </c>
      <c r="F234" s="1" t="str">
        <f>IFERROR(__xludf.DUMMYFUNCTION("""COMPUTED_VALUE"""),"0-3")</f>
        <v>0-3</v>
      </c>
      <c r="G234" s="1" t="str">
        <f>IFERROR(__xludf.DUMMYFUNCTION("""COMPUTED_VALUE"""),"0-3")</f>
        <v>0-3</v>
      </c>
      <c r="H234" s="2">
        <f>IFERROR(__xludf.DUMMYFUNCTION("""COMPUTED_VALUE"""),45778.0)</f>
        <v>45778</v>
      </c>
    </row>
    <row r="235">
      <c r="A235" s="1">
        <f>IFERROR(__xludf.DUMMYFUNCTION("""COMPUTED_VALUE"""),230.0)</f>
        <v>230</v>
      </c>
      <c r="B235" s="1" t="str">
        <f>IFERROR(__xludf.DUMMYFUNCTION("""COMPUTED_VALUE"""),"Lindenwood")</f>
        <v>Lindenwood</v>
      </c>
      <c r="C235" s="1" t="str">
        <f>IFERROR(__xludf.DUMMYFUNCTION("""COMPUTED_VALUE"""),"0-1")</f>
        <v>0-1</v>
      </c>
      <c r="D235" s="1" t="str">
        <f>IFERROR(__xludf.DUMMYFUNCTION("""COMPUTED_VALUE"""),"0-3")</f>
        <v>0-3</v>
      </c>
      <c r="E235" s="1" t="str">
        <f>IFERROR(__xludf.DUMMYFUNCTION("""COMPUTED_VALUE"""),"0-0")</f>
        <v>0-0</v>
      </c>
      <c r="F235" s="1" t="str">
        <f>IFERROR(__xludf.DUMMYFUNCTION("""COMPUTED_VALUE"""),"0-3")</f>
        <v>0-3</v>
      </c>
      <c r="G235" s="1" t="str">
        <f>IFERROR(__xludf.DUMMYFUNCTION("""COMPUTED_VALUE"""),"0-2")</f>
        <v>0-2</v>
      </c>
      <c r="H235" s="2">
        <f>IFERROR(__xludf.DUMMYFUNCTION("""COMPUTED_VALUE"""),45720.0)</f>
        <v>45720</v>
      </c>
    </row>
    <row r="236">
      <c r="A236" s="1">
        <f>IFERROR(__xludf.DUMMYFUNCTION("""COMPUTED_VALUE"""),231.0)</f>
        <v>231</v>
      </c>
      <c r="B236" s="1" t="str">
        <f>IFERROR(__xludf.DUMMYFUNCTION("""COMPUTED_VALUE"""),"Mercer")</f>
        <v>Mercer</v>
      </c>
      <c r="C236" s="1" t="str">
        <f>IFERROR(__xludf.DUMMYFUNCTION("""COMPUTED_VALUE"""),"0-0")</f>
        <v>0-0</v>
      </c>
      <c r="D236" s="1" t="str">
        <f>IFERROR(__xludf.DUMMYFUNCTION("""COMPUTED_VALUE"""),"0-0")</f>
        <v>0-0</v>
      </c>
      <c r="E236" s="1" t="str">
        <f>IFERROR(__xludf.DUMMYFUNCTION("""COMPUTED_VALUE"""),"0-3")</f>
        <v>0-3</v>
      </c>
      <c r="F236" s="1" t="str">
        <f>IFERROR(__xludf.DUMMYFUNCTION("""COMPUTED_VALUE"""),"0-3")</f>
        <v>0-3</v>
      </c>
      <c r="G236" s="2">
        <f>IFERROR(__xludf.DUMMYFUNCTION("""COMPUTED_VALUE"""),45659.0)</f>
        <v>45659</v>
      </c>
      <c r="H236" s="2">
        <f>IFERROR(__xludf.DUMMYFUNCTION("""COMPUTED_VALUE"""),45809.0)</f>
        <v>45809</v>
      </c>
    </row>
    <row r="237">
      <c r="A237" s="1">
        <f>IFERROR(__xludf.DUMMYFUNCTION("""COMPUTED_VALUE"""),232.0)</f>
        <v>232</v>
      </c>
      <c r="B237" s="1" t="str">
        <f>IFERROR(__xludf.DUMMYFUNCTION("""COMPUTED_VALUE"""),"Campbell")</f>
        <v>Campbell</v>
      </c>
      <c r="C237" s="1" t="str">
        <f>IFERROR(__xludf.DUMMYFUNCTION("""COMPUTED_VALUE"""),"0-1")</f>
        <v>0-1</v>
      </c>
      <c r="D237" s="1" t="str">
        <f>IFERROR(__xludf.DUMMYFUNCTION("""COMPUTED_VALUE"""),"0-2")</f>
        <v>0-2</v>
      </c>
      <c r="E237" s="1" t="str">
        <f>IFERROR(__xludf.DUMMYFUNCTION("""COMPUTED_VALUE"""),"0-1")</f>
        <v>0-1</v>
      </c>
      <c r="F237" s="1" t="str">
        <f>IFERROR(__xludf.DUMMYFUNCTION("""COMPUTED_VALUE"""),"0-3")</f>
        <v>0-3</v>
      </c>
      <c r="G237" s="1" t="str">
        <f>IFERROR(__xludf.DUMMYFUNCTION("""COMPUTED_VALUE"""),"0-1")</f>
        <v>0-1</v>
      </c>
      <c r="H237" s="2">
        <f>IFERROR(__xludf.DUMMYFUNCTION("""COMPUTED_VALUE"""),45752.0)</f>
        <v>45752</v>
      </c>
    </row>
    <row r="238">
      <c r="A238" s="1">
        <f>IFERROR(__xludf.DUMMYFUNCTION("""COMPUTED_VALUE"""),233.0)</f>
        <v>233</v>
      </c>
      <c r="B238" s="1" t="str">
        <f>IFERROR(__xludf.DUMMYFUNCTION("""COMPUTED_VALUE"""),"James Madison")</f>
        <v>James Madison</v>
      </c>
      <c r="C238" s="1" t="str">
        <f>IFERROR(__xludf.DUMMYFUNCTION("""COMPUTED_VALUE"""),"0-0")</f>
        <v>0-0</v>
      </c>
      <c r="D238" s="1" t="str">
        <f>IFERROR(__xludf.DUMMYFUNCTION("""COMPUTED_VALUE"""),"0-1")</f>
        <v>0-1</v>
      </c>
      <c r="E238" s="1" t="str">
        <f>IFERROR(__xludf.DUMMYFUNCTION("""COMPUTED_VALUE"""),"0-2")</f>
        <v>0-2</v>
      </c>
      <c r="F238" s="1" t="str">
        <f>IFERROR(__xludf.DUMMYFUNCTION("""COMPUTED_VALUE"""),"0-3")</f>
        <v>0-3</v>
      </c>
      <c r="G238" s="2">
        <f>IFERROR(__xludf.DUMMYFUNCTION("""COMPUTED_VALUE"""),45780.0)</f>
        <v>45780</v>
      </c>
      <c r="H238" s="1" t="str">
        <f>IFERROR(__xludf.DUMMYFUNCTION("""COMPUTED_VALUE"""),"2-0")</f>
        <v>2-0</v>
      </c>
    </row>
    <row r="239">
      <c r="A239" s="1">
        <f>IFERROR(__xludf.DUMMYFUNCTION("""COMPUTED_VALUE"""),234.0)</f>
        <v>234</v>
      </c>
      <c r="B239" s="1" t="str">
        <f>IFERROR(__xludf.DUMMYFUNCTION("""COMPUTED_VALUE"""),"New Hampshire")</f>
        <v>New Hampshire</v>
      </c>
      <c r="C239" s="1" t="str">
        <f>IFERROR(__xludf.DUMMYFUNCTION("""COMPUTED_VALUE"""),"0-1")</f>
        <v>0-1</v>
      </c>
      <c r="D239" s="1" t="str">
        <f>IFERROR(__xludf.DUMMYFUNCTION("""COMPUTED_VALUE"""),"0-2")</f>
        <v>0-2</v>
      </c>
      <c r="E239" s="1" t="str">
        <f>IFERROR(__xludf.DUMMYFUNCTION("""COMPUTED_VALUE"""),"0-1")</f>
        <v>0-1</v>
      </c>
      <c r="F239" s="1" t="str">
        <f>IFERROR(__xludf.DUMMYFUNCTION("""COMPUTED_VALUE"""),"0-3")</f>
        <v>0-3</v>
      </c>
      <c r="G239" s="1" t="str">
        <f>IFERROR(__xludf.DUMMYFUNCTION("""COMPUTED_VALUE"""),"0-2")</f>
        <v>0-2</v>
      </c>
      <c r="H239" s="1" t="str">
        <f>IFERROR(__xludf.DUMMYFUNCTION("""COMPUTED_VALUE"""),"0-9")</f>
        <v>0-9</v>
      </c>
    </row>
    <row r="240">
      <c r="A240" s="1">
        <f>IFERROR(__xludf.DUMMYFUNCTION("""COMPUTED_VALUE"""),235.0)</f>
        <v>235</v>
      </c>
      <c r="B240" s="1" t="str">
        <f>IFERROR(__xludf.DUMMYFUNCTION("""COMPUTED_VALUE"""),"Southern Miss")</f>
        <v>Southern Miss</v>
      </c>
      <c r="C240" s="1" t="str">
        <f>IFERROR(__xludf.DUMMYFUNCTION("""COMPUTED_VALUE"""),"0-0")</f>
        <v>0-0</v>
      </c>
      <c r="D240" s="1" t="str">
        <f>IFERROR(__xludf.DUMMYFUNCTION("""COMPUTED_VALUE"""),"0-1")</f>
        <v>0-1</v>
      </c>
      <c r="E240" s="1" t="str">
        <f>IFERROR(__xludf.DUMMYFUNCTION("""COMPUTED_VALUE"""),"0-2")</f>
        <v>0-2</v>
      </c>
      <c r="F240" s="1" t="str">
        <f>IFERROR(__xludf.DUMMYFUNCTION("""COMPUTED_VALUE"""),"0-3")</f>
        <v>0-3</v>
      </c>
      <c r="G240" s="2">
        <f>IFERROR(__xludf.DUMMYFUNCTION("""COMPUTED_VALUE"""),45660.0)</f>
        <v>45660</v>
      </c>
      <c r="H240" s="2">
        <f>IFERROR(__xludf.DUMMYFUNCTION("""COMPUTED_VALUE"""),45719.0)</f>
        <v>45719</v>
      </c>
    </row>
    <row r="241">
      <c r="A241" s="1">
        <f>IFERROR(__xludf.DUMMYFUNCTION("""COMPUTED_VALUE"""),236.0)</f>
        <v>236</v>
      </c>
      <c r="B241" s="1" t="str">
        <f>IFERROR(__xludf.DUMMYFUNCTION("""COMPUTED_VALUE"""),"Troy")</f>
        <v>Troy</v>
      </c>
      <c r="C241" s="1" t="str">
        <f>IFERROR(__xludf.DUMMYFUNCTION("""COMPUTED_VALUE"""),"0-3")</f>
        <v>0-3</v>
      </c>
      <c r="D241" s="1" t="str">
        <f>IFERROR(__xludf.DUMMYFUNCTION("""COMPUTED_VALUE"""),"0-3")</f>
        <v>0-3</v>
      </c>
      <c r="E241" s="1" t="str">
        <f>IFERROR(__xludf.DUMMYFUNCTION("""COMPUTED_VALUE"""),"0-0")</f>
        <v>0-0</v>
      </c>
      <c r="F241" s="1" t="str">
        <f>IFERROR(__xludf.DUMMYFUNCTION("""COMPUTED_VALUE"""),"0-3")</f>
        <v>0-3</v>
      </c>
      <c r="G241" s="1" t="str">
        <f>IFERROR(__xludf.DUMMYFUNCTION("""COMPUTED_VALUE"""),"2-0")</f>
        <v>2-0</v>
      </c>
      <c r="H241" s="2">
        <f>IFERROR(__xludf.DUMMYFUNCTION("""COMPUTED_VALUE"""),45809.0)</f>
        <v>45809</v>
      </c>
    </row>
    <row r="242">
      <c r="A242" s="1">
        <f>IFERROR(__xludf.DUMMYFUNCTION("""COMPUTED_VALUE"""),237.0)</f>
        <v>237</v>
      </c>
      <c r="B242" s="1" t="str">
        <f>IFERROR(__xludf.DUMMYFUNCTION("""COMPUTED_VALUE"""),"Holy Cross 16")</f>
        <v>Holy Cross 16</v>
      </c>
      <c r="C242" s="1" t="str">
        <f>IFERROR(__xludf.DUMMYFUNCTION("""COMPUTED_VALUE"""),"0-1")</f>
        <v>0-1</v>
      </c>
      <c r="D242" s="1" t="str">
        <f>IFERROR(__xludf.DUMMYFUNCTION("""COMPUTED_VALUE"""),"0-1")</f>
        <v>0-1</v>
      </c>
      <c r="E242" s="1" t="str">
        <f>IFERROR(__xludf.DUMMYFUNCTION("""COMPUTED_VALUE"""),"0-2")</f>
        <v>0-2</v>
      </c>
      <c r="F242" s="1" t="str">
        <f>IFERROR(__xludf.DUMMYFUNCTION("""COMPUTED_VALUE"""),"0-3")</f>
        <v>0-3</v>
      </c>
      <c r="G242" s="2">
        <f>IFERROR(__xludf.DUMMYFUNCTION("""COMPUTED_VALUE"""),45690.0)</f>
        <v>45690</v>
      </c>
      <c r="H242" s="2">
        <f>IFERROR(__xludf.DUMMYFUNCTION("""COMPUTED_VALUE"""),45778.0)</f>
        <v>45778</v>
      </c>
    </row>
    <row r="243">
      <c r="A243" s="1">
        <f>IFERROR(__xludf.DUMMYFUNCTION("""COMPUTED_VALUE"""),238.0)</f>
        <v>238</v>
      </c>
      <c r="B243" s="1" t="str">
        <f>IFERROR(__xludf.DUMMYFUNCTION("""COMPUTED_VALUE"""),"Niagara")</f>
        <v>Niagara</v>
      </c>
      <c r="C243" s="1" t="str">
        <f>IFERROR(__xludf.DUMMYFUNCTION("""COMPUTED_VALUE"""),"0-1")</f>
        <v>0-1</v>
      </c>
      <c r="D243" s="1" t="str">
        <f>IFERROR(__xludf.DUMMYFUNCTION("""COMPUTED_VALUE"""),"0-2")</f>
        <v>0-2</v>
      </c>
      <c r="E243" s="1" t="str">
        <f>IFERROR(__xludf.DUMMYFUNCTION("""COMPUTED_VALUE"""),"0-1")</f>
        <v>0-1</v>
      </c>
      <c r="F243" s="1" t="str">
        <f>IFERROR(__xludf.DUMMYFUNCTION("""COMPUTED_VALUE"""),"0-3")</f>
        <v>0-3</v>
      </c>
      <c r="G243" s="1" t="str">
        <f>IFERROR(__xludf.DUMMYFUNCTION("""COMPUTED_VALUE"""),"0-1")</f>
        <v>0-1</v>
      </c>
      <c r="H243" s="2">
        <f>IFERROR(__xludf.DUMMYFUNCTION("""COMPUTED_VALUE"""),45781.0)</f>
        <v>45781</v>
      </c>
    </row>
    <row r="244">
      <c r="A244" s="1">
        <f>IFERROR(__xludf.DUMMYFUNCTION("""COMPUTED_VALUE"""),239.0)</f>
        <v>239</v>
      </c>
      <c r="B244" s="1" t="str">
        <f>IFERROR(__xludf.DUMMYFUNCTION("""COMPUTED_VALUE"""),"NJIT")</f>
        <v>NJIT</v>
      </c>
      <c r="C244" s="1" t="str">
        <f>IFERROR(__xludf.DUMMYFUNCTION("""COMPUTED_VALUE"""),"0-0")</f>
        <v>0-0</v>
      </c>
      <c r="D244" s="1" t="str">
        <f>IFERROR(__xludf.DUMMYFUNCTION("""COMPUTED_VALUE"""),"0-1")</f>
        <v>0-1</v>
      </c>
      <c r="E244" s="1" t="str">
        <f>IFERROR(__xludf.DUMMYFUNCTION("""COMPUTED_VALUE"""),"0-2")</f>
        <v>0-2</v>
      </c>
      <c r="F244" s="1" t="str">
        <f>IFERROR(__xludf.DUMMYFUNCTION("""COMPUTED_VALUE"""),"0-3")</f>
        <v>0-3</v>
      </c>
      <c r="G244" s="1" t="str">
        <f>IFERROR(__xludf.DUMMYFUNCTION("""COMPUTED_VALUE"""),"0-2")</f>
        <v>0-2</v>
      </c>
      <c r="H244" s="2">
        <f>IFERROR(__xludf.DUMMYFUNCTION("""COMPUTED_VALUE"""),45695.0)</f>
        <v>45695</v>
      </c>
    </row>
    <row r="245">
      <c r="A245" s="1">
        <f>IFERROR(__xludf.DUMMYFUNCTION("""COMPUTED_VALUE"""),240.0)</f>
        <v>240</v>
      </c>
      <c r="B245" s="1" t="str">
        <f>IFERROR(__xludf.DUMMYFUNCTION("""COMPUTED_VALUE"""),"Ohio")</f>
        <v>Ohio</v>
      </c>
      <c r="C245" s="1" t="str">
        <f>IFERROR(__xludf.DUMMYFUNCTION("""COMPUTED_VALUE"""),"0-1")</f>
        <v>0-1</v>
      </c>
      <c r="D245" s="1" t="str">
        <f>IFERROR(__xludf.DUMMYFUNCTION("""COMPUTED_VALUE"""),"0-1")</f>
        <v>0-1</v>
      </c>
      <c r="E245" s="1" t="str">
        <f>IFERROR(__xludf.DUMMYFUNCTION("""COMPUTED_VALUE"""),"0-2")</f>
        <v>0-2</v>
      </c>
      <c r="F245" s="1" t="str">
        <f>IFERROR(__xludf.DUMMYFUNCTION("""COMPUTED_VALUE"""),"0-3")</f>
        <v>0-3</v>
      </c>
      <c r="G245" s="2">
        <f>IFERROR(__xludf.DUMMYFUNCTION("""COMPUTED_VALUE"""),45660.0)</f>
        <v>45660</v>
      </c>
      <c r="H245" s="1" t="str">
        <f>IFERROR(__xludf.DUMMYFUNCTION("""COMPUTED_VALUE"""),"5-0")</f>
        <v>5-0</v>
      </c>
    </row>
    <row r="246">
      <c r="A246" s="1">
        <f>IFERROR(__xludf.DUMMYFUNCTION("""COMPUTED_VALUE"""),241.0)</f>
        <v>241</v>
      </c>
      <c r="B246" s="1" t="str">
        <f>IFERROR(__xludf.DUMMYFUNCTION("""COMPUTED_VALUE"""),"Winthrop")</f>
        <v>Winthrop</v>
      </c>
      <c r="C246" s="1" t="str">
        <f>IFERROR(__xludf.DUMMYFUNCTION("""COMPUTED_VALUE"""),"0-1")</f>
        <v>0-1</v>
      </c>
      <c r="D246" s="1" t="str">
        <f>IFERROR(__xludf.DUMMYFUNCTION("""COMPUTED_VALUE"""),"0-3")</f>
        <v>0-3</v>
      </c>
      <c r="E246" s="1" t="str">
        <f>IFERROR(__xludf.DUMMYFUNCTION("""COMPUTED_VALUE"""),"0-0")</f>
        <v>0-0</v>
      </c>
      <c r="F246" s="1" t="str">
        <f>IFERROR(__xludf.DUMMYFUNCTION("""COMPUTED_VALUE"""),"0-3")</f>
        <v>0-3</v>
      </c>
      <c r="G246" s="1" t="str">
        <f>IFERROR(__xludf.DUMMYFUNCTION("""COMPUTED_VALUE"""),"0-2")</f>
        <v>0-2</v>
      </c>
      <c r="H246" s="2">
        <f>IFERROR(__xludf.DUMMYFUNCTION("""COMPUTED_VALUE"""),45870.0)</f>
        <v>45870</v>
      </c>
    </row>
    <row r="247">
      <c r="A247" s="1">
        <f>IFERROR(__xludf.DUMMYFUNCTION("""COMPUTED_VALUE"""),242.0)</f>
        <v>242</v>
      </c>
      <c r="B247" s="1" t="str">
        <f>IFERROR(__xludf.DUMMYFUNCTION("""COMPUTED_VALUE"""),"Long Beach St.")</f>
        <v>Long Beach St.</v>
      </c>
      <c r="C247" s="1" t="str">
        <f>IFERROR(__xludf.DUMMYFUNCTION("""COMPUTED_VALUE"""),"0-1")</f>
        <v>0-1</v>
      </c>
      <c r="D247" s="1" t="str">
        <f>IFERROR(__xludf.DUMMYFUNCTION("""COMPUTED_VALUE"""),"0-2")</f>
        <v>0-2</v>
      </c>
      <c r="E247" s="1" t="str">
        <f>IFERROR(__xludf.DUMMYFUNCTION("""COMPUTED_VALUE"""),"0-1")</f>
        <v>0-1</v>
      </c>
      <c r="F247" s="1" t="str">
        <f>IFERROR(__xludf.DUMMYFUNCTION("""COMPUTED_VALUE"""),"0-3")</f>
        <v>0-3</v>
      </c>
      <c r="G247" s="2">
        <f>IFERROR(__xludf.DUMMYFUNCTION("""COMPUTED_VALUE"""),45661.0)</f>
        <v>45661</v>
      </c>
      <c r="H247" s="2">
        <f>IFERROR(__xludf.DUMMYFUNCTION("""COMPUTED_VALUE"""),45719.0)</f>
        <v>45719</v>
      </c>
    </row>
    <row r="248">
      <c r="A248" s="1">
        <f>IFERROR(__xludf.DUMMYFUNCTION("""COMPUTED_VALUE"""),243.0)</f>
        <v>243</v>
      </c>
      <c r="B248" s="1" t="str">
        <f>IFERROR(__xludf.DUMMYFUNCTION("""COMPUTED_VALUE"""),"Kent St. 14")</f>
        <v>Kent St. 14</v>
      </c>
      <c r="C248" s="1" t="str">
        <f>IFERROR(__xludf.DUMMYFUNCTION("""COMPUTED_VALUE"""),"0-2")</f>
        <v>0-2</v>
      </c>
      <c r="D248" s="1" t="str">
        <f>IFERROR(__xludf.DUMMYFUNCTION("""COMPUTED_VALUE"""),"0-2")</f>
        <v>0-2</v>
      </c>
      <c r="E248" s="1" t="str">
        <f>IFERROR(__xludf.DUMMYFUNCTION("""COMPUTED_VALUE"""),"0-1")</f>
        <v>0-1</v>
      </c>
      <c r="F248" s="1" t="str">
        <f>IFERROR(__xludf.DUMMYFUNCTION("""COMPUTED_VALUE"""),"0-3")</f>
        <v>0-3</v>
      </c>
      <c r="G248" s="1" t="str">
        <f>IFERROR(__xludf.DUMMYFUNCTION("""COMPUTED_VALUE"""),"2-0")</f>
        <v>2-0</v>
      </c>
      <c r="H248" s="2">
        <f>IFERROR(__xludf.DUMMYFUNCTION("""COMPUTED_VALUE"""),45778.0)</f>
        <v>45778</v>
      </c>
    </row>
    <row r="249">
      <c r="A249" s="1">
        <f>IFERROR(__xludf.DUMMYFUNCTION("""COMPUTED_VALUE"""),244.0)</f>
        <v>244</v>
      </c>
      <c r="B249" s="1" t="str">
        <f>IFERROR(__xludf.DUMMYFUNCTION("""COMPUTED_VALUE"""),"Texas St.")</f>
        <v>Texas St.</v>
      </c>
      <c r="C249" s="1" t="str">
        <f>IFERROR(__xludf.DUMMYFUNCTION("""COMPUTED_VALUE"""),"0-0")</f>
        <v>0-0</v>
      </c>
      <c r="D249" s="1" t="str">
        <f>IFERROR(__xludf.DUMMYFUNCTION("""COMPUTED_VALUE"""),"0-0")</f>
        <v>0-0</v>
      </c>
      <c r="E249" s="1" t="str">
        <f>IFERROR(__xludf.DUMMYFUNCTION("""COMPUTED_VALUE"""),"0-3")</f>
        <v>0-3</v>
      </c>
      <c r="F249" s="1" t="str">
        <f>IFERROR(__xludf.DUMMYFUNCTION("""COMPUTED_VALUE"""),"0-3")</f>
        <v>0-3</v>
      </c>
      <c r="G249" s="2">
        <f>IFERROR(__xludf.DUMMYFUNCTION("""COMPUTED_VALUE"""),45718.0)</f>
        <v>45718</v>
      </c>
      <c r="H249" s="2">
        <f>IFERROR(__xludf.DUMMYFUNCTION("""COMPUTED_VALUE"""),45718.0)</f>
        <v>45718</v>
      </c>
    </row>
    <row r="250">
      <c r="A250" s="1">
        <f>IFERROR(__xludf.DUMMYFUNCTION("""COMPUTED_VALUE"""),245.0)</f>
        <v>245</v>
      </c>
      <c r="B250" s="1" t="str">
        <f>IFERROR(__xludf.DUMMYFUNCTION("""COMPUTED_VALUE"""),"Hawaii")</f>
        <v>Hawaii</v>
      </c>
      <c r="C250" s="1" t="str">
        <f>IFERROR(__xludf.DUMMYFUNCTION("""COMPUTED_VALUE"""),"0-0")</f>
        <v>0-0</v>
      </c>
      <c r="D250" s="1" t="str">
        <f>IFERROR(__xludf.DUMMYFUNCTION("""COMPUTED_VALUE"""),"0-0")</f>
        <v>0-0</v>
      </c>
      <c r="E250" s="1" t="str">
        <f>IFERROR(__xludf.DUMMYFUNCTION("""COMPUTED_VALUE"""),"0-3")</f>
        <v>0-3</v>
      </c>
      <c r="F250" s="1" t="str">
        <f>IFERROR(__xludf.DUMMYFUNCTION("""COMPUTED_VALUE"""),"0-3")</f>
        <v>0-3</v>
      </c>
      <c r="G250" s="2">
        <f>IFERROR(__xludf.DUMMYFUNCTION("""COMPUTED_VALUE"""),45658.0)</f>
        <v>45658</v>
      </c>
      <c r="H250" s="2">
        <f>IFERROR(__xludf.DUMMYFUNCTION("""COMPUTED_VALUE"""),45809.0)</f>
        <v>45809</v>
      </c>
    </row>
    <row r="251">
      <c r="A251" s="1">
        <f>IFERROR(__xludf.DUMMYFUNCTION("""COMPUTED_VALUE"""),246.0)</f>
        <v>246</v>
      </c>
      <c r="B251" s="1" t="str">
        <f>IFERROR(__xludf.DUMMYFUNCTION("""COMPUTED_VALUE"""),"Lafayette")</f>
        <v>Lafayette</v>
      </c>
      <c r="C251" s="1" t="str">
        <f>IFERROR(__xludf.DUMMYFUNCTION("""COMPUTED_VALUE"""),"0-0")</f>
        <v>0-0</v>
      </c>
      <c r="D251" s="1" t="str">
        <f>IFERROR(__xludf.DUMMYFUNCTION("""COMPUTED_VALUE"""),"0-1")</f>
        <v>0-1</v>
      </c>
      <c r="E251" s="1" t="str">
        <f>IFERROR(__xludf.DUMMYFUNCTION("""COMPUTED_VALUE"""),"0-2")</f>
        <v>0-2</v>
      </c>
      <c r="F251" s="1" t="str">
        <f>IFERROR(__xludf.DUMMYFUNCTION("""COMPUTED_VALUE"""),"0-3")</f>
        <v>0-3</v>
      </c>
      <c r="G251" s="1" t="str">
        <f>IFERROR(__xludf.DUMMYFUNCTION("""COMPUTED_VALUE"""),"0-2")</f>
        <v>0-2</v>
      </c>
      <c r="H251" s="2">
        <f>IFERROR(__xludf.DUMMYFUNCTION("""COMPUTED_VALUE"""),45781.0)</f>
        <v>45781</v>
      </c>
    </row>
    <row r="252">
      <c r="A252" s="1">
        <f>IFERROR(__xludf.DUMMYFUNCTION("""COMPUTED_VALUE"""),247.0)</f>
        <v>247</v>
      </c>
      <c r="B252" s="1" t="str">
        <f>IFERROR(__xludf.DUMMYFUNCTION("""COMPUTED_VALUE"""),"Stony Brook")</f>
        <v>Stony Brook</v>
      </c>
      <c r="C252" s="1" t="str">
        <f>IFERROR(__xludf.DUMMYFUNCTION("""COMPUTED_VALUE"""),"0-1")</f>
        <v>0-1</v>
      </c>
      <c r="D252" s="1" t="str">
        <f>IFERROR(__xludf.DUMMYFUNCTION("""COMPUTED_VALUE"""),"0-1")</f>
        <v>0-1</v>
      </c>
      <c r="E252" s="1" t="str">
        <f>IFERROR(__xludf.DUMMYFUNCTION("""COMPUTED_VALUE"""),"0-2")</f>
        <v>0-2</v>
      </c>
      <c r="F252" s="1" t="str">
        <f>IFERROR(__xludf.DUMMYFUNCTION("""COMPUTED_VALUE"""),"0-3")</f>
        <v>0-3</v>
      </c>
      <c r="G252" s="2">
        <f>IFERROR(__xludf.DUMMYFUNCTION("""COMPUTED_VALUE"""),45661.0)</f>
        <v>45661</v>
      </c>
      <c r="H252" s="2">
        <f>IFERROR(__xludf.DUMMYFUNCTION("""COMPUTED_VALUE"""),45692.0)</f>
        <v>45692</v>
      </c>
    </row>
    <row r="253">
      <c r="A253" s="1">
        <f>IFERROR(__xludf.DUMMYFUNCTION("""COMPUTED_VALUE"""),248.0)</f>
        <v>248</v>
      </c>
      <c r="B253" s="1" t="str">
        <f>IFERROR(__xludf.DUMMYFUNCTION("""COMPUTED_VALUE"""),"Idaho St.")</f>
        <v>Idaho St.</v>
      </c>
      <c r="C253" s="1" t="str">
        <f>IFERROR(__xludf.DUMMYFUNCTION("""COMPUTED_VALUE"""),"0-1")</f>
        <v>0-1</v>
      </c>
      <c r="D253" s="1" t="str">
        <f>IFERROR(__xludf.DUMMYFUNCTION("""COMPUTED_VALUE"""),"0-2")</f>
        <v>0-2</v>
      </c>
      <c r="E253" s="1" t="str">
        <f>IFERROR(__xludf.DUMMYFUNCTION("""COMPUTED_VALUE"""),"0-1")</f>
        <v>0-1</v>
      </c>
      <c r="F253" s="1" t="str">
        <f>IFERROR(__xludf.DUMMYFUNCTION("""COMPUTED_VALUE"""),"0-3")</f>
        <v>0-3</v>
      </c>
      <c r="G253" s="1" t="str">
        <f>IFERROR(__xludf.DUMMYFUNCTION("""COMPUTED_VALUE"""),"0-3")</f>
        <v>0-3</v>
      </c>
      <c r="H253" s="2">
        <f>IFERROR(__xludf.DUMMYFUNCTION("""COMPUTED_VALUE"""),45717.0)</f>
        <v>45717</v>
      </c>
    </row>
    <row r="254">
      <c r="A254" s="1">
        <f>IFERROR(__xludf.DUMMYFUNCTION("""COMPUTED_VALUE"""),249.0)</f>
        <v>249</v>
      </c>
      <c r="B254" s="1" t="str">
        <f>IFERROR(__xludf.DUMMYFUNCTION("""COMPUTED_VALUE"""),"Bellarmine")</f>
        <v>Bellarmine</v>
      </c>
      <c r="C254" s="1" t="str">
        <f>IFERROR(__xludf.DUMMYFUNCTION("""COMPUTED_VALUE"""),"0-1")</f>
        <v>0-1</v>
      </c>
      <c r="D254" s="1" t="str">
        <f>IFERROR(__xludf.DUMMYFUNCTION("""COMPUTED_VALUE"""),"0-2")</f>
        <v>0-2</v>
      </c>
      <c r="E254" s="1" t="str">
        <f>IFERROR(__xludf.DUMMYFUNCTION("""COMPUTED_VALUE"""),"0-1")</f>
        <v>0-1</v>
      </c>
      <c r="F254" s="1" t="str">
        <f>IFERROR(__xludf.DUMMYFUNCTION("""COMPUTED_VALUE"""),"0-3")</f>
        <v>0-3</v>
      </c>
      <c r="G254" s="1" t="str">
        <f>IFERROR(__xludf.DUMMYFUNCTION("""COMPUTED_VALUE"""),"0-4")</f>
        <v>0-4</v>
      </c>
      <c r="H254" s="2">
        <f>IFERROR(__xludf.DUMMYFUNCTION("""COMPUTED_VALUE"""),45662.0)</f>
        <v>45662</v>
      </c>
    </row>
    <row r="255">
      <c r="A255" s="1">
        <f>IFERROR(__xludf.DUMMYFUNCTION("""COMPUTED_VALUE"""),250.0)</f>
        <v>250</v>
      </c>
      <c r="B255" s="1" t="str">
        <f>IFERROR(__xludf.DUMMYFUNCTION("""COMPUTED_VALUE"""),"Le Moyne")</f>
        <v>Le Moyne</v>
      </c>
      <c r="C255" s="1" t="str">
        <f>IFERROR(__xludf.DUMMYFUNCTION("""COMPUTED_VALUE"""),"0-1")</f>
        <v>0-1</v>
      </c>
      <c r="D255" s="1" t="str">
        <f>IFERROR(__xludf.DUMMYFUNCTION("""COMPUTED_VALUE"""),"0-2")</f>
        <v>0-2</v>
      </c>
      <c r="E255" s="1" t="str">
        <f>IFERROR(__xludf.DUMMYFUNCTION("""COMPUTED_VALUE"""),"0-1")</f>
        <v>0-1</v>
      </c>
      <c r="F255" s="1" t="str">
        <f>IFERROR(__xludf.DUMMYFUNCTION("""COMPUTED_VALUE"""),"0-3")</f>
        <v>0-3</v>
      </c>
      <c r="G255" s="1" t="str">
        <f>IFERROR(__xludf.DUMMYFUNCTION("""COMPUTED_VALUE"""),"0-4")</f>
        <v>0-4</v>
      </c>
      <c r="H255" s="2">
        <f>IFERROR(__xludf.DUMMYFUNCTION("""COMPUTED_VALUE"""),45720.0)</f>
        <v>45720</v>
      </c>
    </row>
    <row r="256">
      <c r="A256" s="1" t="str">
        <f>IFERROR(__xludf.DUMMYFUNCTION("""COMPUTED_VALUE"""),"Rk")</f>
        <v>Rk</v>
      </c>
      <c r="B256" s="1" t="str">
        <f>IFERROR(__xludf.DUMMYFUNCTION("""COMPUTED_VALUE"""),"Team")</f>
        <v>Team</v>
      </c>
      <c r="C256" s="1" t="str">
        <f>IFERROR(__xludf.DUMMYFUNCTION("""COMPUTED_VALUE"""),"Q1-A")</f>
        <v>Q1-A</v>
      </c>
      <c r="D256" s="1" t="str">
        <f>IFERROR(__xludf.DUMMYFUNCTION("""COMPUTED_VALUE"""),"Q1")</f>
        <v>Q1</v>
      </c>
      <c r="E256" s="1" t="str">
        <f>IFERROR(__xludf.DUMMYFUNCTION("""COMPUTED_VALUE"""),"Q2")</f>
        <v>Q2</v>
      </c>
      <c r="F256" s="1" t="str">
        <f>IFERROR(__xludf.DUMMYFUNCTION("""COMPUTED_VALUE"""),"Q1&amp;2")</f>
        <v>Q1&amp;2</v>
      </c>
      <c r="G256" s="1" t="str">
        <f>IFERROR(__xludf.DUMMYFUNCTION("""COMPUTED_VALUE"""),"Q3")</f>
        <v>Q3</v>
      </c>
      <c r="H256" s="1" t="str">
        <f>IFERROR(__xludf.DUMMYFUNCTION("""COMPUTED_VALUE"""),"Q4")</f>
        <v>Q4</v>
      </c>
    </row>
    <row r="257">
      <c r="A257" s="1">
        <f>IFERROR(__xludf.DUMMYFUNCTION("""COMPUTED_VALUE"""),251.0)</f>
        <v>251</v>
      </c>
      <c r="B257" s="1" t="str">
        <f>IFERROR(__xludf.DUMMYFUNCTION("""COMPUTED_VALUE"""),"Gardner Webb")</f>
        <v>Gardner Webb</v>
      </c>
      <c r="C257" s="1" t="str">
        <f>IFERROR(__xludf.DUMMYFUNCTION("""COMPUTED_VALUE"""),"0-2")</f>
        <v>0-2</v>
      </c>
      <c r="D257" s="1" t="str">
        <f>IFERROR(__xludf.DUMMYFUNCTION("""COMPUTED_VALUE"""),"0-2")</f>
        <v>0-2</v>
      </c>
      <c r="E257" s="1" t="str">
        <f>IFERROR(__xludf.DUMMYFUNCTION("""COMPUTED_VALUE"""),"0-1")</f>
        <v>0-1</v>
      </c>
      <c r="F257" s="1" t="str">
        <f>IFERROR(__xludf.DUMMYFUNCTION("""COMPUTED_VALUE"""),"0-3")</f>
        <v>0-3</v>
      </c>
      <c r="G257" s="2">
        <f>IFERROR(__xludf.DUMMYFUNCTION("""COMPUTED_VALUE"""),45689.0)</f>
        <v>45689</v>
      </c>
      <c r="H257" s="2">
        <f>IFERROR(__xludf.DUMMYFUNCTION("""COMPUTED_VALUE"""),45752.0)</f>
        <v>45752</v>
      </c>
    </row>
    <row r="258">
      <c r="A258" s="1">
        <f>IFERROR(__xludf.DUMMYFUNCTION("""COMPUTED_VALUE"""),252.0)</f>
        <v>252</v>
      </c>
      <c r="B258" s="1" t="str">
        <f>IFERROR(__xludf.DUMMYFUNCTION("""COMPUTED_VALUE"""),"Queens")</f>
        <v>Queens</v>
      </c>
      <c r="C258" s="1" t="str">
        <f>IFERROR(__xludf.DUMMYFUNCTION("""COMPUTED_VALUE"""),"0-1")</f>
        <v>0-1</v>
      </c>
      <c r="D258" s="1" t="str">
        <f>IFERROR(__xludf.DUMMYFUNCTION("""COMPUTED_VALUE"""),"0-2")</f>
        <v>0-2</v>
      </c>
      <c r="E258" s="1" t="str">
        <f>IFERROR(__xludf.DUMMYFUNCTION("""COMPUTED_VALUE"""),"0-1")</f>
        <v>0-1</v>
      </c>
      <c r="F258" s="1" t="str">
        <f>IFERROR(__xludf.DUMMYFUNCTION("""COMPUTED_VALUE"""),"0-3")</f>
        <v>0-3</v>
      </c>
      <c r="G258" s="2">
        <f>IFERROR(__xludf.DUMMYFUNCTION("""COMPUTED_VALUE"""),45659.0)</f>
        <v>45659</v>
      </c>
      <c r="H258" s="2">
        <f>IFERROR(__xludf.DUMMYFUNCTION("""COMPUTED_VALUE"""),45809.0)</f>
        <v>45809</v>
      </c>
    </row>
    <row r="259">
      <c r="A259" s="1">
        <f>IFERROR(__xludf.DUMMYFUNCTION("""COMPUTED_VALUE"""),253.0)</f>
        <v>253</v>
      </c>
      <c r="B259" s="1" t="str">
        <f>IFERROR(__xludf.DUMMYFUNCTION("""COMPUTED_VALUE"""),"Cleveland St.")</f>
        <v>Cleveland St.</v>
      </c>
      <c r="C259" s="1" t="str">
        <f>IFERROR(__xludf.DUMMYFUNCTION("""COMPUTED_VALUE"""),"0-1")</f>
        <v>0-1</v>
      </c>
      <c r="D259" s="1" t="str">
        <f>IFERROR(__xludf.DUMMYFUNCTION("""COMPUTED_VALUE"""),"0-1")</f>
        <v>0-1</v>
      </c>
      <c r="E259" s="1" t="str">
        <f>IFERROR(__xludf.DUMMYFUNCTION("""COMPUTED_VALUE"""),"0-2")</f>
        <v>0-2</v>
      </c>
      <c r="F259" s="1" t="str">
        <f>IFERROR(__xludf.DUMMYFUNCTION("""COMPUTED_VALUE"""),"0-3")</f>
        <v>0-3</v>
      </c>
      <c r="G259" s="2">
        <f>IFERROR(__xludf.DUMMYFUNCTION("""COMPUTED_VALUE"""),45659.0)</f>
        <v>45659</v>
      </c>
      <c r="H259" s="2">
        <f>IFERROR(__xludf.DUMMYFUNCTION("""COMPUTED_VALUE"""),45809.0)</f>
        <v>45809</v>
      </c>
    </row>
    <row r="260">
      <c r="A260" s="1">
        <f>IFERROR(__xludf.DUMMYFUNCTION("""COMPUTED_VALUE"""),254.0)</f>
        <v>254</v>
      </c>
      <c r="B260" s="1" t="str">
        <f>IFERROR(__xludf.DUMMYFUNCTION("""COMPUTED_VALUE"""),"Fairleigh Dickinson")</f>
        <v>Fairleigh Dickinson</v>
      </c>
      <c r="C260" s="1" t="str">
        <f>IFERROR(__xludf.DUMMYFUNCTION("""COMPUTED_VALUE"""),"0-1")</f>
        <v>0-1</v>
      </c>
      <c r="D260" s="1" t="str">
        <f>IFERROR(__xludf.DUMMYFUNCTION("""COMPUTED_VALUE"""),"0-3")</f>
        <v>0-3</v>
      </c>
      <c r="E260" s="1" t="str">
        <f>IFERROR(__xludf.DUMMYFUNCTION("""COMPUTED_VALUE"""),"0-0")</f>
        <v>0-0</v>
      </c>
      <c r="F260" s="1" t="str">
        <f>IFERROR(__xludf.DUMMYFUNCTION("""COMPUTED_VALUE"""),"0-3")</f>
        <v>0-3</v>
      </c>
      <c r="G260" s="1" t="str">
        <f>IFERROR(__xludf.DUMMYFUNCTION("""COMPUTED_VALUE"""),"0-4")</f>
        <v>0-4</v>
      </c>
      <c r="H260" s="2">
        <f>IFERROR(__xludf.DUMMYFUNCTION("""COMPUTED_VALUE"""),45692.0)</f>
        <v>45692</v>
      </c>
    </row>
    <row r="261">
      <c r="A261" s="1">
        <f>IFERROR(__xludf.DUMMYFUNCTION("""COMPUTED_VALUE"""),255.0)</f>
        <v>255</v>
      </c>
      <c r="B261" s="1" t="str">
        <f>IFERROR(__xludf.DUMMYFUNCTION("""COMPUTED_VALUE"""),"American")</f>
        <v>American</v>
      </c>
      <c r="C261" s="1" t="str">
        <f>IFERROR(__xludf.DUMMYFUNCTION("""COMPUTED_VALUE"""),"0-0")</f>
        <v>0-0</v>
      </c>
      <c r="D261" s="1" t="str">
        <f>IFERROR(__xludf.DUMMYFUNCTION("""COMPUTED_VALUE"""),"0-1")</f>
        <v>0-1</v>
      </c>
      <c r="E261" s="1" t="str">
        <f>IFERROR(__xludf.DUMMYFUNCTION("""COMPUTED_VALUE"""),"0-2")</f>
        <v>0-2</v>
      </c>
      <c r="F261" s="1" t="str">
        <f>IFERROR(__xludf.DUMMYFUNCTION("""COMPUTED_VALUE"""),"0-3")</f>
        <v>0-3</v>
      </c>
      <c r="G261" s="2">
        <f>IFERROR(__xludf.DUMMYFUNCTION("""COMPUTED_VALUE"""),45659.0)</f>
        <v>45659</v>
      </c>
      <c r="H261" s="2">
        <f>IFERROR(__xludf.DUMMYFUNCTION("""COMPUTED_VALUE"""),45750.0)</f>
        <v>45750</v>
      </c>
    </row>
    <row r="262">
      <c r="A262" s="1">
        <f>IFERROR(__xludf.DUMMYFUNCTION("""COMPUTED_VALUE"""),256.0)</f>
        <v>256</v>
      </c>
      <c r="B262" s="1" t="str">
        <f>IFERROR(__xludf.DUMMYFUNCTION("""COMPUTED_VALUE"""),"UT Rio Grande Valley")</f>
        <v>UT Rio Grande Valley</v>
      </c>
      <c r="C262" s="1" t="str">
        <f>IFERROR(__xludf.DUMMYFUNCTION("""COMPUTED_VALUE"""),"0-2")</f>
        <v>0-2</v>
      </c>
      <c r="D262" s="1" t="str">
        <f>IFERROR(__xludf.DUMMYFUNCTION("""COMPUTED_VALUE"""),"0-3")</f>
        <v>0-3</v>
      </c>
      <c r="E262" s="1" t="str">
        <f>IFERROR(__xludf.DUMMYFUNCTION("""COMPUTED_VALUE"""),"0-0")</f>
        <v>0-0</v>
      </c>
      <c r="F262" s="1" t="str">
        <f>IFERROR(__xludf.DUMMYFUNCTION("""COMPUTED_VALUE"""),"0-3")</f>
        <v>0-3</v>
      </c>
      <c r="G262" s="1" t="str">
        <f>IFERROR(__xludf.DUMMYFUNCTION("""COMPUTED_VALUE"""),"0-1")</f>
        <v>0-1</v>
      </c>
      <c r="H262" s="2">
        <f>IFERROR(__xludf.DUMMYFUNCTION("""COMPUTED_VALUE"""),45809.0)</f>
        <v>45809</v>
      </c>
    </row>
    <row r="263">
      <c r="A263" s="1">
        <f>IFERROR(__xludf.DUMMYFUNCTION("""COMPUTED_VALUE"""),257.0)</f>
        <v>257</v>
      </c>
      <c r="B263" s="1" t="str">
        <f>IFERROR(__xludf.DUMMYFUNCTION("""COMPUTED_VALUE"""),"Missouri St.")</f>
        <v>Missouri St.</v>
      </c>
      <c r="C263" s="1" t="str">
        <f>IFERROR(__xludf.DUMMYFUNCTION("""COMPUTED_VALUE"""),"0-0")</f>
        <v>0-0</v>
      </c>
      <c r="D263" s="1" t="str">
        <f>IFERROR(__xludf.DUMMYFUNCTION("""COMPUTED_VALUE"""),"0-2")</f>
        <v>0-2</v>
      </c>
      <c r="E263" s="1" t="str">
        <f>IFERROR(__xludf.DUMMYFUNCTION("""COMPUTED_VALUE"""),"0-1")</f>
        <v>0-1</v>
      </c>
      <c r="F263" s="1" t="str">
        <f>IFERROR(__xludf.DUMMYFUNCTION("""COMPUTED_VALUE"""),"0-3")</f>
        <v>0-3</v>
      </c>
      <c r="G263" s="2">
        <f>IFERROR(__xludf.DUMMYFUNCTION("""COMPUTED_VALUE"""),45689.0)</f>
        <v>45689</v>
      </c>
      <c r="H263" s="2">
        <f>IFERROR(__xludf.DUMMYFUNCTION("""COMPUTED_VALUE"""),45720.0)</f>
        <v>45720</v>
      </c>
    </row>
    <row r="264">
      <c r="A264" s="1">
        <f>IFERROR(__xludf.DUMMYFUNCTION("""COMPUTED_VALUE"""),258.0)</f>
        <v>258</v>
      </c>
      <c r="B264" s="1" t="str">
        <f>IFERROR(__xludf.DUMMYFUNCTION("""COMPUTED_VALUE"""),"Wagner")</f>
        <v>Wagner</v>
      </c>
      <c r="C264" s="1" t="str">
        <f>IFERROR(__xludf.DUMMYFUNCTION("""COMPUTED_VALUE"""),"0-1")</f>
        <v>0-1</v>
      </c>
      <c r="D264" s="1" t="str">
        <f>IFERROR(__xludf.DUMMYFUNCTION("""COMPUTED_VALUE"""),"0-2")</f>
        <v>0-2</v>
      </c>
      <c r="E264" s="1" t="str">
        <f>IFERROR(__xludf.DUMMYFUNCTION("""COMPUTED_VALUE"""),"0-1")</f>
        <v>0-1</v>
      </c>
      <c r="F264" s="1" t="str">
        <f>IFERROR(__xludf.DUMMYFUNCTION("""COMPUTED_VALUE"""),"0-3")</f>
        <v>0-3</v>
      </c>
      <c r="G264" s="1" t="str">
        <f>IFERROR(__xludf.DUMMYFUNCTION("""COMPUTED_VALUE"""),"0-1")</f>
        <v>0-1</v>
      </c>
      <c r="H264" s="2">
        <f>IFERROR(__xludf.DUMMYFUNCTION("""COMPUTED_VALUE"""),45750.0)</f>
        <v>45750</v>
      </c>
    </row>
    <row r="265">
      <c r="A265" s="1">
        <f>IFERROR(__xludf.DUMMYFUNCTION("""COMPUTED_VALUE"""),259.0)</f>
        <v>259</v>
      </c>
      <c r="B265" s="1" t="str">
        <f>IFERROR(__xludf.DUMMYFUNCTION("""COMPUTED_VALUE"""),"South Dakota")</f>
        <v>South Dakota</v>
      </c>
      <c r="C265" s="1" t="str">
        <f>IFERROR(__xludf.DUMMYFUNCTION("""COMPUTED_VALUE"""),"0-1")</f>
        <v>0-1</v>
      </c>
      <c r="D265" s="1" t="str">
        <f>IFERROR(__xludf.DUMMYFUNCTION("""COMPUTED_VALUE"""),"0-3")</f>
        <v>0-3</v>
      </c>
      <c r="E265" s="1" t="str">
        <f>IFERROR(__xludf.DUMMYFUNCTION("""COMPUTED_VALUE"""),"0-0")</f>
        <v>0-0</v>
      </c>
      <c r="F265" s="1" t="str">
        <f>IFERROR(__xludf.DUMMYFUNCTION("""COMPUTED_VALUE"""),"0-3")</f>
        <v>0-3</v>
      </c>
      <c r="G265" s="2">
        <f>IFERROR(__xludf.DUMMYFUNCTION("""COMPUTED_VALUE"""),45658.0)</f>
        <v>45658</v>
      </c>
      <c r="H265" s="2">
        <f>IFERROR(__xludf.DUMMYFUNCTION("""COMPUTED_VALUE"""),45811.0)</f>
        <v>45811</v>
      </c>
    </row>
    <row r="266">
      <c r="A266" s="1">
        <f>IFERROR(__xludf.DUMMYFUNCTION("""COMPUTED_VALUE"""),260.0)</f>
        <v>260</v>
      </c>
      <c r="B266" s="1" t="str">
        <f>IFERROR(__xludf.DUMMYFUNCTION("""COMPUTED_VALUE"""),"Tennessee Tech")</f>
        <v>Tennessee Tech</v>
      </c>
      <c r="C266" s="1" t="str">
        <f>IFERROR(__xludf.DUMMYFUNCTION("""COMPUTED_VALUE"""),"0-2")</f>
        <v>0-2</v>
      </c>
      <c r="D266" s="1" t="str">
        <f>IFERROR(__xludf.DUMMYFUNCTION("""COMPUTED_VALUE"""),"0-2")</f>
        <v>0-2</v>
      </c>
      <c r="E266" s="1" t="str">
        <f>IFERROR(__xludf.DUMMYFUNCTION("""COMPUTED_VALUE"""),"0-1")</f>
        <v>0-1</v>
      </c>
      <c r="F266" s="1" t="str">
        <f>IFERROR(__xludf.DUMMYFUNCTION("""COMPUTED_VALUE"""),"0-3")</f>
        <v>0-3</v>
      </c>
      <c r="G266" s="1" t="str">
        <f>IFERROR(__xludf.DUMMYFUNCTION("""COMPUTED_VALUE"""),"0-2")</f>
        <v>0-2</v>
      </c>
      <c r="H266" s="2">
        <f>IFERROR(__xludf.DUMMYFUNCTION("""COMPUTED_VALUE"""),45810.0)</f>
        <v>45810</v>
      </c>
    </row>
    <row r="267">
      <c r="A267" s="1">
        <f>IFERROR(__xludf.DUMMYFUNCTION("""COMPUTED_VALUE"""),261.0)</f>
        <v>261</v>
      </c>
      <c r="B267" s="1" t="str">
        <f>IFERROR(__xludf.DUMMYFUNCTION("""COMPUTED_VALUE"""),"VMI")</f>
        <v>VMI</v>
      </c>
      <c r="C267" s="1" t="str">
        <f>IFERROR(__xludf.DUMMYFUNCTION("""COMPUTED_VALUE"""),"0-1")</f>
        <v>0-1</v>
      </c>
      <c r="D267" s="1" t="str">
        <f>IFERROR(__xludf.DUMMYFUNCTION("""COMPUTED_VALUE"""),"0-1")</f>
        <v>0-1</v>
      </c>
      <c r="E267" s="1" t="str">
        <f>IFERROR(__xludf.DUMMYFUNCTION("""COMPUTED_VALUE"""),"0-2")</f>
        <v>0-2</v>
      </c>
      <c r="F267" s="1" t="str">
        <f>IFERROR(__xludf.DUMMYFUNCTION("""COMPUTED_VALUE"""),"0-3")</f>
        <v>0-3</v>
      </c>
      <c r="G267" s="1" t="str">
        <f>IFERROR(__xludf.DUMMYFUNCTION("""COMPUTED_VALUE"""),"0-1")</f>
        <v>0-1</v>
      </c>
      <c r="H267" s="2">
        <f>IFERROR(__xludf.DUMMYFUNCTION("""COMPUTED_VALUE"""),45693.0)</f>
        <v>45693</v>
      </c>
    </row>
    <row r="268">
      <c r="A268" s="1">
        <f>IFERROR(__xludf.DUMMYFUNCTION("""COMPUTED_VALUE"""),262.0)</f>
        <v>262</v>
      </c>
      <c r="B268" s="1" t="str">
        <f>IFERROR(__xludf.DUMMYFUNCTION("""COMPUTED_VALUE"""),"Tulane")</f>
        <v>Tulane</v>
      </c>
      <c r="C268" s="1" t="str">
        <f>IFERROR(__xludf.DUMMYFUNCTION("""COMPUTED_VALUE"""),"0-0")</f>
        <v>0-0</v>
      </c>
      <c r="D268" s="1" t="str">
        <f>IFERROR(__xludf.DUMMYFUNCTION("""COMPUTED_VALUE"""),"0-0")</f>
        <v>0-0</v>
      </c>
      <c r="E268" s="1" t="str">
        <f>IFERROR(__xludf.DUMMYFUNCTION("""COMPUTED_VALUE"""),"0-3")</f>
        <v>0-3</v>
      </c>
      <c r="F268" s="1" t="str">
        <f>IFERROR(__xludf.DUMMYFUNCTION("""COMPUTED_VALUE"""),"0-3")</f>
        <v>0-3</v>
      </c>
      <c r="G268" s="1" t="str">
        <f>IFERROR(__xludf.DUMMYFUNCTION("""COMPUTED_VALUE"""),"0-2")</f>
        <v>0-2</v>
      </c>
      <c r="H268" s="2">
        <f>IFERROR(__xludf.DUMMYFUNCTION("""COMPUTED_VALUE"""),45810.0)</f>
        <v>45810</v>
      </c>
    </row>
    <row r="269">
      <c r="A269" s="1">
        <f>IFERROR(__xludf.DUMMYFUNCTION("""COMPUTED_VALUE"""),263.0)</f>
        <v>263</v>
      </c>
      <c r="B269" s="1" t="str">
        <f>IFERROR(__xludf.DUMMYFUNCTION("""COMPUTED_VALUE"""),"UMass Lowell 15")</f>
        <v>UMass Lowell 15</v>
      </c>
      <c r="C269" s="1" t="str">
        <f>IFERROR(__xludf.DUMMYFUNCTION("""COMPUTED_VALUE"""),"0-1")</f>
        <v>0-1</v>
      </c>
      <c r="D269" s="1" t="str">
        <f>IFERROR(__xludf.DUMMYFUNCTION("""COMPUTED_VALUE"""),"0-1")</f>
        <v>0-1</v>
      </c>
      <c r="E269" s="1" t="str">
        <f>IFERROR(__xludf.DUMMYFUNCTION("""COMPUTED_VALUE"""),"0-2")</f>
        <v>0-2</v>
      </c>
      <c r="F269" s="1" t="str">
        <f>IFERROR(__xludf.DUMMYFUNCTION("""COMPUTED_VALUE"""),"0-3")</f>
        <v>0-3</v>
      </c>
      <c r="G269" s="2">
        <f>IFERROR(__xludf.DUMMYFUNCTION("""COMPUTED_VALUE"""),45658.0)</f>
        <v>45658</v>
      </c>
      <c r="H269" s="1" t="str">
        <f>IFERROR(__xludf.DUMMYFUNCTION("""COMPUTED_VALUE"""),"8-0")</f>
        <v>8-0</v>
      </c>
    </row>
    <row r="270">
      <c r="A270" s="1">
        <f>IFERROR(__xludf.DUMMYFUNCTION("""COMPUTED_VALUE"""),264.0)</f>
        <v>264</v>
      </c>
      <c r="B270" s="1" t="str">
        <f>IFERROR(__xludf.DUMMYFUNCTION("""COMPUTED_VALUE"""),"Louisiana")</f>
        <v>Louisiana</v>
      </c>
      <c r="C270" s="1" t="str">
        <f>IFERROR(__xludf.DUMMYFUNCTION("""COMPUTED_VALUE"""),"0-1")</f>
        <v>0-1</v>
      </c>
      <c r="D270" s="1" t="str">
        <f>IFERROR(__xludf.DUMMYFUNCTION("""COMPUTED_VALUE"""),"0-1")</f>
        <v>0-1</v>
      </c>
      <c r="E270" s="1" t="str">
        <f>IFERROR(__xludf.DUMMYFUNCTION("""COMPUTED_VALUE"""),"0-2")</f>
        <v>0-2</v>
      </c>
      <c r="F270" s="1" t="str">
        <f>IFERROR(__xludf.DUMMYFUNCTION("""COMPUTED_VALUE"""),"0-3")</f>
        <v>0-3</v>
      </c>
      <c r="G270" s="1" t="str">
        <f>IFERROR(__xludf.DUMMYFUNCTION("""COMPUTED_VALUE"""),"0-5")</f>
        <v>0-5</v>
      </c>
      <c r="H270" s="2">
        <f>IFERROR(__xludf.DUMMYFUNCTION("""COMPUTED_VALUE"""),45719.0)</f>
        <v>45719</v>
      </c>
    </row>
    <row r="271">
      <c r="A271" s="1">
        <f>IFERROR(__xludf.DUMMYFUNCTION("""COMPUTED_VALUE"""),265.0)</f>
        <v>265</v>
      </c>
      <c r="B271" s="1" t="str">
        <f>IFERROR(__xludf.DUMMYFUNCTION("""COMPUTED_VALUE"""),"Temple")</f>
        <v>Temple</v>
      </c>
      <c r="C271" s="1" t="str">
        <f>IFERROR(__xludf.DUMMYFUNCTION("""COMPUTED_VALUE"""),"0-0")</f>
        <v>0-0</v>
      </c>
      <c r="D271" s="1" t="str">
        <f>IFERROR(__xludf.DUMMYFUNCTION("""COMPUTED_VALUE"""),"0-1")</f>
        <v>0-1</v>
      </c>
      <c r="E271" s="1" t="str">
        <f>IFERROR(__xludf.DUMMYFUNCTION("""COMPUTED_VALUE"""),"0-2")</f>
        <v>0-2</v>
      </c>
      <c r="F271" s="1" t="str">
        <f>IFERROR(__xludf.DUMMYFUNCTION("""COMPUTED_VALUE"""),"0-3")</f>
        <v>0-3</v>
      </c>
      <c r="G271" s="2">
        <f>IFERROR(__xludf.DUMMYFUNCTION("""COMPUTED_VALUE"""),45718.0)</f>
        <v>45718</v>
      </c>
      <c r="H271" s="1" t="str">
        <f>IFERROR(__xludf.DUMMYFUNCTION("""COMPUTED_VALUE"""),"5-0")</f>
        <v>5-0</v>
      </c>
    </row>
    <row r="272">
      <c r="A272" s="1">
        <f>IFERROR(__xludf.DUMMYFUNCTION("""COMPUTED_VALUE"""),266.0)</f>
        <v>266</v>
      </c>
      <c r="B272" s="1" t="str">
        <f>IFERROR(__xludf.DUMMYFUNCTION("""COMPUTED_VALUE"""),"Portland St.")</f>
        <v>Portland St.</v>
      </c>
      <c r="C272" s="1" t="str">
        <f>IFERROR(__xludf.DUMMYFUNCTION("""COMPUTED_VALUE"""),"0-0")</f>
        <v>0-0</v>
      </c>
      <c r="D272" s="1" t="str">
        <f>IFERROR(__xludf.DUMMYFUNCTION("""COMPUTED_VALUE"""),"0-1")</f>
        <v>0-1</v>
      </c>
      <c r="E272" s="1" t="str">
        <f>IFERROR(__xludf.DUMMYFUNCTION("""COMPUTED_VALUE"""),"0-2")</f>
        <v>0-2</v>
      </c>
      <c r="F272" s="1" t="str">
        <f>IFERROR(__xludf.DUMMYFUNCTION("""COMPUTED_VALUE"""),"0-3")</f>
        <v>0-3</v>
      </c>
      <c r="G272" s="2">
        <f>IFERROR(__xludf.DUMMYFUNCTION("""COMPUTED_VALUE"""),45689.0)</f>
        <v>45689</v>
      </c>
      <c r="H272" s="2">
        <f>IFERROR(__xludf.DUMMYFUNCTION("""COMPUTED_VALUE"""),45718.0)</f>
        <v>45718</v>
      </c>
    </row>
    <row r="273">
      <c r="A273" s="1">
        <f>IFERROR(__xludf.DUMMYFUNCTION("""COMPUTED_VALUE"""),267.0)</f>
        <v>267</v>
      </c>
      <c r="B273" s="1" t="str">
        <f>IFERROR(__xludf.DUMMYFUNCTION("""COMPUTED_VALUE"""),"Indiana St.")</f>
        <v>Indiana St.</v>
      </c>
      <c r="C273" s="1" t="str">
        <f>IFERROR(__xludf.DUMMYFUNCTION("""COMPUTED_VALUE"""),"0-1")</f>
        <v>0-1</v>
      </c>
      <c r="D273" s="1" t="str">
        <f>IFERROR(__xludf.DUMMYFUNCTION("""COMPUTED_VALUE"""),"0-1")</f>
        <v>0-1</v>
      </c>
      <c r="E273" s="1" t="str">
        <f>IFERROR(__xludf.DUMMYFUNCTION("""COMPUTED_VALUE"""),"0-2")</f>
        <v>0-2</v>
      </c>
      <c r="F273" s="1" t="str">
        <f>IFERROR(__xludf.DUMMYFUNCTION("""COMPUTED_VALUE"""),"0-3")</f>
        <v>0-3</v>
      </c>
      <c r="G273" s="2">
        <f>IFERROR(__xludf.DUMMYFUNCTION("""COMPUTED_VALUE"""),45689.0)</f>
        <v>45689</v>
      </c>
      <c r="H273" s="2">
        <f>IFERROR(__xludf.DUMMYFUNCTION("""COMPUTED_VALUE"""),45779.0)</f>
        <v>45779</v>
      </c>
    </row>
    <row r="274">
      <c r="A274" s="1">
        <f>IFERROR(__xludf.DUMMYFUNCTION("""COMPUTED_VALUE"""),268.0)</f>
        <v>268</v>
      </c>
      <c r="B274" s="1" t="str">
        <f>IFERROR(__xludf.DUMMYFUNCTION("""COMPUTED_VALUE"""),"Texas A&amp;M Corpus Chris")</f>
        <v>Texas A&amp;M Corpus Chris</v>
      </c>
      <c r="C274" s="1" t="str">
        <f>IFERROR(__xludf.DUMMYFUNCTION("""COMPUTED_VALUE"""),"0-2")</f>
        <v>0-2</v>
      </c>
      <c r="D274" s="1" t="str">
        <f>IFERROR(__xludf.DUMMYFUNCTION("""COMPUTED_VALUE"""),"0-3")</f>
        <v>0-3</v>
      </c>
      <c r="E274" s="1" t="str">
        <f>IFERROR(__xludf.DUMMYFUNCTION("""COMPUTED_VALUE"""),"0-0")</f>
        <v>0-0</v>
      </c>
      <c r="F274" s="1" t="str">
        <f>IFERROR(__xludf.DUMMYFUNCTION("""COMPUTED_VALUE"""),"0-3")</f>
        <v>0-3</v>
      </c>
      <c r="G274" s="2">
        <f>IFERROR(__xludf.DUMMYFUNCTION("""COMPUTED_VALUE"""),45659.0)</f>
        <v>45659</v>
      </c>
      <c r="H274" s="2">
        <f>IFERROR(__xludf.DUMMYFUNCTION("""COMPUTED_VALUE"""),45778.0)</f>
        <v>45778</v>
      </c>
    </row>
    <row r="275">
      <c r="A275" s="1">
        <f>IFERROR(__xludf.DUMMYFUNCTION("""COMPUTED_VALUE"""),269.0)</f>
        <v>269</v>
      </c>
      <c r="B275" s="1" t="str">
        <f>IFERROR(__xludf.DUMMYFUNCTION("""COMPUTED_VALUE"""),"La Salle")</f>
        <v>La Salle</v>
      </c>
      <c r="C275" s="1" t="str">
        <f>IFERROR(__xludf.DUMMYFUNCTION("""COMPUTED_VALUE"""),"0-0")</f>
        <v>0-0</v>
      </c>
      <c r="D275" s="1" t="str">
        <f>IFERROR(__xludf.DUMMYFUNCTION("""COMPUTED_VALUE"""),"0-3")</f>
        <v>0-3</v>
      </c>
      <c r="E275" s="1" t="str">
        <f>IFERROR(__xludf.DUMMYFUNCTION("""COMPUTED_VALUE"""),"0-0")</f>
        <v>0-0</v>
      </c>
      <c r="F275" s="1" t="str">
        <f>IFERROR(__xludf.DUMMYFUNCTION("""COMPUTED_VALUE"""),"0-3")</f>
        <v>0-3</v>
      </c>
      <c r="G275" s="2">
        <f>IFERROR(__xludf.DUMMYFUNCTION("""COMPUTED_VALUE"""),45719.0)</f>
        <v>45719</v>
      </c>
      <c r="H275" s="1" t="str">
        <f>IFERROR(__xludf.DUMMYFUNCTION("""COMPUTED_VALUE"""),"4-0")</f>
        <v>4-0</v>
      </c>
    </row>
    <row r="276">
      <c r="A276" s="1">
        <f>IFERROR(__xludf.DUMMYFUNCTION("""COMPUTED_VALUE"""),270.0)</f>
        <v>270</v>
      </c>
      <c r="B276" s="1" t="str">
        <f>IFERROR(__xludf.DUMMYFUNCTION("""COMPUTED_VALUE"""),"Fordham")</f>
        <v>Fordham</v>
      </c>
      <c r="C276" s="1" t="str">
        <f>IFERROR(__xludf.DUMMYFUNCTION("""COMPUTED_VALUE"""),"0-1")</f>
        <v>0-1</v>
      </c>
      <c r="D276" s="1" t="str">
        <f>IFERROR(__xludf.DUMMYFUNCTION("""COMPUTED_VALUE"""),"0-2")</f>
        <v>0-2</v>
      </c>
      <c r="E276" s="1" t="str">
        <f>IFERROR(__xludf.DUMMYFUNCTION("""COMPUTED_VALUE"""),"0-2")</f>
        <v>0-2</v>
      </c>
      <c r="F276" s="1" t="str">
        <f>IFERROR(__xludf.DUMMYFUNCTION("""COMPUTED_VALUE"""),"0-4")</f>
        <v>0-4</v>
      </c>
      <c r="G276" s="2">
        <f>IFERROR(__xludf.DUMMYFUNCTION("""COMPUTED_VALUE"""),45689.0)</f>
        <v>45689</v>
      </c>
      <c r="H276" s="2">
        <f>IFERROR(__xludf.DUMMYFUNCTION("""COMPUTED_VALUE"""),45779.0)</f>
        <v>45779</v>
      </c>
    </row>
    <row r="277">
      <c r="A277" s="1">
        <f>IFERROR(__xludf.DUMMYFUNCTION("""COMPUTED_VALUE"""),271.0)</f>
        <v>271</v>
      </c>
      <c r="B277" s="1" t="str">
        <f>IFERROR(__xludf.DUMMYFUNCTION("""COMPUTED_VALUE"""),"Akron")</f>
        <v>Akron</v>
      </c>
      <c r="C277" s="1" t="str">
        <f>IFERROR(__xludf.DUMMYFUNCTION("""COMPUTED_VALUE"""),"0-0")</f>
        <v>0-0</v>
      </c>
      <c r="D277" s="1" t="str">
        <f>IFERROR(__xludf.DUMMYFUNCTION("""COMPUTED_VALUE"""),"0-1")</f>
        <v>0-1</v>
      </c>
      <c r="E277" s="1" t="str">
        <f>IFERROR(__xludf.DUMMYFUNCTION("""COMPUTED_VALUE"""),"0-3")</f>
        <v>0-3</v>
      </c>
      <c r="F277" s="1" t="str">
        <f>IFERROR(__xludf.DUMMYFUNCTION("""COMPUTED_VALUE"""),"0-4")</f>
        <v>0-4</v>
      </c>
      <c r="G277" s="1" t="str">
        <f>IFERROR(__xludf.DUMMYFUNCTION("""COMPUTED_VALUE"""),"0-1")</f>
        <v>0-1</v>
      </c>
      <c r="H277" s="1" t="str">
        <f>IFERROR(__xludf.DUMMYFUNCTION("""COMPUTED_VALUE"""),"6-0")</f>
        <v>6-0</v>
      </c>
    </row>
    <row r="278">
      <c r="A278" s="1">
        <f>IFERROR(__xludf.DUMMYFUNCTION("""COMPUTED_VALUE"""),272.0)</f>
        <v>272</v>
      </c>
      <c r="B278" s="1" t="str">
        <f>IFERROR(__xludf.DUMMYFUNCTION("""COMPUTED_VALUE"""),"Saint Louis")</f>
        <v>Saint Louis</v>
      </c>
      <c r="C278" s="1" t="str">
        <f>IFERROR(__xludf.DUMMYFUNCTION("""COMPUTED_VALUE"""),"0-0")</f>
        <v>0-0</v>
      </c>
      <c r="D278" s="1" t="str">
        <f>IFERROR(__xludf.DUMMYFUNCTION("""COMPUTED_VALUE"""),"0-1")</f>
        <v>0-1</v>
      </c>
      <c r="E278" s="1" t="str">
        <f>IFERROR(__xludf.DUMMYFUNCTION("""COMPUTED_VALUE"""),"0-3")</f>
        <v>0-3</v>
      </c>
      <c r="F278" s="1" t="str">
        <f>IFERROR(__xludf.DUMMYFUNCTION("""COMPUTED_VALUE"""),"0-4")</f>
        <v>0-4</v>
      </c>
      <c r="G278" s="2">
        <f>IFERROR(__xludf.DUMMYFUNCTION("""COMPUTED_VALUE"""),45718.0)</f>
        <v>45718</v>
      </c>
      <c r="H278" s="1" t="str">
        <f>IFERROR(__xludf.DUMMYFUNCTION("""COMPUTED_VALUE"""),"4-0")</f>
        <v>4-0</v>
      </c>
    </row>
    <row r="279">
      <c r="A279" s="1">
        <f>IFERROR(__xludf.DUMMYFUNCTION("""COMPUTED_VALUE"""),273.0)</f>
        <v>273</v>
      </c>
      <c r="B279" s="1" t="str">
        <f>IFERROR(__xludf.DUMMYFUNCTION("""COMPUTED_VALUE"""),"Oklahoma St.")</f>
        <v>Oklahoma St.</v>
      </c>
      <c r="C279" s="1" t="str">
        <f>IFERROR(__xludf.DUMMYFUNCTION("""COMPUTED_VALUE"""),"0-2")</f>
        <v>0-2</v>
      </c>
      <c r="D279" s="1" t="str">
        <f>IFERROR(__xludf.DUMMYFUNCTION("""COMPUTED_VALUE"""),"0-3")</f>
        <v>0-3</v>
      </c>
      <c r="E279" s="1" t="str">
        <f>IFERROR(__xludf.DUMMYFUNCTION("""COMPUTED_VALUE"""),"0-1")</f>
        <v>0-1</v>
      </c>
      <c r="F279" s="1" t="str">
        <f>IFERROR(__xludf.DUMMYFUNCTION("""COMPUTED_VALUE"""),"0-4")</f>
        <v>0-4</v>
      </c>
      <c r="G279" s="2">
        <f>IFERROR(__xludf.DUMMYFUNCTION("""COMPUTED_VALUE"""),45717.0)</f>
        <v>45717</v>
      </c>
      <c r="H279" s="1" t="str">
        <f>IFERROR(__xludf.DUMMYFUNCTION("""COMPUTED_VALUE"""),"5-0")</f>
        <v>5-0</v>
      </c>
    </row>
    <row r="280">
      <c r="A280" s="1">
        <f>IFERROR(__xludf.DUMMYFUNCTION("""COMPUTED_VALUE"""),274.0)</f>
        <v>274</v>
      </c>
      <c r="B280" s="1" t="str">
        <f>IFERROR(__xludf.DUMMYFUNCTION("""COMPUTED_VALUE"""),"Central Arkansas")</f>
        <v>Central Arkansas</v>
      </c>
      <c r="C280" s="1" t="str">
        <f>IFERROR(__xludf.DUMMYFUNCTION("""COMPUTED_VALUE"""),"0-0")</f>
        <v>0-0</v>
      </c>
      <c r="D280" s="1" t="str">
        <f>IFERROR(__xludf.DUMMYFUNCTION("""COMPUTED_VALUE"""),"0-3")</f>
        <v>0-3</v>
      </c>
      <c r="E280" s="1" t="str">
        <f>IFERROR(__xludf.DUMMYFUNCTION("""COMPUTED_VALUE"""),"0-1")</f>
        <v>0-1</v>
      </c>
      <c r="F280" s="1" t="str">
        <f>IFERROR(__xludf.DUMMYFUNCTION("""COMPUTED_VALUE"""),"0-4")</f>
        <v>0-4</v>
      </c>
      <c r="G280" s="1" t="str">
        <f>IFERROR(__xludf.DUMMYFUNCTION("""COMPUTED_VALUE"""),"0-1")</f>
        <v>0-1</v>
      </c>
      <c r="H280" s="2">
        <f>IFERROR(__xludf.DUMMYFUNCTION("""COMPUTED_VALUE"""),45721.0)</f>
        <v>45721</v>
      </c>
    </row>
    <row r="281">
      <c r="A281" s="1">
        <f>IFERROR(__xludf.DUMMYFUNCTION("""COMPUTED_VALUE"""),275.0)</f>
        <v>275</v>
      </c>
      <c r="B281" s="1" t="str">
        <f>IFERROR(__xludf.DUMMYFUNCTION("""COMPUTED_VALUE"""),"UT Arlington")</f>
        <v>UT Arlington</v>
      </c>
      <c r="C281" s="1" t="str">
        <f>IFERROR(__xludf.DUMMYFUNCTION("""COMPUTED_VALUE"""),"0-0")</f>
        <v>0-0</v>
      </c>
      <c r="D281" s="1" t="str">
        <f>IFERROR(__xludf.DUMMYFUNCTION("""COMPUTED_VALUE"""),"0-1")</f>
        <v>0-1</v>
      </c>
      <c r="E281" s="1" t="str">
        <f>IFERROR(__xludf.DUMMYFUNCTION("""COMPUTED_VALUE"""),"0-3")</f>
        <v>0-3</v>
      </c>
      <c r="F281" s="1" t="str">
        <f>IFERROR(__xludf.DUMMYFUNCTION("""COMPUTED_VALUE"""),"0-4")</f>
        <v>0-4</v>
      </c>
      <c r="G281" s="2">
        <f>IFERROR(__xludf.DUMMYFUNCTION("""COMPUTED_VALUE"""),45660.0)</f>
        <v>45660</v>
      </c>
      <c r="H281" s="2">
        <f>IFERROR(__xludf.DUMMYFUNCTION("""COMPUTED_VALUE"""),45748.0)</f>
        <v>45748</v>
      </c>
    </row>
    <row r="282">
      <c r="A282" s="1">
        <f>IFERROR(__xludf.DUMMYFUNCTION("""COMPUTED_VALUE"""),276.0)</f>
        <v>276</v>
      </c>
      <c r="B282" s="1" t="str">
        <f>IFERROR(__xludf.DUMMYFUNCTION("""COMPUTED_VALUE"""),"Idaho")</f>
        <v>Idaho</v>
      </c>
      <c r="C282" s="1" t="str">
        <f>IFERROR(__xludf.DUMMYFUNCTION("""COMPUTED_VALUE"""),"0-0")</f>
        <v>0-0</v>
      </c>
      <c r="D282" s="1" t="str">
        <f>IFERROR(__xludf.DUMMYFUNCTION("""COMPUTED_VALUE"""),"0-3")</f>
        <v>0-3</v>
      </c>
      <c r="E282" s="1" t="str">
        <f>IFERROR(__xludf.DUMMYFUNCTION("""COMPUTED_VALUE"""),"0-1")</f>
        <v>0-1</v>
      </c>
      <c r="F282" s="1" t="str">
        <f>IFERROR(__xludf.DUMMYFUNCTION("""COMPUTED_VALUE"""),"0-4")</f>
        <v>0-4</v>
      </c>
      <c r="G282" s="2">
        <f>IFERROR(__xludf.DUMMYFUNCTION("""COMPUTED_VALUE"""),45690.0)</f>
        <v>45690</v>
      </c>
      <c r="H282" s="2">
        <f>IFERROR(__xludf.DUMMYFUNCTION("""COMPUTED_VALUE"""),45691.0)</f>
        <v>45691</v>
      </c>
    </row>
    <row r="283">
      <c r="A283" s="1">
        <f>IFERROR(__xludf.DUMMYFUNCTION("""COMPUTED_VALUE"""),277.0)</f>
        <v>277</v>
      </c>
      <c r="B283" s="1" t="str">
        <f>IFERROR(__xludf.DUMMYFUNCTION("""COMPUTED_VALUE"""),"Delaware St.")</f>
        <v>Delaware St.</v>
      </c>
      <c r="C283" s="1" t="str">
        <f>IFERROR(__xludf.DUMMYFUNCTION("""COMPUTED_VALUE"""),"0-0")</f>
        <v>0-0</v>
      </c>
      <c r="D283" s="1" t="str">
        <f>IFERROR(__xludf.DUMMYFUNCTION("""COMPUTED_VALUE"""),"0-1")</f>
        <v>0-1</v>
      </c>
      <c r="E283" s="1" t="str">
        <f>IFERROR(__xludf.DUMMYFUNCTION("""COMPUTED_VALUE"""),"0-3")</f>
        <v>0-3</v>
      </c>
      <c r="F283" s="1" t="str">
        <f>IFERROR(__xludf.DUMMYFUNCTION("""COMPUTED_VALUE"""),"0-4")</f>
        <v>0-4</v>
      </c>
      <c r="G283" s="1" t="str">
        <f>IFERROR(__xludf.DUMMYFUNCTION("""COMPUTED_VALUE"""),"0-4")</f>
        <v>0-4</v>
      </c>
      <c r="H283" s="2">
        <f>IFERROR(__xludf.DUMMYFUNCTION("""COMPUTED_VALUE"""),45748.0)</f>
        <v>45748</v>
      </c>
    </row>
    <row r="284">
      <c r="A284" s="1">
        <f>IFERROR(__xludf.DUMMYFUNCTION("""COMPUTED_VALUE"""),278.0)</f>
        <v>278</v>
      </c>
      <c r="B284" s="1" t="str">
        <f>IFERROR(__xludf.DUMMYFUNCTION("""COMPUTED_VALUE"""),"Towson")</f>
        <v>Towson</v>
      </c>
      <c r="C284" s="1" t="str">
        <f>IFERROR(__xludf.DUMMYFUNCTION("""COMPUTED_VALUE"""),"0-0")</f>
        <v>0-0</v>
      </c>
      <c r="D284" s="1" t="str">
        <f>IFERROR(__xludf.DUMMYFUNCTION("""COMPUTED_VALUE"""),"0-1")</f>
        <v>0-1</v>
      </c>
      <c r="E284" s="1" t="str">
        <f>IFERROR(__xludf.DUMMYFUNCTION("""COMPUTED_VALUE"""),"0-3")</f>
        <v>0-3</v>
      </c>
      <c r="F284" s="1" t="str">
        <f>IFERROR(__xludf.DUMMYFUNCTION("""COMPUTED_VALUE"""),"0-4")</f>
        <v>0-4</v>
      </c>
      <c r="G284" s="2">
        <f>IFERROR(__xludf.DUMMYFUNCTION("""COMPUTED_VALUE"""),45720.0)</f>
        <v>45720</v>
      </c>
      <c r="H284" s="2">
        <f>IFERROR(__xludf.DUMMYFUNCTION("""COMPUTED_VALUE"""),45689.0)</f>
        <v>45689</v>
      </c>
    </row>
    <row r="285">
      <c r="A285" s="1">
        <f>IFERROR(__xludf.DUMMYFUNCTION("""COMPUTED_VALUE"""),279.0)</f>
        <v>279</v>
      </c>
      <c r="B285" s="1" t="str">
        <f>IFERROR(__xludf.DUMMYFUNCTION("""COMPUTED_VALUE"""),"Massachusetts")</f>
        <v>Massachusetts</v>
      </c>
      <c r="C285" s="1" t="str">
        <f>IFERROR(__xludf.DUMMYFUNCTION("""COMPUTED_VALUE"""),"0-1")</f>
        <v>0-1</v>
      </c>
      <c r="D285" s="1" t="str">
        <f>IFERROR(__xludf.DUMMYFUNCTION("""COMPUTED_VALUE"""),"0-1")</f>
        <v>0-1</v>
      </c>
      <c r="E285" s="1" t="str">
        <f>IFERROR(__xludf.DUMMYFUNCTION("""COMPUTED_VALUE"""),"0-3")</f>
        <v>0-3</v>
      </c>
      <c r="F285" s="1" t="str">
        <f>IFERROR(__xludf.DUMMYFUNCTION("""COMPUTED_VALUE"""),"0-4")</f>
        <v>0-4</v>
      </c>
      <c r="G285" s="1" t="str">
        <f>IFERROR(__xludf.DUMMYFUNCTION("""COMPUTED_VALUE"""),"0-4")</f>
        <v>0-4</v>
      </c>
      <c r="H285" s="2">
        <f>IFERROR(__xludf.DUMMYFUNCTION("""COMPUTED_VALUE"""),45749.0)</f>
        <v>45749</v>
      </c>
    </row>
    <row r="286">
      <c r="A286" s="1">
        <f>IFERROR(__xludf.DUMMYFUNCTION("""COMPUTED_VALUE"""),280.0)</f>
        <v>280</v>
      </c>
      <c r="B286" s="1" t="str">
        <f>IFERROR(__xludf.DUMMYFUNCTION("""COMPUTED_VALUE"""),"Southeast Missouri St.")</f>
        <v>Southeast Missouri St.</v>
      </c>
      <c r="C286" s="1" t="str">
        <f>IFERROR(__xludf.DUMMYFUNCTION("""COMPUTED_VALUE"""),"0-1")</f>
        <v>0-1</v>
      </c>
      <c r="D286" s="1" t="str">
        <f>IFERROR(__xludf.DUMMYFUNCTION("""COMPUTED_VALUE"""),"0-3")</f>
        <v>0-3</v>
      </c>
      <c r="E286" s="1" t="str">
        <f>IFERROR(__xludf.DUMMYFUNCTION("""COMPUTED_VALUE"""),"0-1")</f>
        <v>0-1</v>
      </c>
      <c r="F286" s="1" t="str">
        <f>IFERROR(__xludf.DUMMYFUNCTION("""COMPUTED_VALUE"""),"0-4")</f>
        <v>0-4</v>
      </c>
      <c r="G286" s="1" t="str">
        <f>IFERROR(__xludf.DUMMYFUNCTION("""COMPUTED_VALUE"""),"0-0")</f>
        <v>0-0</v>
      </c>
      <c r="H286" s="2">
        <f>IFERROR(__xludf.DUMMYFUNCTION("""COMPUTED_VALUE"""),45780.0)</f>
        <v>45780</v>
      </c>
    </row>
    <row r="287">
      <c r="A287" s="1">
        <f>IFERROR(__xludf.DUMMYFUNCTION("""COMPUTED_VALUE"""),281.0)</f>
        <v>281</v>
      </c>
      <c r="B287" s="1" t="str">
        <f>IFERROR(__xludf.DUMMYFUNCTION("""COMPUTED_VALUE"""),"Chattanooga")</f>
        <v>Chattanooga</v>
      </c>
      <c r="C287" s="1" t="str">
        <f>IFERROR(__xludf.DUMMYFUNCTION("""COMPUTED_VALUE"""),"0-0")</f>
        <v>0-0</v>
      </c>
      <c r="D287" s="1" t="str">
        <f>IFERROR(__xludf.DUMMYFUNCTION("""COMPUTED_VALUE"""),"0-2")</f>
        <v>0-2</v>
      </c>
      <c r="E287" s="1" t="str">
        <f>IFERROR(__xludf.DUMMYFUNCTION("""COMPUTED_VALUE"""),"0-2")</f>
        <v>0-2</v>
      </c>
      <c r="F287" s="1" t="str">
        <f>IFERROR(__xludf.DUMMYFUNCTION("""COMPUTED_VALUE"""),"0-4")</f>
        <v>0-4</v>
      </c>
      <c r="G287" s="2">
        <f>IFERROR(__xludf.DUMMYFUNCTION("""COMPUTED_VALUE"""),45658.0)</f>
        <v>45658</v>
      </c>
      <c r="H287" s="2">
        <f>IFERROR(__xludf.DUMMYFUNCTION("""COMPUTED_VALUE"""),45809.0)</f>
        <v>45809</v>
      </c>
    </row>
    <row r="288">
      <c r="A288" s="1">
        <f>IFERROR(__xludf.DUMMYFUNCTION("""COMPUTED_VALUE"""),282.0)</f>
        <v>282</v>
      </c>
      <c r="B288" s="1" t="str">
        <f>IFERROR(__xludf.DUMMYFUNCTION("""COMPUTED_VALUE"""),"Cal St. Bakersfield")</f>
        <v>Cal St. Bakersfield</v>
      </c>
      <c r="C288" s="1" t="str">
        <f>IFERROR(__xludf.DUMMYFUNCTION("""COMPUTED_VALUE"""),"0-0")</f>
        <v>0-0</v>
      </c>
      <c r="D288" s="1" t="str">
        <f>IFERROR(__xludf.DUMMYFUNCTION("""COMPUTED_VALUE"""),"0-2")</f>
        <v>0-2</v>
      </c>
      <c r="E288" s="1" t="str">
        <f>IFERROR(__xludf.DUMMYFUNCTION("""COMPUTED_VALUE"""),"0-2")</f>
        <v>0-2</v>
      </c>
      <c r="F288" s="1" t="str">
        <f>IFERROR(__xludf.DUMMYFUNCTION("""COMPUTED_VALUE"""),"0-4")</f>
        <v>0-4</v>
      </c>
      <c r="G288" s="2">
        <f>IFERROR(__xludf.DUMMYFUNCTION("""COMPUTED_VALUE"""),45690.0)</f>
        <v>45690</v>
      </c>
      <c r="H288" s="2">
        <f>IFERROR(__xludf.DUMMYFUNCTION("""COMPUTED_VALUE"""),45749.0)</f>
        <v>45749</v>
      </c>
    </row>
    <row r="289">
      <c r="A289" s="1">
        <f>IFERROR(__xludf.DUMMYFUNCTION("""COMPUTED_VALUE"""),283.0)</f>
        <v>283</v>
      </c>
      <c r="B289" s="1" t="str">
        <f>IFERROR(__xludf.DUMMYFUNCTION("""COMPUTED_VALUE"""),"Yale")</f>
        <v>Yale</v>
      </c>
      <c r="C289" s="1" t="str">
        <f>IFERROR(__xludf.DUMMYFUNCTION("""COMPUTED_VALUE"""),"0-1")</f>
        <v>0-1</v>
      </c>
      <c r="D289" s="1" t="str">
        <f>IFERROR(__xludf.DUMMYFUNCTION("""COMPUTED_VALUE"""),"0-1")</f>
        <v>0-1</v>
      </c>
      <c r="E289" s="1" t="str">
        <f>IFERROR(__xludf.DUMMYFUNCTION("""COMPUTED_VALUE"""),"0-3")</f>
        <v>0-3</v>
      </c>
      <c r="F289" s="1" t="str">
        <f>IFERROR(__xludf.DUMMYFUNCTION("""COMPUTED_VALUE"""),"0-4")</f>
        <v>0-4</v>
      </c>
      <c r="G289" s="2">
        <f>IFERROR(__xludf.DUMMYFUNCTION("""COMPUTED_VALUE"""),45658.0)</f>
        <v>45658</v>
      </c>
      <c r="H289" s="2">
        <f>IFERROR(__xludf.DUMMYFUNCTION("""COMPUTED_VALUE"""),45778.0)</f>
        <v>45778</v>
      </c>
    </row>
    <row r="290">
      <c r="A290" s="1">
        <f>IFERROR(__xludf.DUMMYFUNCTION("""COMPUTED_VALUE"""),284.0)</f>
        <v>284</v>
      </c>
      <c r="B290" s="1" t="str">
        <f>IFERROR(__xludf.DUMMYFUNCTION("""COMPUTED_VALUE"""),"Fairfield")</f>
        <v>Fairfield</v>
      </c>
      <c r="C290" s="1" t="str">
        <f>IFERROR(__xludf.DUMMYFUNCTION("""COMPUTED_VALUE"""),"0-0")</f>
        <v>0-0</v>
      </c>
      <c r="D290" s="1" t="str">
        <f>IFERROR(__xludf.DUMMYFUNCTION("""COMPUTED_VALUE"""),"0-1")</f>
        <v>0-1</v>
      </c>
      <c r="E290" s="1" t="str">
        <f>IFERROR(__xludf.DUMMYFUNCTION("""COMPUTED_VALUE"""),"0-3")</f>
        <v>0-3</v>
      </c>
      <c r="F290" s="1" t="str">
        <f>IFERROR(__xludf.DUMMYFUNCTION("""COMPUTED_VALUE"""),"0-4")</f>
        <v>0-4</v>
      </c>
      <c r="G290" s="1" t="str">
        <f>IFERROR(__xludf.DUMMYFUNCTION("""COMPUTED_VALUE"""),"0-3")</f>
        <v>0-3</v>
      </c>
      <c r="H290" s="2">
        <f>IFERROR(__xludf.DUMMYFUNCTION("""COMPUTED_VALUE"""),45749.0)</f>
        <v>45749</v>
      </c>
    </row>
    <row r="291">
      <c r="A291" s="1">
        <f>IFERROR(__xludf.DUMMYFUNCTION("""COMPUTED_VALUE"""),285.0)</f>
        <v>285</v>
      </c>
      <c r="B291" s="1" t="str">
        <f>IFERROR(__xludf.DUMMYFUNCTION("""COMPUTED_VALUE"""),"Norfolk St. 16")</f>
        <v>Norfolk St. 16</v>
      </c>
      <c r="C291" s="1" t="str">
        <f>IFERROR(__xludf.DUMMYFUNCTION("""COMPUTED_VALUE"""),"0-2")</f>
        <v>0-2</v>
      </c>
      <c r="D291" s="1" t="str">
        <f>IFERROR(__xludf.DUMMYFUNCTION("""COMPUTED_VALUE"""),"0-2")</f>
        <v>0-2</v>
      </c>
      <c r="E291" s="1" t="str">
        <f>IFERROR(__xludf.DUMMYFUNCTION("""COMPUTED_VALUE"""),"0-2")</f>
        <v>0-2</v>
      </c>
      <c r="F291" s="1" t="str">
        <f>IFERROR(__xludf.DUMMYFUNCTION("""COMPUTED_VALUE"""),"0-4")</f>
        <v>0-4</v>
      </c>
      <c r="G291" s="2">
        <f>IFERROR(__xludf.DUMMYFUNCTION("""COMPUTED_VALUE"""),45749.0)</f>
        <v>45749</v>
      </c>
      <c r="H291" s="2">
        <f>IFERROR(__xludf.DUMMYFUNCTION("""COMPUTED_VALUE"""),45778.0)</f>
        <v>45778</v>
      </c>
    </row>
    <row r="292">
      <c r="A292" s="1">
        <f>IFERROR(__xludf.DUMMYFUNCTION("""COMPUTED_VALUE"""),286.0)</f>
        <v>286</v>
      </c>
      <c r="B292" s="1" t="str">
        <f>IFERROR(__xludf.DUMMYFUNCTION("""COMPUTED_VALUE"""),"Detroit Mercy")</f>
        <v>Detroit Mercy</v>
      </c>
      <c r="C292" s="1" t="str">
        <f>IFERROR(__xludf.DUMMYFUNCTION("""COMPUTED_VALUE"""),"0-1")</f>
        <v>0-1</v>
      </c>
      <c r="D292" s="1" t="str">
        <f>IFERROR(__xludf.DUMMYFUNCTION("""COMPUTED_VALUE"""),"0-1")</f>
        <v>0-1</v>
      </c>
      <c r="E292" s="1" t="str">
        <f>IFERROR(__xludf.DUMMYFUNCTION("""COMPUTED_VALUE"""),"0-3")</f>
        <v>0-3</v>
      </c>
      <c r="F292" s="1" t="str">
        <f>IFERROR(__xludf.DUMMYFUNCTION("""COMPUTED_VALUE"""),"0-4")</f>
        <v>0-4</v>
      </c>
      <c r="G292" s="2">
        <f>IFERROR(__xludf.DUMMYFUNCTION("""COMPUTED_VALUE"""),45661.0)</f>
        <v>45661</v>
      </c>
      <c r="H292" s="2">
        <f>IFERROR(__xludf.DUMMYFUNCTION("""COMPUTED_VALUE"""),45750.0)</f>
        <v>45750</v>
      </c>
    </row>
    <row r="293">
      <c r="A293" s="1">
        <f>IFERROR(__xludf.DUMMYFUNCTION("""COMPUTED_VALUE"""),287.0)</f>
        <v>287</v>
      </c>
      <c r="B293" s="1" t="str">
        <f>IFERROR(__xludf.DUMMYFUNCTION("""COMPUTED_VALUE"""),"UTSA")</f>
        <v>UTSA</v>
      </c>
      <c r="C293" s="1" t="str">
        <f>IFERROR(__xludf.DUMMYFUNCTION("""COMPUTED_VALUE"""),"0-1")</f>
        <v>0-1</v>
      </c>
      <c r="D293" s="1" t="str">
        <f>IFERROR(__xludf.DUMMYFUNCTION("""COMPUTED_VALUE"""),"0-3")</f>
        <v>0-3</v>
      </c>
      <c r="E293" s="1" t="str">
        <f>IFERROR(__xludf.DUMMYFUNCTION("""COMPUTED_VALUE"""),"0-1")</f>
        <v>0-1</v>
      </c>
      <c r="F293" s="1" t="str">
        <f>IFERROR(__xludf.DUMMYFUNCTION("""COMPUTED_VALUE"""),"0-4")</f>
        <v>0-4</v>
      </c>
      <c r="G293" s="2">
        <f>IFERROR(__xludf.DUMMYFUNCTION("""COMPUTED_VALUE"""),45658.0)</f>
        <v>45658</v>
      </c>
      <c r="H293" s="2">
        <f>IFERROR(__xludf.DUMMYFUNCTION("""COMPUTED_VALUE"""),45718.0)</f>
        <v>45718</v>
      </c>
    </row>
    <row r="294">
      <c r="A294" s="1">
        <f>IFERROR(__xludf.DUMMYFUNCTION("""COMPUTED_VALUE"""),288.0)</f>
        <v>288</v>
      </c>
      <c r="B294" s="1" t="str">
        <f>IFERROR(__xludf.DUMMYFUNCTION("""COMPUTED_VALUE"""),"Howard")</f>
        <v>Howard</v>
      </c>
      <c r="C294" s="1" t="str">
        <f>IFERROR(__xludf.DUMMYFUNCTION("""COMPUTED_VALUE"""),"0-2")</f>
        <v>0-2</v>
      </c>
      <c r="D294" s="1" t="str">
        <f>IFERROR(__xludf.DUMMYFUNCTION("""COMPUTED_VALUE"""),"0-3")</f>
        <v>0-3</v>
      </c>
      <c r="E294" s="1" t="str">
        <f>IFERROR(__xludf.DUMMYFUNCTION("""COMPUTED_VALUE"""),"0-1")</f>
        <v>0-1</v>
      </c>
      <c r="F294" s="1" t="str">
        <f>IFERROR(__xludf.DUMMYFUNCTION("""COMPUTED_VALUE"""),"0-4")</f>
        <v>0-4</v>
      </c>
      <c r="G294" s="2">
        <f>IFERROR(__xludf.DUMMYFUNCTION("""COMPUTED_VALUE"""),45658.0)</f>
        <v>45658</v>
      </c>
      <c r="H294" s="2">
        <f>IFERROR(__xludf.DUMMYFUNCTION("""COMPUTED_VALUE"""),45720.0)</f>
        <v>45720</v>
      </c>
    </row>
    <row r="295">
      <c r="A295" s="1">
        <f>IFERROR(__xludf.DUMMYFUNCTION("""COMPUTED_VALUE"""),289.0)</f>
        <v>289</v>
      </c>
      <c r="B295" s="1" t="str">
        <f>IFERROR(__xludf.DUMMYFUNCTION("""COMPUTED_VALUE"""),"USC Upstate")</f>
        <v>USC Upstate</v>
      </c>
      <c r="C295" s="1" t="str">
        <f>IFERROR(__xludf.DUMMYFUNCTION("""COMPUTED_VALUE"""),"0-0")</f>
        <v>0-0</v>
      </c>
      <c r="D295" s="1" t="str">
        <f>IFERROR(__xludf.DUMMYFUNCTION("""COMPUTED_VALUE"""),"0-1")</f>
        <v>0-1</v>
      </c>
      <c r="E295" s="1" t="str">
        <f>IFERROR(__xludf.DUMMYFUNCTION("""COMPUTED_VALUE"""),"0-3")</f>
        <v>0-3</v>
      </c>
      <c r="F295" s="1" t="str">
        <f>IFERROR(__xludf.DUMMYFUNCTION("""COMPUTED_VALUE"""),"0-4")</f>
        <v>0-4</v>
      </c>
      <c r="G295" s="1" t="str">
        <f>IFERROR(__xludf.DUMMYFUNCTION("""COMPUTED_VALUE"""),"0-3")</f>
        <v>0-3</v>
      </c>
      <c r="H295" s="2">
        <f>IFERROR(__xludf.DUMMYFUNCTION("""COMPUTED_VALUE"""),45662.0)</f>
        <v>45662</v>
      </c>
    </row>
    <row r="296">
      <c r="A296" s="1">
        <f>IFERROR(__xludf.DUMMYFUNCTION("""COMPUTED_VALUE"""),290.0)</f>
        <v>290</v>
      </c>
      <c r="B296" s="1" t="str">
        <f>IFERROR(__xludf.DUMMYFUNCTION("""COMPUTED_VALUE"""),"Georgia St.")</f>
        <v>Georgia St.</v>
      </c>
      <c r="C296" s="1" t="str">
        <f>IFERROR(__xludf.DUMMYFUNCTION("""COMPUTED_VALUE"""),"0-3")</f>
        <v>0-3</v>
      </c>
      <c r="D296" s="1" t="str">
        <f>IFERROR(__xludf.DUMMYFUNCTION("""COMPUTED_VALUE"""),"0-3")</f>
        <v>0-3</v>
      </c>
      <c r="E296" s="1" t="str">
        <f>IFERROR(__xludf.DUMMYFUNCTION("""COMPUTED_VALUE"""),"0-1")</f>
        <v>0-1</v>
      </c>
      <c r="F296" s="1" t="str">
        <f>IFERROR(__xludf.DUMMYFUNCTION("""COMPUTED_VALUE"""),"0-4")</f>
        <v>0-4</v>
      </c>
      <c r="G296" s="1" t="str">
        <f>IFERROR(__xludf.DUMMYFUNCTION("""COMPUTED_VALUE"""),"0-2")</f>
        <v>0-2</v>
      </c>
      <c r="H296" s="2">
        <f>IFERROR(__xludf.DUMMYFUNCTION("""COMPUTED_VALUE"""),45751.0)</f>
        <v>45751</v>
      </c>
    </row>
    <row r="297">
      <c r="A297" s="1">
        <f>IFERROR(__xludf.DUMMYFUNCTION("""COMPUTED_VALUE"""),291.0)</f>
        <v>291</v>
      </c>
      <c r="B297" s="1" t="str">
        <f>IFERROR(__xludf.DUMMYFUNCTION("""COMPUTED_VALUE"""),"Florida St.")</f>
        <v>Florida St.</v>
      </c>
      <c r="C297" s="1" t="str">
        <f>IFERROR(__xludf.DUMMYFUNCTION("""COMPUTED_VALUE"""),"0-1")</f>
        <v>0-1</v>
      </c>
      <c r="D297" s="1" t="str">
        <f>IFERROR(__xludf.DUMMYFUNCTION("""COMPUTED_VALUE"""),"0-2")</f>
        <v>0-2</v>
      </c>
      <c r="E297" s="1" t="str">
        <f>IFERROR(__xludf.DUMMYFUNCTION("""COMPUTED_VALUE"""),"0-2")</f>
        <v>0-2</v>
      </c>
      <c r="F297" s="1" t="str">
        <f>IFERROR(__xludf.DUMMYFUNCTION("""COMPUTED_VALUE"""),"0-4")</f>
        <v>0-4</v>
      </c>
      <c r="G297" s="1" t="str">
        <f>IFERROR(__xludf.DUMMYFUNCTION("""COMPUTED_VALUE"""),"3-0")</f>
        <v>3-0</v>
      </c>
      <c r="H297" s="1" t="str">
        <f>IFERROR(__xludf.DUMMYFUNCTION("""COMPUTED_VALUE"""),"7-0")</f>
        <v>7-0</v>
      </c>
    </row>
    <row r="298">
      <c r="A298" s="1">
        <f>IFERROR(__xludf.DUMMYFUNCTION("""COMPUTED_VALUE"""),292.0)</f>
        <v>292</v>
      </c>
      <c r="B298" s="1" t="str">
        <f>IFERROR(__xludf.DUMMYFUNCTION("""COMPUTED_VALUE"""),"Houston Christian")</f>
        <v>Houston Christian</v>
      </c>
      <c r="C298" s="1" t="str">
        <f>IFERROR(__xludf.DUMMYFUNCTION("""COMPUTED_VALUE"""),"0-1")</f>
        <v>0-1</v>
      </c>
      <c r="D298" s="1" t="str">
        <f>IFERROR(__xludf.DUMMYFUNCTION("""COMPUTED_VALUE"""),"0-4")</f>
        <v>0-4</v>
      </c>
      <c r="E298" s="1" t="str">
        <f>IFERROR(__xludf.DUMMYFUNCTION("""COMPUTED_VALUE"""),"0-0")</f>
        <v>0-0</v>
      </c>
      <c r="F298" s="1" t="str">
        <f>IFERROR(__xludf.DUMMYFUNCTION("""COMPUTED_VALUE"""),"0-4")</f>
        <v>0-4</v>
      </c>
      <c r="G298" s="1" t="str">
        <f>IFERROR(__xludf.DUMMYFUNCTION("""COMPUTED_VALUE"""),"0-2")</f>
        <v>0-2</v>
      </c>
      <c r="H298" s="2">
        <f>IFERROR(__xludf.DUMMYFUNCTION("""COMPUTED_VALUE"""),45720.0)</f>
        <v>45720</v>
      </c>
    </row>
    <row r="299">
      <c r="A299" s="1">
        <f>IFERROR(__xludf.DUMMYFUNCTION("""COMPUTED_VALUE"""),293.0)</f>
        <v>293</v>
      </c>
      <c r="B299" s="1" t="str">
        <f>IFERROR(__xludf.DUMMYFUNCTION("""COMPUTED_VALUE"""),"Canisius")</f>
        <v>Canisius</v>
      </c>
      <c r="C299" s="1" t="str">
        <f>IFERROR(__xludf.DUMMYFUNCTION("""COMPUTED_VALUE"""),"0-2")</f>
        <v>0-2</v>
      </c>
      <c r="D299" s="1" t="str">
        <f>IFERROR(__xludf.DUMMYFUNCTION("""COMPUTED_VALUE"""),"0-3")</f>
        <v>0-3</v>
      </c>
      <c r="E299" s="1" t="str">
        <f>IFERROR(__xludf.DUMMYFUNCTION("""COMPUTED_VALUE"""),"0-1")</f>
        <v>0-1</v>
      </c>
      <c r="F299" s="1" t="str">
        <f>IFERROR(__xludf.DUMMYFUNCTION("""COMPUTED_VALUE"""),"0-4")</f>
        <v>0-4</v>
      </c>
      <c r="G299" s="1" t="str">
        <f>IFERROR(__xludf.DUMMYFUNCTION("""COMPUTED_VALUE"""),"0-2")</f>
        <v>0-2</v>
      </c>
      <c r="H299" s="1" t="str">
        <f>IFERROR(__xludf.DUMMYFUNCTION("""COMPUTED_VALUE"""),"0-8")</f>
        <v>0-8</v>
      </c>
    </row>
    <row r="300">
      <c r="A300" s="1">
        <f>IFERROR(__xludf.DUMMYFUNCTION("""COMPUTED_VALUE"""),294.0)</f>
        <v>294</v>
      </c>
      <c r="B300" s="1" t="str">
        <f>IFERROR(__xludf.DUMMYFUNCTION("""COMPUTED_VALUE"""),"IU Indy")</f>
        <v>IU Indy</v>
      </c>
      <c r="C300" s="1" t="str">
        <f>IFERROR(__xludf.DUMMYFUNCTION("""COMPUTED_VALUE"""),"0-1")</f>
        <v>0-1</v>
      </c>
      <c r="D300" s="1" t="str">
        <f>IFERROR(__xludf.DUMMYFUNCTION("""COMPUTED_VALUE"""),"0-2")</f>
        <v>0-2</v>
      </c>
      <c r="E300" s="1" t="str">
        <f>IFERROR(__xludf.DUMMYFUNCTION("""COMPUTED_VALUE"""),"0-2")</f>
        <v>0-2</v>
      </c>
      <c r="F300" s="1" t="str">
        <f>IFERROR(__xludf.DUMMYFUNCTION("""COMPUTED_VALUE"""),"0-4")</f>
        <v>0-4</v>
      </c>
      <c r="G300" s="1" t="str">
        <f>IFERROR(__xludf.DUMMYFUNCTION("""COMPUTED_VALUE"""),"0-2")</f>
        <v>0-2</v>
      </c>
      <c r="H300" s="2">
        <f>IFERROR(__xludf.DUMMYFUNCTION("""COMPUTED_VALUE"""),45694.0)</f>
        <v>45694</v>
      </c>
    </row>
    <row r="301">
      <c r="A301" s="1">
        <f>IFERROR(__xludf.DUMMYFUNCTION("""COMPUTED_VALUE"""),295.0)</f>
        <v>295</v>
      </c>
      <c r="B301" s="1" t="str">
        <f>IFERROR(__xludf.DUMMYFUNCTION("""COMPUTED_VALUE"""),"North Carolina A&amp;T")</f>
        <v>North Carolina A&amp;T</v>
      </c>
      <c r="C301" s="1" t="str">
        <f>IFERROR(__xludf.DUMMYFUNCTION("""COMPUTED_VALUE"""),"0-1")</f>
        <v>0-1</v>
      </c>
      <c r="D301" s="1" t="str">
        <f>IFERROR(__xludf.DUMMYFUNCTION("""COMPUTED_VALUE"""),"0-2")</f>
        <v>0-2</v>
      </c>
      <c r="E301" s="1" t="str">
        <f>IFERROR(__xludf.DUMMYFUNCTION("""COMPUTED_VALUE"""),"0-2")</f>
        <v>0-2</v>
      </c>
      <c r="F301" s="1" t="str">
        <f>IFERROR(__xludf.DUMMYFUNCTION("""COMPUTED_VALUE"""),"0-4")</f>
        <v>0-4</v>
      </c>
      <c r="G301" s="1" t="str">
        <f>IFERROR(__xludf.DUMMYFUNCTION("""COMPUTED_VALUE"""),"0-5")</f>
        <v>0-5</v>
      </c>
      <c r="H301" s="2">
        <f>IFERROR(__xludf.DUMMYFUNCTION("""COMPUTED_VALUE"""),45719.0)</f>
        <v>45719</v>
      </c>
    </row>
    <row r="302">
      <c r="A302" s="1">
        <f>IFERROR(__xludf.DUMMYFUNCTION("""COMPUTED_VALUE"""),296.0)</f>
        <v>296</v>
      </c>
      <c r="B302" s="1" t="str">
        <f>IFERROR(__xludf.DUMMYFUNCTION("""COMPUTED_VALUE"""),"Lipscomb 14")</f>
        <v>Lipscomb 14</v>
      </c>
      <c r="C302" s="1" t="str">
        <f>IFERROR(__xludf.DUMMYFUNCTION("""COMPUTED_VALUE"""),"0-2")</f>
        <v>0-2</v>
      </c>
      <c r="D302" s="1" t="str">
        <f>IFERROR(__xludf.DUMMYFUNCTION("""COMPUTED_VALUE"""),"0-2")</f>
        <v>0-2</v>
      </c>
      <c r="E302" s="1" t="str">
        <f>IFERROR(__xludf.DUMMYFUNCTION("""COMPUTED_VALUE"""),"0-2")</f>
        <v>0-2</v>
      </c>
      <c r="F302" s="1" t="str">
        <f>IFERROR(__xludf.DUMMYFUNCTION("""COMPUTED_VALUE"""),"0-4")</f>
        <v>0-4</v>
      </c>
      <c r="G302" s="2">
        <f>IFERROR(__xludf.DUMMYFUNCTION("""COMPUTED_VALUE"""),45778.0)</f>
        <v>45778</v>
      </c>
      <c r="H302" s="1" t="str">
        <f>IFERROR(__xludf.DUMMYFUNCTION("""COMPUTED_VALUE"""),"3-0")</f>
        <v>3-0</v>
      </c>
    </row>
    <row r="303">
      <c r="A303" s="1">
        <f>IFERROR(__xludf.DUMMYFUNCTION("""COMPUTED_VALUE"""),297.0)</f>
        <v>297</v>
      </c>
      <c r="B303" s="1" t="str">
        <f>IFERROR(__xludf.DUMMYFUNCTION("""COMPUTED_VALUE"""),"Weber St.")</f>
        <v>Weber St.</v>
      </c>
      <c r="C303" s="1" t="str">
        <f>IFERROR(__xludf.DUMMYFUNCTION("""COMPUTED_VALUE"""),"0-1")</f>
        <v>0-1</v>
      </c>
      <c r="D303" s="1" t="str">
        <f>IFERROR(__xludf.DUMMYFUNCTION("""COMPUTED_VALUE"""),"0-3")</f>
        <v>0-3</v>
      </c>
      <c r="E303" s="1" t="str">
        <f>IFERROR(__xludf.DUMMYFUNCTION("""COMPUTED_VALUE"""),"0-1")</f>
        <v>0-1</v>
      </c>
      <c r="F303" s="1" t="str">
        <f>IFERROR(__xludf.DUMMYFUNCTION("""COMPUTED_VALUE"""),"0-4")</f>
        <v>0-4</v>
      </c>
      <c r="G303" s="2">
        <f>IFERROR(__xludf.DUMMYFUNCTION("""COMPUTED_VALUE"""),45661.0)</f>
        <v>45661</v>
      </c>
      <c r="H303" s="2">
        <f>IFERROR(__xludf.DUMMYFUNCTION("""COMPUTED_VALUE"""),45690.0)</f>
        <v>45690</v>
      </c>
    </row>
    <row r="304">
      <c r="A304" s="1">
        <f>IFERROR(__xludf.DUMMYFUNCTION("""COMPUTED_VALUE"""),298.0)</f>
        <v>298</v>
      </c>
      <c r="B304" s="1" t="str">
        <f>IFERROR(__xludf.DUMMYFUNCTION("""COMPUTED_VALUE"""),"Western Carolina")</f>
        <v>Western Carolina</v>
      </c>
      <c r="C304" s="1" t="str">
        <f>IFERROR(__xludf.DUMMYFUNCTION("""COMPUTED_VALUE"""),"0-2")</f>
        <v>0-2</v>
      </c>
      <c r="D304" s="1" t="str">
        <f>IFERROR(__xludf.DUMMYFUNCTION("""COMPUTED_VALUE"""),"0-3")</f>
        <v>0-3</v>
      </c>
      <c r="E304" s="1" t="str">
        <f>IFERROR(__xludf.DUMMYFUNCTION("""COMPUTED_VALUE"""),"0-1")</f>
        <v>0-1</v>
      </c>
      <c r="F304" s="1" t="str">
        <f>IFERROR(__xludf.DUMMYFUNCTION("""COMPUTED_VALUE"""),"0-4")</f>
        <v>0-4</v>
      </c>
      <c r="G304" s="1" t="str">
        <f>IFERROR(__xludf.DUMMYFUNCTION("""COMPUTED_VALUE"""),"0-3")</f>
        <v>0-3</v>
      </c>
      <c r="H304" s="2">
        <f>IFERROR(__xludf.DUMMYFUNCTION("""COMPUTED_VALUE"""),45659.0)</f>
        <v>45659</v>
      </c>
    </row>
    <row r="305">
      <c r="A305" s="1">
        <f>IFERROR(__xludf.DUMMYFUNCTION("""COMPUTED_VALUE"""),299.0)</f>
        <v>299</v>
      </c>
      <c r="B305" s="1" t="str">
        <f>IFERROR(__xludf.DUMMYFUNCTION("""COMPUTED_VALUE"""),"Rider")</f>
        <v>Rider</v>
      </c>
      <c r="C305" s="1" t="str">
        <f>IFERROR(__xludf.DUMMYFUNCTION("""COMPUTED_VALUE"""),"0-1")</f>
        <v>0-1</v>
      </c>
      <c r="D305" s="1" t="str">
        <f>IFERROR(__xludf.DUMMYFUNCTION("""COMPUTED_VALUE"""),"0-3")</f>
        <v>0-3</v>
      </c>
      <c r="E305" s="1" t="str">
        <f>IFERROR(__xludf.DUMMYFUNCTION("""COMPUTED_VALUE"""),"0-1")</f>
        <v>0-1</v>
      </c>
      <c r="F305" s="1" t="str">
        <f>IFERROR(__xludf.DUMMYFUNCTION("""COMPUTED_VALUE"""),"0-4")</f>
        <v>0-4</v>
      </c>
      <c r="G305" s="1" t="str">
        <f>IFERROR(__xludf.DUMMYFUNCTION("""COMPUTED_VALUE"""),"0-0")</f>
        <v>0-0</v>
      </c>
      <c r="H305" s="2">
        <f>IFERROR(__xludf.DUMMYFUNCTION("""COMPUTED_VALUE"""),45753.0)</f>
        <v>45753</v>
      </c>
    </row>
    <row r="306">
      <c r="A306" s="1">
        <f>IFERROR(__xludf.DUMMYFUNCTION("""COMPUTED_VALUE"""),300.0)</f>
        <v>300</v>
      </c>
      <c r="B306" s="1" t="str">
        <f>IFERROR(__xludf.DUMMYFUNCTION("""COMPUTED_VALUE"""),"South Carolina St.")</f>
        <v>South Carolina St.</v>
      </c>
      <c r="C306" s="1" t="str">
        <f>IFERROR(__xludf.DUMMYFUNCTION("""COMPUTED_VALUE"""),"0-1")</f>
        <v>0-1</v>
      </c>
      <c r="D306" s="1" t="str">
        <f>IFERROR(__xludf.DUMMYFUNCTION("""COMPUTED_VALUE"""),"0-2")</f>
        <v>0-2</v>
      </c>
      <c r="E306" s="1" t="str">
        <f>IFERROR(__xludf.DUMMYFUNCTION("""COMPUTED_VALUE"""),"0-2")</f>
        <v>0-2</v>
      </c>
      <c r="F306" s="1" t="str">
        <f>IFERROR(__xludf.DUMMYFUNCTION("""COMPUTED_VALUE"""),"0-4")</f>
        <v>0-4</v>
      </c>
      <c r="G306" s="1" t="str">
        <f>IFERROR(__xludf.DUMMYFUNCTION("""COMPUTED_VALUE"""),"0-4")</f>
        <v>0-4</v>
      </c>
      <c r="H306" s="2">
        <f>IFERROR(__xludf.DUMMYFUNCTION("""COMPUTED_VALUE"""),45809.0)</f>
        <v>45809</v>
      </c>
    </row>
    <row r="307">
      <c r="A307" s="1" t="str">
        <f>IFERROR(__xludf.DUMMYFUNCTION("""COMPUTED_VALUE"""),"Rk")</f>
        <v>Rk</v>
      </c>
      <c r="B307" s="1" t="str">
        <f>IFERROR(__xludf.DUMMYFUNCTION("""COMPUTED_VALUE"""),"Team")</f>
        <v>Team</v>
      </c>
      <c r="C307" s="1" t="str">
        <f>IFERROR(__xludf.DUMMYFUNCTION("""COMPUTED_VALUE"""),"Q1-A")</f>
        <v>Q1-A</v>
      </c>
      <c r="D307" s="1" t="str">
        <f>IFERROR(__xludf.DUMMYFUNCTION("""COMPUTED_VALUE"""),"Q1")</f>
        <v>Q1</v>
      </c>
      <c r="E307" s="1" t="str">
        <f>IFERROR(__xludf.DUMMYFUNCTION("""COMPUTED_VALUE"""),"Q2")</f>
        <v>Q2</v>
      </c>
      <c r="F307" s="1" t="str">
        <f>IFERROR(__xludf.DUMMYFUNCTION("""COMPUTED_VALUE"""),"Q1&amp;2")</f>
        <v>Q1&amp;2</v>
      </c>
      <c r="G307" s="1" t="str">
        <f>IFERROR(__xludf.DUMMYFUNCTION("""COMPUTED_VALUE"""),"Q3")</f>
        <v>Q3</v>
      </c>
      <c r="H307" s="1" t="str">
        <f>IFERROR(__xludf.DUMMYFUNCTION("""COMPUTED_VALUE"""),"Q4")</f>
        <v>Q4</v>
      </c>
    </row>
    <row r="308">
      <c r="A308" s="1">
        <f>IFERROR(__xludf.DUMMYFUNCTION("""COMPUTED_VALUE"""),301.0)</f>
        <v>301</v>
      </c>
      <c r="B308" s="1" t="str">
        <f>IFERROR(__xludf.DUMMYFUNCTION("""COMPUTED_VALUE"""),"Penn")</f>
        <v>Penn</v>
      </c>
      <c r="C308" s="1" t="str">
        <f>IFERROR(__xludf.DUMMYFUNCTION("""COMPUTED_VALUE"""),"0-0")</f>
        <v>0-0</v>
      </c>
      <c r="D308" s="1" t="str">
        <f>IFERROR(__xludf.DUMMYFUNCTION("""COMPUTED_VALUE"""),"0-3")</f>
        <v>0-3</v>
      </c>
      <c r="E308" s="1" t="str">
        <f>IFERROR(__xludf.DUMMYFUNCTION("""COMPUTED_VALUE"""),"0-1")</f>
        <v>0-1</v>
      </c>
      <c r="F308" s="1" t="str">
        <f>IFERROR(__xludf.DUMMYFUNCTION("""COMPUTED_VALUE"""),"0-4")</f>
        <v>0-4</v>
      </c>
      <c r="G308" s="1" t="str">
        <f>IFERROR(__xludf.DUMMYFUNCTION("""COMPUTED_VALUE"""),"0-3")</f>
        <v>0-3</v>
      </c>
      <c r="H308" s="2">
        <f>IFERROR(__xludf.DUMMYFUNCTION("""COMPUTED_VALUE"""),45749.0)</f>
        <v>45749</v>
      </c>
    </row>
    <row r="309">
      <c r="A309" s="1">
        <f>IFERROR(__xludf.DUMMYFUNCTION("""COMPUTED_VALUE"""),302.0)</f>
        <v>302</v>
      </c>
      <c r="B309" s="1" t="str">
        <f>IFERROR(__xludf.DUMMYFUNCTION("""COMPUTED_VALUE"""),"Eastern Kentucky")</f>
        <v>Eastern Kentucky</v>
      </c>
      <c r="C309" s="1" t="str">
        <f>IFERROR(__xludf.DUMMYFUNCTION("""COMPUTED_VALUE"""),"0-3")</f>
        <v>0-3</v>
      </c>
      <c r="D309" s="1" t="str">
        <f>IFERROR(__xludf.DUMMYFUNCTION("""COMPUTED_VALUE"""),"0-3")</f>
        <v>0-3</v>
      </c>
      <c r="E309" s="1" t="str">
        <f>IFERROR(__xludf.DUMMYFUNCTION("""COMPUTED_VALUE"""),"0-1")</f>
        <v>0-1</v>
      </c>
      <c r="F309" s="1" t="str">
        <f>IFERROR(__xludf.DUMMYFUNCTION("""COMPUTED_VALUE"""),"0-4")</f>
        <v>0-4</v>
      </c>
      <c r="G309" s="2">
        <f>IFERROR(__xludf.DUMMYFUNCTION("""COMPUTED_VALUE"""),45660.0)</f>
        <v>45660</v>
      </c>
      <c r="H309" s="2">
        <f>IFERROR(__xludf.DUMMYFUNCTION("""COMPUTED_VALUE"""),45748.0)</f>
        <v>45748</v>
      </c>
    </row>
    <row r="310">
      <c r="A310" s="1">
        <f>IFERROR(__xludf.DUMMYFUNCTION("""COMPUTED_VALUE"""),303.0)</f>
        <v>303</v>
      </c>
      <c r="B310" s="1" t="str">
        <f>IFERROR(__xludf.DUMMYFUNCTION("""COMPUTED_VALUE"""),"Denver")</f>
        <v>Denver</v>
      </c>
      <c r="C310" s="1" t="str">
        <f>IFERROR(__xludf.DUMMYFUNCTION("""COMPUTED_VALUE"""),"0-0")</f>
        <v>0-0</v>
      </c>
      <c r="D310" s="1" t="str">
        <f>IFERROR(__xludf.DUMMYFUNCTION("""COMPUTED_VALUE"""),"0-0")</f>
        <v>0-0</v>
      </c>
      <c r="E310" s="1" t="str">
        <f>IFERROR(__xludf.DUMMYFUNCTION("""COMPUTED_VALUE"""),"0-4")</f>
        <v>0-4</v>
      </c>
      <c r="F310" s="1" t="str">
        <f>IFERROR(__xludf.DUMMYFUNCTION("""COMPUTED_VALUE"""),"0-4")</f>
        <v>0-4</v>
      </c>
      <c r="G310" s="1" t="str">
        <f>IFERROR(__xludf.DUMMYFUNCTION("""COMPUTED_VALUE"""),"0-4")</f>
        <v>0-4</v>
      </c>
      <c r="H310" s="2">
        <f>IFERROR(__xludf.DUMMYFUNCTION("""COMPUTED_VALUE"""),45719.0)</f>
        <v>45719</v>
      </c>
    </row>
    <row r="311">
      <c r="A311" s="1">
        <f>IFERROR(__xludf.DUMMYFUNCTION("""COMPUTED_VALUE"""),304.0)</f>
        <v>304</v>
      </c>
      <c r="B311" s="1" t="str">
        <f>IFERROR(__xludf.DUMMYFUNCTION("""COMPUTED_VALUE"""),"Bucknell")</f>
        <v>Bucknell</v>
      </c>
      <c r="C311" s="1" t="str">
        <f>IFERROR(__xludf.DUMMYFUNCTION("""COMPUTED_VALUE"""),"0-3")</f>
        <v>0-3</v>
      </c>
      <c r="D311" s="1" t="str">
        <f>IFERROR(__xludf.DUMMYFUNCTION("""COMPUTED_VALUE"""),"0-3")</f>
        <v>0-3</v>
      </c>
      <c r="E311" s="1" t="str">
        <f>IFERROR(__xludf.DUMMYFUNCTION("""COMPUTED_VALUE"""),"0-1")</f>
        <v>0-1</v>
      </c>
      <c r="F311" s="1" t="str">
        <f>IFERROR(__xludf.DUMMYFUNCTION("""COMPUTED_VALUE"""),"0-4")</f>
        <v>0-4</v>
      </c>
      <c r="G311" s="2">
        <f>IFERROR(__xludf.DUMMYFUNCTION("""COMPUTED_VALUE"""),45659.0)</f>
        <v>45659</v>
      </c>
      <c r="H311" s="2">
        <f>IFERROR(__xludf.DUMMYFUNCTION("""COMPUTED_VALUE"""),45751.0)</f>
        <v>45751</v>
      </c>
    </row>
    <row r="312">
      <c r="A312" s="1">
        <f>IFERROR(__xludf.DUMMYFUNCTION("""COMPUTED_VALUE"""),305.0)</f>
        <v>305</v>
      </c>
      <c r="B312" s="1" t="str">
        <f>IFERROR(__xludf.DUMMYFUNCTION("""COMPUTED_VALUE"""),"Oral Roberts")</f>
        <v>Oral Roberts</v>
      </c>
      <c r="C312" s="1" t="str">
        <f>IFERROR(__xludf.DUMMYFUNCTION("""COMPUTED_VALUE"""),"0-2")</f>
        <v>0-2</v>
      </c>
      <c r="D312" s="1" t="str">
        <f>IFERROR(__xludf.DUMMYFUNCTION("""COMPUTED_VALUE"""),"0-2")</f>
        <v>0-2</v>
      </c>
      <c r="E312" s="1" t="str">
        <f>IFERROR(__xludf.DUMMYFUNCTION("""COMPUTED_VALUE"""),"0-2")</f>
        <v>0-2</v>
      </c>
      <c r="F312" s="1" t="str">
        <f>IFERROR(__xludf.DUMMYFUNCTION("""COMPUTED_VALUE"""),"0-4")</f>
        <v>0-4</v>
      </c>
      <c r="G312" s="1" t="str">
        <f>IFERROR(__xludf.DUMMYFUNCTION("""COMPUTED_VALUE"""),"0-3")</f>
        <v>0-3</v>
      </c>
      <c r="H312" s="2">
        <f>IFERROR(__xludf.DUMMYFUNCTION("""COMPUTED_VALUE"""),45659.0)</f>
        <v>45659</v>
      </c>
    </row>
    <row r="313">
      <c r="A313" s="1">
        <f>IFERROR(__xludf.DUMMYFUNCTION("""COMPUTED_VALUE"""),306.0)</f>
        <v>306</v>
      </c>
      <c r="B313" s="1" t="str">
        <f>IFERROR(__xludf.DUMMYFUNCTION("""COMPUTED_VALUE"""),"Charleston Southern")</f>
        <v>Charleston Southern</v>
      </c>
      <c r="C313" s="1" t="str">
        <f>IFERROR(__xludf.DUMMYFUNCTION("""COMPUTED_VALUE"""),"0-2")</f>
        <v>0-2</v>
      </c>
      <c r="D313" s="1" t="str">
        <f>IFERROR(__xludf.DUMMYFUNCTION("""COMPUTED_VALUE"""),"0-3")</f>
        <v>0-3</v>
      </c>
      <c r="E313" s="1" t="str">
        <f>IFERROR(__xludf.DUMMYFUNCTION("""COMPUTED_VALUE"""),"0-1")</f>
        <v>0-1</v>
      </c>
      <c r="F313" s="1" t="str">
        <f>IFERROR(__xludf.DUMMYFUNCTION("""COMPUTED_VALUE"""),"0-4")</f>
        <v>0-4</v>
      </c>
      <c r="G313" s="2">
        <f>IFERROR(__xludf.DUMMYFUNCTION("""COMPUTED_VALUE"""),45664.0)</f>
        <v>45664</v>
      </c>
      <c r="H313" s="2">
        <f>IFERROR(__xludf.DUMMYFUNCTION("""COMPUTED_VALUE"""),45689.0)</f>
        <v>45689</v>
      </c>
    </row>
    <row r="314">
      <c r="A314" s="1">
        <f>IFERROR(__xludf.DUMMYFUNCTION("""COMPUTED_VALUE"""),307.0)</f>
        <v>307</v>
      </c>
      <c r="B314" s="1" t="str">
        <f>IFERROR(__xludf.DUMMYFUNCTION("""COMPUTED_VALUE"""),"Evansville")</f>
        <v>Evansville</v>
      </c>
      <c r="C314" s="1" t="str">
        <f>IFERROR(__xludf.DUMMYFUNCTION("""COMPUTED_VALUE"""),"0-1")</f>
        <v>0-1</v>
      </c>
      <c r="D314" s="1" t="str">
        <f>IFERROR(__xludf.DUMMYFUNCTION("""COMPUTED_VALUE"""),"0-2")</f>
        <v>0-2</v>
      </c>
      <c r="E314" s="1" t="str">
        <f>IFERROR(__xludf.DUMMYFUNCTION("""COMPUTED_VALUE"""),"0-2")</f>
        <v>0-2</v>
      </c>
      <c r="F314" s="1" t="str">
        <f>IFERROR(__xludf.DUMMYFUNCTION("""COMPUTED_VALUE"""),"0-4")</f>
        <v>0-4</v>
      </c>
      <c r="G314" s="1" t="str">
        <f>IFERROR(__xludf.DUMMYFUNCTION("""COMPUTED_VALUE"""),"0-2")</f>
        <v>0-2</v>
      </c>
      <c r="H314" s="2">
        <f>IFERROR(__xludf.DUMMYFUNCTION("""COMPUTED_VALUE"""),45751.0)</f>
        <v>45751</v>
      </c>
    </row>
    <row r="315">
      <c r="A315" s="1">
        <f>IFERROR(__xludf.DUMMYFUNCTION("""COMPUTED_VALUE"""),308.0)</f>
        <v>308</v>
      </c>
      <c r="B315" s="1" t="str">
        <f>IFERROR(__xludf.DUMMYFUNCTION("""COMPUTED_VALUE"""),"San Jose St.")</f>
        <v>San Jose St.</v>
      </c>
      <c r="C315" s="1" t="str">
        <f>IFERROR(__xludf.DUMMYFUNCTION("""COMPUTED_VALUE"""),"0-0")</f>
        <v>0-0</v>
      </c>
      <c r="D315" s="1" t="str">
        <f>IFERROR(__xludf.DUMMYFUNCTION("""COMPUTED_VALUE"""),"0-1")</f>
        <v>0-1</v>
      </c>
      <c r="E315" s="1" t="str">
        <f>IFERROR(__xludf.DUMMYFUNCTION("""COMPUTED_VALUE"""),"0-3")</f>
        <v>0-3</v>
      </c>
      <c r="F315" s="1" t="str">
        <f>IFERROR(__xludf.DUMMYFUNCTION("""COMPUTED_VALUE"""),"0-4")</f>
        <v>0-4</v>
      </c>
      <c r="G315" s="2">
        <f>IFERROR(__xludf.DUMMYFUNCTION("""COMPUTED_VALUE"""),45691.0)</f>
        <v>45691</v>
      </c>
      <c r="H315" s="2">
        <f>IFERROR(__xludf.DUMMYFUNCTION("""COMPUTED_VALUE"""),45718.0)</f>
        <v>45718</v>
      </c>
    </row>
    <row r="316">
      <c r="A316" s="1">
        <f>IFERROR(__xludf.DUMMYFUNCTION("""COMPUTED_VALUE"""),309.0)</f>
        <v>309</v>
      </c>
      <c r="B316" s="1" t="str">
        <f>IFERROR(__xludf.DUMMYFUNCTION("""COMPUTED_VALUE"""),"Valparaiso")</f>
        <v>Valparaiso</v>
      </c>
      <c r="C316" s="1" t="str">
        <f>IFERROR(__xludf.DUMMYFUNCTION("""COMPUTED_VALUE"""),"0-1")</f>
        <v>0-1</v>
      </c>
      <c r="D316" s="1" t="str">
        <f>IFERROR(__xludf.DUMMYFUNCTION("""COMPUTED_VALUE"""),"0-2")</f>
        <v>0-2</v>
      </c>
      <c r="E316" s="1" t="str">
        <f>IFERROR(__xludf.DUMMYFUNCTION("""COMPUTED_VALUE"""),"0-2")</f>
        <v>0-2</v>
      </c>
      <c r="F316" s="1" t="str">
        <f>IFERROR(__xludf.DUMMYFUNCTION("""COMPUTED_VALUE"""),"0-4")</f>
        <v>0-4</v>
      </c>
      <c r="G316" s="2">
        <f>IFERROR(__xludf.DUMMYFUNCTION("""COMPUTED_VALUE"""),45689.0)</f>
        <v>45689</v>
      </c>
      <c r="H316" s="2">
        <f>IFERROR(__xludf.DUMMYFUNCTION("""COMPUTED_VALUE"""),45778.0)</f>
        <v>45778</v>
      </c>
    </row>
    <row r="317">
      <c r="A317" s="1">
        <f>IFERROR(__xludf.DUMMYFUNCTION("""COMPUTED_VALUE"""),310.0)</f>
        <v>310</v>
      </c>
      <c r="B317" s="1" t="str">
        <f>IFERROR(__xludf.DUMMYFUNCTION("""COMPUTED_VALUE"""),"Northern Kentucky")</f>
        <v>Northern Kentucky</v>
      </c>
      <c r="C317" s="1" t="str">
        <f>IFERROR(__xludf.DUMMYFUNCTION("""COMPUTED_VALUE"""),"0-1")</f>
        <v>0-1</v>
      </c>
      <c r="D317" s="1" t="str">
        <f>IFERROR(__xludf.DUMMYFUNCTION("""COMPUTED_VALUE"""),"0-3")</f>
        <v>0-3</v>
      </c>
      <c r="E317" s="1" t="str">
        <f>IFERROR(__xludf.DUMMYFUNCTION("""COMPUTED_VALUE"""),"0-1")</f>
        <v>0-1</v>
      </c>
      <c r="F317" s="1" t="str">
        <f>IFERROR(__xludf.DUMMYFUNCTION("""COMPUTED_VALUE"""),"0-4")</f>
        <v>0-4</v>
      </c>
      <c r="G317" s="2">
        <f>IFERROR(__xludf.DUMMYFUNCTION("""COMPUTED_VALUE"""),45690.0)</f>
        <v>45690</v>
      </c>
      <c r="H317" s="2">
        <f>IFERROR(__xludf.DUMMYFUNCTION("""COMPUTED_VALUE"""),45778.0)</f>
        <v>45778</v>
      </c>
    </row>
    <row r="318">
      <c r="A318" s="1">
        <f>IFERROR(__xludf.DUMMYFUNCTION("""COMPUTED_VALUE"""),311.0)</f>
        <v>311</v>
      </c>
      <c r="B318" s="1" t="str">
        <f>IFERROR(__xludf.DUMMYFUNCTION("""COMPUTED_VALUE"""),"Toledo")</f>
        <v>Toledo</v>
      </c>
      <c r="C318" s="1" t="str">
        <f>IFERROR(__xludf.DUMMYFUNCTION("""COMPUTED_VALUE"""),"0-2")</f>
        <v>0-2</v>
      </c>
      <c r="D318" s="1" t="str">
        <f>IFERROR(__xludf.DUMMYFUNCTION("""COMPUTED_VALUE"""),"0-3")</f>
        <v>0-3</v>
      </c>
      <c r="E318" s="1" t="str">
        <f>IFERROR(__xludf.DUMMYFUNCTION("""COMPUTED_VALUE"""),"0-1")</f>
        <v>0-1</v>
      </c>
      <c r="F318" s="1" t="str">
        <f>IFERROR(__xludf.DUMMYFUNCTION("""COMPUTED_VALUE"""),"0-4")</f>
        <v>0-4</v>
      </c>
      <c r="G318" s="2">
        <f>IFERROR(__xludf.DUMMYFUNCTION("""COMPUTED_VALUE"""),45689.0)</f>
        <v>45689</v>
      </c>
      <c r="H318" s="2">
        <f>IFERROR(__xludf.DUMMYFUNCTION("""COMPUTED_VALUE"""),45748.0)</f>
        <v>45748</v>
      </c>
    </row>
    <row r="319">
      <c r="A319" s="1">
        <f>IFERROR(__xludf.DUMMYFUNCTION("""COMPUTED_VALUE"""),312.0)</f>
        <v>312</v>
      </c>
      <c r="B319" s="1" t="str">
        <f>IFERROR(__xludf.DUMMYFUNCTION("""COMPUTED_VALUE"""),"Northern Colorado 15")</f>
        <v>Northern Colorado 15</v>
      </c>
      <c r="C319" s="1" t="str">
        <f>IFERROR(__xludf.DUMMYFUNCTION("""COMPUTED_VALUE"""),"0-1")</f>
        <v>0-1</v>
      </c>
      <c r="D319" s="1" t="str">
        <f>IFERROR(__xludf.DUMMYFUNCTION("""COMPUTED_VALUE"""),"0-2")</f>
        <v>0-2</v>
      </c>
      <c r="E319" s="1" t="str">
        <f>IFERROR(__xludf.DUMMYFUNCTION("""COMPUTED_VALUE"""),"0-2")</f>
        <v>0-2</v>
      </c>
      <c r="F319" s="1" t="str">
        <f>IFERROR(__xludf.DUMMYFUNCTION("""COMPUTED_VALUE"""),"0-4")</f>
        <v>0-4</v>
      </c>
      <c r="G319" s="2">
        <f>IFERROR(__xludf.DUMMYFUNCTION("""COMPUTED_VALUE"""),45689.0)</f>
        <v>45689</v>
      </c>
      <c r="H319" s="1" t="str">
        <f>IFERROR(__xludf.DUMMYFUNCTION("""COMPUTED_VALUE"""),"5-0")</f>
        <v>5-0</v>
      </c>
    </row>
    <row r="320">
      <c r="A320" s="1">
        <f>IFERROR(__xludf.DUMMYFUNCTION("""COMPUTED_VALUE"""),313.0)</f>
        <v>313</v>
      </c>
      <c r="B320" s="1" t="str">
        <f>IFERROR(__xludf.DUMMYFUNCTION("""COMPUTED_VALUE"""),"Northern Illinois")</f>
        <v>Northern Illinois</v>
      </c>
      <c r="C320" s="1" t="str">
        <f>IFERROR(__xludf.DUMMYFUNCTION("""COMPUTED_VALUE"""),"0-0")</f>
        <v>0-0</v>
      </c>
      <c r="D320" s="1" t="str">
        <f>IFERROR(__xludf.DUMMYFUNCTION("""COMPUTED_VALUE"""),"0-1")</f>
        <v>0-1</v>
      </c>
      <c r="E320" s="1" t="str">
        <f>IFERROR(__xludf.DUMMYFUNCTION("""COMPUTED_VALUE"""),"0-3")</f>
        <v>0-3</v>
      </c>
      <c r="F320" s="1" t="str">
        <f>IFERROR(__xludf.DUMMYFUNCTION("""COMPUTED_VALUE"""),"0-4")</f>
        <v>0-4</v>
      </c>
      <c r="G320" s="1" t="str">
        <f>IFERROR(__xludf.DUMMYFUNCTION("""COMPUTED_VALUE"""),"0-2")</f>
        <v>0-2</v>
      </c>
      <c r="H320" s="2">
        <f>IFERROR(__xludf.DUMMYFUNCTION("""COMPUTED_VALUE"""),45660.0)</f>
        <v>45660</v>
      </c>
    </row>
    <row r="321">
      <c r="A321" s="1">
        <f>IFERROR(__xludf.DUMMYFUNCTION("""COMPUTED_VALUE"""),314.0)</f>
        <v>314</v>
      </c>
      <c r="B321" s="1" t="str">
        <f>IFERROR(__xludf.DUMMYFUNCTION("""COMPUTED_VALUE"""),"Sam Houston St.")</f>
        <v>Sam Houston St.</v>
      </c>
      <c r="C321" s="1" t="str">
        <f>IFERROR(__xludf.DUMMYFUNCTION("""COMPUTED_VALUE"""),"0-2")</f>
        <v>0-2</v>
      </c>
      <c r="D321" s="1" t="str">
        <f>IFERROR(__xludf.DUMMYFUNCTION("""COMPUTED_VALUE"""),"0-4")</f>
        <v>0-4</v>
      </c>
      <c r="E321" s="1" t="str">
        <f>IFERROR(__xludf.DUMMYFUNCTION("""COMPUTED_VALUE"""),"0-1")</f>
        <v>0-1</v>
      </c>
      <c r="F321" s="1" t="str">
        <f>IFERROR(__xludf.DUMMYFUNCTION("""COMPUTED_VALUE"""),"0-5")</f>
        <v>0-5</v>
      </c>
      <c r="G321" s="2">
        <f>IFERROR(__xludf.DUMMYFUNCTION("""COMPUTED_VALUE"""),45659.0)</f>
        <v>45659</v>
      </c>
      <c r="H321" s="2">
        <f>IFERROR(__xludf.DUMMYFUNCTION("""COMPUTED_VALUE"""),45717.0)</f>
        <v>45717</v>
      </c>
    </row>
    <row r="322">
      <c r="A322" s="1">
        <f>IFERROR(__xludf.DUMMYFUNCTION("""COMPUTED_VALUE"""),315.0)</f>
        <v>315</v>
      </c>
      <c r="B322" s="1" t="str">
        <f>IFERROR(__xludf.DUMMYFUNCTION("""COMPUTED_VALUE"""),"Arkansas Pine Bluff")</f>
        <v>Arkansas Pine Bluff</v>
      </c>
      <c r="C322" s="1" t="str">
        <f>IFERROR(__xludf.DUMMYFUNCTION("""COMPUTED_VALUE"""),"0-2")</f>
        <v>0-2</v>
      </c>
      <c r="D322" s="1" t="str">
        <f>IFERROR(__xludf.DUMMYFUNCTION("""COMPUTED_VALUE"""),"0-4")</f>
        <v>0-4</v>
      </c>
      <c r="E322" s="1" t="str">
        <f>IFERROR(__xludf.DUMMYFUNCTION("""COMPUTED_VALUE"""),"0-1")</f>
        <v>0-1</v>
      </c>
      <c r="F322" s="1" t="str">
        <f>IFERROR(__xludf.DUMMYFUNCTION("""COMPUTED_VALUE"""),"0-5")</f>
        <v>0-5</v>
      </c>
      <c r="G322" s="1" t="str">
        <f>IFERROR(__xludf.DUMMYFUNCTION("""COMPUTED_VALUE"""),"0-2")</f>
        <v>0-2</v>
      </c>
      <c r="H322" s="2">
        <f>IFERROR(__xludf.DUMMYFUNCTION("""COMPUTED_VALUE"""),45662.0)</f>
        <v>45662</v>
      </c>
    </row>
    <row r="323">
      <c r="A323" s="1">
        <f>IFERROR(__xludf.DUMMYFUNCTION("""COMPUTED_VALUE"""),316.0)</f>
        <v>316</v>
      </c>
      <c r="B323" s="1" t="str">
        <f>IFERROR(__xludf.DUMMYFUNCTION("""COMPUTED_VALUE"""),"San Diego")</f>
        <v>San Diego</v>
      </c>
      <c r="C323" s="1" t="str">
        <f>IFERROR(__xludf.DUMMYFUNCTION("""COMPUTED_VALUE"""),"0-1")</f>
        <v>0-1</v>
      </c>
      <c r="D323" s="1" t="str">
        <f>IFERROR(__xludf.DUMMYFUNCTION("""COMPUTED_VALUE"""),"0-3")</f>
        <v>0-3</v>
      </c>
      <c r="E323" s="1" t="str">
        <f>IFERROR(__xludf.DUMMYFUNCTION("""COMPUTED_VALUE"""),"0-2")</f>
        <v>0-2</v>
      </c>
      <c r="F323" s="1" t="str">
        <f>IFERROR(__xludf.DUMMYFUNCTION("""COMPUTED_VALUE"""),"0-5")</f>
        <v>0-5</v>
      </c>
      <c r="G323" s="1" t="str">
        <f>IFERROR(__xludf.DUMMYFUNCTION("""COMPUTED_VALUE"""),"0-1")</f>
        <v>0-1</v>
      </c>
      <c r="H323" s="2">
        <f>IFERROR(__xludf.DUMMYFUNCTION("""COMPUTED_VALUE"""),45722.0)</f>
        <v>45722</v>
      </c>
    </row>
    <row r="324">
      <c r="A324" s="1">
        <f>IFERROR(__xludf.DUMMYFUNCTION("""COMPUTED_VALUE"""),317.0)</f>
        <v>317</v>
      </c>
      <c r="B324" s="1" t="str">
        <f>IFERROR(__xludf.DUMMYFUNCTION("""COMPUTED_VALUE"""),"Alabama St.")</f>
        <v>Alabama St.</v>
      </c>
      <c r="C324" s="1" t="str">
        <f>IFERROR(__xludf.DUMMYFUNCTION("""COMPUTED_VALUE"""),"0-1")</f>
        <v>0-1</v>
      </c>
      <c r="D324" s="1" t="str">
        <f>IFERROR(__xludf.DUMMYFUNCTION("""COMPUTED_VALUE"""),"0-4")</f>
        <v>0-4</v>
      </c>
      <c r="E324" s="1" t="str">
        <f>IFERROR(__xludf.DUMMYFUNCTION("""COMPUTED_VALUE"""),"0-1")</f>
        <v>0-1</v>
      </c>
      <c r="F324" s="1" t="str">
        <f>IFERROR(__xludf.DUMMYFUNCTION("""COMPUTED_VALUE"""),"0-5")</f>
        <v>0-5</v>
      </c>
      <c r="G324" s="2">
        <f>IFERROR(__xludf.DUMMYFUNCTION("""COMPUTED_VALUE"""),45659.0)</f>
        <v>45659</v>
      </c>
      <c r="H324" s="2">
        <f>IFERROR(__xludf.DUMMYFUNCTION("""COMPUTED_VALUE"""),45749.0)</f>
        <v>45749</v>
      </c>
    </row>
    <row r="325">
      <c r="A325" s="1">
        <f>IFERROR(__xludf.DUMMYFUNCTION("""COMPUTED_VALUE"""),318.0)</f>
        <v>318</v>
      </c>
      <c r="B325" s="1" t="str">
        <f>IFERROR(__xludf.DUMMYFUNCTION("""COMPUTED_VALUE"""),"Green Bay")</f>
        <v>Green Bay</v>
      </c>
      <c r="C325" s="1" t="str">
        <f>IFERROR(__xludf.DUMMYFUNCTION("""COMPUTED_VALUE"""),"0-1")</f>
        <v>0-1</v>
      </c>
      <c r="D325" s="1" t="str">
        <f>IFERROR(__xludf.DUMMYFUNCTION("""COMPUTED_VALUE"""),"0-1")</f>
        <v>0-1</v>
      </c>
      <c r="E325" s="1" t="str">
        <f>IFERROR(__xludf.DUMMYFUNCTION("""COMPUTED_VALUE"""),"0-4")</f>
        <v>0-4</v>
      </c>
      <c r="F325" s="1" t="str">
        <f>IFERROR(__xludf.DUMMYFUNCTION("""COMPUTED_VALUE"""),"0-5")</f>
        <v>0-5</v>
      </c>
      <c r="G325" s="1" t="str">
        <f>IFERROR(__xludf.DUMMYFUNCTION("""COMPUTED_VALUE"""),"0-5")</f>
        <v>0-5</v>
      </c>
      <c r="H325" s="2">
        <f>IFERROR(__xludf.DUMMYFUNCTION("""COMPUTED_VALUE"""),45692.0)</f>
        <v>45692</v>
      </c>
    </row>
    <row r="326">
      <c r="A326" s="1">
        <f>IFERROR(__xludf.DUMMYFUNCTION("""COMPUTED_VALUE"""),319.0)</f>
        <v>319</v>
      </c>
      <c r="B326" s="1" t="str">
        <f>IFERROR(__xludf.DUMMYFUNCTION("""COMPUTED_VALUE"""),"Utah")</f>
        <v>Utah</v>
      </c>
      <c r="C326" s="1" t="str">
        <f>IFERROR(__xludf.DUMMYFUNCTION("""COMPUTED_VALUE"""),"0-2")</f>
        <v>0-2</v>
      </c>
      <c r="D326" s="1" t="str">
        <f>IFERROR(__xludf.DUMMYFUNCTION("""COMPUTED_VALUE"""),"0-3")</f>
        <v>0-3</v>
      </c>
      <c r="E326" s="1" t="str">
        <f>IFERROR(__xludf.DUMMYFUNCTION("""COMPUTED_VALUE"""),"0-2")</f>
        <v>0-2</v>
      </c>
      <c r="F326" s="1" t="str">
        <f>IFERROR(__xludf.DUMMYFUNCTION("""COMPUTED_VALUE"""),"0-5")</f>
        <v>0-5</v>
      </c>
      <c r="G326" s="1" t="str">
        <f>IFERROR(__xludf.DUMMYFUNCTION("""COMPUTED_VALUE"""),"0-0")</f>
        <v>0-0</v>
      </c>
      <c r="H326" s="1" t="str">
        <f>IFERROR(__xludf.DUMMYFUNCTION("""COMPUTED_VALUE"""),"8-0")</f>
        <v>8-0</v>
      </c>
    </row>
    <row r="327">
      <c r="A327" s="1">
        <f>IFERROR(__xludf.DUMMYFUNCTION("""COMPUTED_VALUE"""),320.0)</f>
        <v>320</v>
      </c>
      <c r="B327" s="1" t="str">
        <f>IFERROR(__xludf.DUMMYFUNCTION("""COMPUTED_VALUE"""),"Utah Tech")</f>
        <v>Utah Tech</v>
      </c>
      <c r="C327" s="1" t="str">
        <f>IFERROR(__xludf.DUMMYFUNCTION("""COMPUTED_VALUE"""),"0-1")</f>
        <v>0-1</v>
      </c>
      <c r="D327" s="1" t="str">
        <f>IFERROR(__xludf.DUMMYFUNCTION("""COMPUTED_VALUE"""),"0-3")</f>
        <v>0-3</v>
      </c>
      <c r="E327" s="1" t="str">
        <f>IFERROR(__xludf.DUMMYFUNCTION("""COMPUTED_VALUE"""),"0-2")</f>
        <v>0-2</v>
      </c>
      <c r="F327" s="1" t="str">
        <f>IFERROR(__xludf.DUMMYFUNCTION("""COMPUTED_VALUE"""),"0-5")</f>
        <v>0-5</v>
      </c>
      <c r="G327" s="1" t="str">
        <f>IFERROR(__xludf.DUMMYFUNCTION("""COMPUTED_VALUE"""),"0-3")</f>
        <v>0-3</v>
      </c>
      <c r="H327" s="2">
        <f>IFERROR(__xludf.DUMMYFUNCTION("""COMPUTED_VALUE"""),45691.0)</f>
        <v>45691</v>
      </c>
    </row>
    <row r="328">
      <c r="A328" s="1">
        <f>IFERROR(__xludf.DUMMYFUNCTION("""COMPUTED_VALUE"""),321.0)</f>
        <v>321</v>
      </c>
      <c r="B328" s="1" t="str">
        <f>IFERROR(__xludf.DUMMYFUNCTION("""COMPUTED_VALUE"""),"Montana St.")</f>
        <v>Montana St.</v>
      </c>
      <c r="C328" s="1" t="str">
        <f>IFERROR(__xludf.DUMMYFUNCTION("""COMPUTED_VALUE"""),"0-1")</f>
        <v>0-1</v>
      </c>
      <c r="D328" s="1" t="str">
        <f>IFERROR(__xludf.DUMMYFUNCTION("""COMPUTED_VALUE"""),"0-2")</f>
        <v>0-2</v>
      </c>
      <c r="E328" s="1" t="str">
        <f>IFERROR(__xludf.DUMMYFUNCTION("""COMPUTED_VALUE"""),"0-3")</f>
        <v>0-3</v>
      </c>
      <c r="F328" s="1" t="str">
        <f>IFERROR(__xludf.DUMMYFUNCTION("""COMPUTED_VALUE"""),"0-5")</f>
        <v>0-5</v>
      </c>
      <c r="G328" s="1" t="str">
        <f>IFERROR(__xludf.DUMMYFUNCTION("""COMPUTED_VALUE"""),"0-2")</f>
        <v>0-2</v>
      </c>
      <c r="H328" s="2">
        <f>IFERROR(__xludf.DUMMYFUNCTION("""COMPUTED_VALUE"""),45750.0)</f>
        <v>45750</v>
      </c>
    </row>
    <row r="329">
      <c r="A329" s="1">
        <f>IFERROR(__xludf.DUMMYFUNCTION("""COMPUTED_VALUE"""),322.0)</f>
        <v>322</v>
      </c>
      <c r="B329" s="1" t="str">
        <f>IFERROR(__xludf.DUMMYFUNCTION("""COMPUTED_VALUE"""),"Southern 16")</f>
        <v>Southern 16</v>
      </c>
      <c r="C329" s="1" t="str">
        <f>IFERROR(__xludf.DUMMYFUNCTION("""COMPUTED_VALUE"""),"0-3")</f>
        <v>0-3</v>
      </c>
      <c r="D329" s="1" t="str">
        <f>IFERROR(__xludf.DUMMYFUNCTION("""COMPUTED_VALUE"""),"0-4")</f>
        <v>0-4</v>
      </c>
      <c r="E329" s="1" t="str">
        <f>IFERROR(__xludf.DUMMYFUNCTION("""COMPUTED_VALUE"""),"0-1")</f>
        <v>0-1</v>
      </c>
      <c r="F329" s="1" t="str">
        <f>IFERROR(__xludf.DUMMYFUNCTION("""COMPUTED_VALUE"""),"0-5")</f>
        <v>0-5</v>
      </c>
      <c r="G329" s="2">
        <f>IFERROR(__xludf.DUMMYFUNCTION("""COMPUTED_VALUE"""),45659.0)</f>
        <v>45659</v>
      </c>
      <c r="H329" s="2">
        <f>IFERROR(__xludf.DUMMYFUNCTION("""COMPUTED_VALUE"""),45717.0)</f>
        <v>45717</v>
      </c>
    </row>
    <row r="330">
      <c r="A330" s="1">
        <f>IFERROR(__xludf.DUMMYFUNCTION("""COMPUTED_VALUE"""),323.0)</f>
        <v>323</v>
      </c>
      <c r="B330" s="1" t="str">
        <f>IFERROR(__xludf.DUMMYFUNCTION("""COMPUTED_VALUE"""),"Cal Baptist")</f>
        <v>Cal Baptist</v>
      </c>
      <c r="C330" s="1" t="str">
        <f>IFERROR(__xludf.DUMMYFUNCTION("""COMPUTED_VALUE"""),"0-1")</f>
        <v>0-1</v>
      </c>
      <c r="D330" s="1" t="str">
        <f>IFERROR(__xludf.DUMMYFUNCTION("""COMPUTED_VALUE"""),"0-2")</f>
        <v>0-2</v>
      </c>
      <c r="E330" s="1" t="str">
        <f>IFERROR(__xludf.DUMMYFUNCTION("""COMPUTED_VALUE"""),"0-3")</f>
        <v>0-3</v>
      </c>
      <c r="F330" s="1" t="str">
        <f>IFERROR(__xludf.DUMMYFUNCTION("""COMPUTED_VALUE"""),"0-5")</f>
        <v>0-5</v>
      </c>
      <c r="G330" s="2">
        <f>IFERROR(__xludf.DUMMYFUNCTION("""COMPUTED_VALUE"""),45659.0)</f>
        <v>45659</v>
      </c>
      <c r="H330" s="1" t="str">
        <f>IFERROR(__xludf.DUMMYFUNCTION("""COMPUTED_VALUE"""),"7-0")</f>
        <v>7-0</v>
      </c>
    </row>
    <row r="331">
      <c r="A331" s="1">
        <f>IFERROR(__xludf.DUMMYFUNCTION("""COMPUTED_VALUE"""),324.0)</f>
        <v>324</v>
      </c>
      <c r="B331" s="1" t="str">
        <f>IFERROR(__xludf.DUMMYFUNCTION("""COMPUTED_VALUE"""),"DePaul")</f>
        <v>DePaul</v>
      </c>
      <c r="C331" s="1" t="str">
        <f>IFERROR(__xludf.DUMMYFUNCTION("""COMPUTED_VALUE"""),"0-2")</f>
        <v>0-2</v>
      </c>
      <c r="D331" s="1" t="str">
        <f>IFERROR(__xludf.DUMMYFUNCTION("""COMPUTED_VALUE"""),"0-5")</f>
        <v>0-5</v>
      </c>
      <c r="E331" s="1" t="str">
        <f>IFERROR(__xludf.DUMMYFUNCTION("""COMPUTED_VALUE"""),"0-0")</f>
        <v>0-0</v>
      </c>
      <c r="F331" s="1" t="str">
        <f>IFERROR(__xludf.DUMMYFUNCTION("""COMPUTED_VALUE"""),"0-5")</f>
        <v>0-5</v>
      </c>
      <c r="G331" s="2">
        <f>IFERROR(__xludf.DUMMYFUNCTION("""COMPUTED_VALUE"""),45658.0)</f>
        <v>45658</v>
      </c>
      <c r="H331" s="1" t="str">
        <f>IFERROR(__xludf.DUMMYFUNCTION("""COMPUTED_VALUE"""),"8-0")</f>
        <v>8-0</v>
      </c>
    </row>
    <row r="332">
      <c r="A332" s="1">
        <f>IFERROR(__xludf.DUMMYFUNCTION("""COMPUTED_VALUE"""),325.0)</f>
        <v>325</v>
      </c>
      <c r="B332" s="1" t="str">
        <f>IFERROR(__xludf.DUMMYFUNCTION("""COMPUTED_VALUE"""),"Hampton")</f>
        <v>Hampton</v>
      </c>
      <c r="C332" s="1" t="str">
        <f>IFERROR(__xludf.DUMMYFUNCTION("""COMPUTED_VALUE"""),"0-0")</f>
        <v>0-0</v>
      </c>
      <c r="D332" s="1" t="str">
        <f>IFERROR(__xludf.DUMMYFUNCTION("""COMPUTED_VALUE"""),"0-0")</f>
        <v>0-0</v>
      </c>
      <c r="E332" s="1" t="str">
        <f>IFERROR(__xludf.DUMMYFUNCTION("""COMPUTED_VALUE"""),"0-5")</f>
        <v>0-5</v>
      </c>
      <c r="F332" s="1" t="str">
        <f>IFERROR(__xludf.DUMMYFUNCTION("""COMPUTED_VALUE"""),"0-5")</f>
        <v>0-5</v>
      </c>
      <c r="G332" s="2">
        <f>IFERROR(__xludf.DUMMYFUNCTION("""COMPUTED_VALUE"""),45659.0)</f>
        <v>45659</v>
      </c>
      <c r="H332" s="1" t="str">
        <f>IFERROR(__xludf.DUMMYFUNCTION("""COMPUTED_VALUE"""),"4-0")</f>
        <v>4-0</v>
      </c>
    </row>
    <row r="333">
      <c r="A333" s="1">
        <f>IFERROR(__xludf.DUMMYFUNCTION("""COMPUTED_VALUE"""),326.0)</f>
        <v>326</v>
      </c>
      <c r="B333" s="1" t="str">
        <f>IFERROR(__xludf.DUMMYFUNCTION("""COMPUTED_VALUE"""),"Prairie View A&amp;M")</f>
        <v>Prairie View A&amp;M</v>
      </c>
      <c r="C333" s="1" t="str">
        <f>IFERROR(__xludf.DUMMYFUNCTION("""COMPUTED_VALUE"""),"0-2")</f>
        <v>0-2</v>
      </c>
      <c r="D333" s="1" t="str">
        <f>IFERROR(__xludf.DUMMYFUNCTION("""COMPUTED_VALUE"""),"0-4")</f>
        <v>0-4</v>
      </c>
      <c r="E333" s="1" t="str">
        <f>IFERROR(__xludf.DUMMYFUNCTION("""COMPUTED_VALUE"""),"0-1")</f>
        <v>0-1</v>
      </c>
      <c r="F333" s="1" t="str">
        <f>IFERROR(__xludf.DUMMYFUNCTION("""COMPUTED_VALUE"""),"0-5")</f>
        <v>0-5</v>
      </c>
      <c r="G333" s="1" t="str">
        <f>IFERROR(__xludf.DUMMYFUNCTION("""COMPUTED_VALUE"""),"0-6")</f>
        <v>0-6</v>
      </c>
      <c r="H333" s="2">
        <f>IFERROR(__xludf.DUMMYFUNCTION("""COMPUTED_VALUE"""),45659.0)</f>
        <v>45659</v>
      </c>
    </row>
    <row r="334">
      <c r="A334" s="1">
        <f>IFERROR(__xludf.DUMMYFUNCTION("""COMPUTED_VALUE"""),327.0)</f>
        <v>327</v>
      </c>
      <c r="B334" s="1" t="str">
        <f>IFERROR(__xludf.DUMMYFUNCTION("""COMPUTED_VALUE"""),"Buffalo")</f>
        <v>Buffalo</v>
      </c>
      <c r="C334" s="1" t="str">
        <f>IFERROR(__xludf.DUMMYFUNCTION("""COMPUTED_VALUE"""),"0-1")</f>
        <v>0-1</v>
      </c>
      <c r="D334" s="1" t="str">
        <f>IFERROR(__xludf.DUMMYFUNCTION("""COMPUTED_VALUE"""),"0-3")</f>
        <v>0-3</v>
      </c>
      <c r="E334" s="1" t="str">
        <f>IFERROR(__xludf.DUMMYFUNCTION("""COMPUTED_VALUE"""),"0-2")</f>
        <v>0-2</v>
      </c>
      <c r="F334" s="1" t="str">
        <f>IFERROR(__xludf.DUMMYFUNCTION("""COMPUTED_VALUE"""),"0-5")</f>
        <v>0-5</v>
      </c>
      <c r="G334" s="1" t="str">
        <f>IFERROR(__xludf.DUMMYFUNCTION("""COMPUTED_VALUE"""),"0-1")</f>
        <v>0-1</v>
      </c>
      <c r="H334" s="2">
        <f>IFERROR(__xludf.DUMMYFUNCTION("""COMPUTED_VALUE"""),45718.0)</f>
        <v>45718</v>
      </c>
    </row>
    <row r="335">
      <c r="A335" s="1">
        <f>IFERROR(__xludf.DUMMYFUNCTION("""COMPUTED_VALUE"""),328.0)</f>
        <v>328</v>
      </c>
      <c r="B335" s="1" t="str">
        <f>IFERROR(__xludf.DUMMYFUNCTION("""COMPUTED_VALUE"""),"Eastern Illinois")</f>
        <v>Eastern Illinois</v>
      </c>
      <c r="C335" s="1" t="str">
        <f>IFERROR(__xludf.DUMMYFUNCTION("""COMPUTED_VALUE"""),"0-1")</f>
        <v>0-1</v>
      </c>
      <c r="D335" s="1" t="str">
        <f>IFERROR(__xludf.DUMMYFUNCTION("""COMPUTED_VALUE"""),"0-3")</f>
        <v>0-3</v>
      </c>
      <c r="E335" s="1" t="str">
        <f>IFERROR(__xludf.DUMMYFUNCTION("""COMPUTED_VALUE"""),"0-2")</f>
        <v>0-2</v>
      </c>
      <c r="F335" s="1" t="str">
        <f>IFERROR(__xludf.DUMMYFUNCTION("""COMPUTED_VALUE"""),"0-5")</f>
        <v>0-5</v>
      </c>
      <c r="G335" s="1" t="str">
        <f>IFERROR(__xludf.DUMMYFUNCTION("""COMPUTED_VALUE"""),"0-3")</f>
        <v>0-3</v>
      </c>
      <c r="H335" s="2">
        <f>IFERROR(__xludf.DUMMYFUNCTION("""COMPUTED_VALUE"""),45689.0)</f>
        <v>45689</v>
      </c>
    </row>
    <row r="336">
      <c r="A336" s="1">
        <f>IFERROR(__xludf.DUMMYFUNCTION("""COMPUTED_VALUE"""),329.0)</f>
        <v>329</v>
      </c>
      <c r="B336" s="1" t="str">
        <f>IFERROR(__xludf.DUMMYFUNCTION("""COMPUTED_VALUE"""),"Western Michigan")</f>
        <v>Western Michigan</v>
      </c>
      <c r="C336" s="1" t="str">
        <f>IFERROR(__xludf.DUMMYFUNCTION("""COMPUTED_VALUE"""),"0-1")</f>
        <v>0-1</v>
      </c>
      <c r="D336" s="1" t="str">
        <f>IFERROR(__xludf.DUMMYFUNCTION("""COMPUTED_VALUE"""),"0-2")</f>
        <v>0-2</v>
      </c>
      <c r="E336" s="1" t="str">
        <f>IFERROR(__xludf.DUMMYFUNCTION("""COMPUTED_VALUE"""),"0-3")</f>
        <v>0-3</v>
      </c>
      <c r="F336" s="1" t="str">
        <f>IFERROR(__xludf.DUMMYFUNCTION("""COMPUTED_VALUE"""),"0-5")</f>
        <v>0-5</v>
      </c>
      <c r="G336" s="1" t="str">
        <f>IFERROR(__xludf.DUMMYFUNCTION("""COMPUTED_VALUE"""),"1-0")</f>
        <v>1-0</v>
      </c>
      <c r="H336" s="2">
        <f>IFERROR(__xludf.DUMMYFUNCTION("""COMPUTED_VALUE"""),45662.0)</f>
        <v>45662</v>
      </c>
    </row>
    <row r="337">
      <c r="A337" s="1">
        <f>IFERROR(__xludf.DUMMYFUNCTION("""COMPUTED_VALUE"""),330.0)</f>
        <v>330</v>
      </c>
      <c r="B337" s="1" t="str">
        <f>IFERROR(__xludf.DUMMYFUNCTION("""COMPUTED_VALUE"""),"Grambling St.")</f>
        <v>Grambling St.</v>
      </c>
      <c r="C337" s="1" t="str">
        <f>IFERROR(__xludf.DUMMYFUNCTION("""COMPUTED_VALUE"""),"0-3")</f>
        <v>0-3</v>
      </c>
      <c r="D337" s="1" t="str">
        <f>IFERROR(__xludf.DUMMYFUNCTION("""COMPUTED_VALUE"""),"0-4")</f>
        <v>0-4</v>
      </c>
      <c r="E337" s="1" t="str">
        <f>IFERROR(__xludf.DUMMYFUNCTION("""COMPUTED_VALUE"""),"0-1")</f>
        <v>0-1</v>
      </c>
      <c r="F337" s="1" t="str">
        <f>IFERROR(__xludf.DUMMYFUNCTION("""COMPUTED_VALUE"""),"0-5")</f>
        <v>0-5</v>
      </c>
      <c r="G337" s="1" t="str">
        <f>IFERROR(__xludf.DUMMYFUNCTION("""COMPUTED_VALUE"""),"0-3")</f>
        <v>0-3</v>
      </c>
      <c r="H337" s="1" t="str">
        <f>IFERROR(__xludf.DUMMYFUNCTION("""COMPUTED_VALUE"""),"0-4")</f>
        <v>0-4</v>
      </c>
    </row>
    <row r="338">
      <c r="A338" s="1">
        <f>IFERROR(__xludf.DUMMYFUNCTION("""COMPUTED_VALUE"""),331.0)</f>
        <v>331</v>
      </c>
      <c r="B338" s="1" t="str">
        <f>IFERROR(__xludf.DUMMYFUNCTION("""COMPUTED_VALUE"""),"Texas A&amp;M Commerce")</f>
        <v>Texas A&amp;M Commerce</v>
      </c>
      <c r="C338" s="1" t="str">
        <f>IFERROR(__xludf.DUMMYFUNCTION("""COMPUTED_VALUE"""),"0-2")</f>
        <v>0-2</v>
      </c>
      <c r="D338" s="1" t="str">
        <f>IFERROR(__xludf.DUMMYFUNCTION("""COMPUTED_VALUE"""),"0-4")</f>
        <v>0-4</v>
      </c>
      <c r="E338" s="1" t="str">
        <f>IFERROR(__xludf.DUMMYFUNCTION("""COMPUTED_VALUE"""),"0-1")</f>
        <v>0-1</v>
      </c>
      <c r="F338" s="1" t="str">
        <f>IFERROR(__xludf.DUMMYFUNCTION("""COMPUTED_VALUE"""),"0-5")</f>
        <v>0-5</v>
      </c>
      <c r="G338" s="1" t="str">
        <f>IFERROR(__xludf.DUMMYFUNCTION("""COMPUTED_VALUE"""),"0-5")</f>
        <v>0-5</v>
      </c>
      <c r="H338" s="2">
        <f>IFERROR(__xludf.DUMMYFUNCTION("""COMPUTED_VALUE"""),45691.0)</f>
        <v>45691</v>
      </c>
    </row>
    <row r="339">
      <c r="A339" s="1">
        <f>IFERROR(__xludf.DUMMYFUNCTION("""COMPUTED_VALUE"""),332.0)</f>
        <v>332</v>
      </c>
      <c r="B339" s="1" t="str">
        <f>IFERROR(__xludf.DUMMYFUNCTION("""COMPUTED_VALUE"""),"Saint Francis")</f>
        <v>Saint Francis</v>
      </c>
      <c r="C339" s="1" t="str">
        <f>IFERROR(__xludf.DUMMYFUNCTION("""COMPUTED_VALUE"""),"0-2")</f>
        <v>0-2</v>
      </c>
      <c r="D339" s="1" t="str">
        <f>IFERROR(__xludf.DUMMYFUNCTION("""COMPUTED_VALUE"""),"0-5")</f>
        <v>0-5</v>
      </c>
      <c r="E339" s="1" t="str">
        <f>IFERROR(__xludf.DUMMYFUNCTION("""COMPUTED_VALUE"""),"0-0")</f>
        <v>0-0</v>
      </c>
      <c r="F339" s="1" t="str">
        <f>IFERROR(__xludf.DUMMYFUNCTION("""COMPUTED_VALUE"""),"0-5")</f>
        <v>0-5</v>
      </c>
      <c r="G339" s="1" t="str">
        <f>IFERROR(__xludf.DUMMYFUNCTION("""COMPUTED_VALUE"""),"0-3")</f>
        <v>0-3</v>
      </c>
      <c r="H339" s="2">
        <f>IFERROR(__xludf.DUMMYFUNCTION("""COMPUTED_VALUE"""),45691.0)</f>
        <v>45691</v>
      </c>
    </row>
    <row r="340">
      <c r="A340" s="1">
        <f>IFERROR(__xludf.DUMMYFUNCTION("""COMPUTED_VALUE"""),333.0)</f>
        <v>333</v>
      </c>
      <c r="B340" s="1" t="str">
        <f>IFERROR(__xludf.DUMMYFUNCTION("""COMPUTED_VALUE"""),"Monmouth")</f>
        <v>Monmouth</v>
      </c>
      <c r="C340" s="1" t="str">
        <f>IFERROR(__xludf.DUMMYFUNCTION("""COMPUTED_VALUE"""),"0-2")</f>
        <v>0-2</v>
      </c>
      <c r="D340" s="1" t="str">
        <f>IFERROR(__xludf.DUMMYFUNCTION("""COMPUTED_VALUE"""),"0-2")</f>
        <v>0-2</v>
      </c>
      <c r="E340" s="1" t="str">
        <f>IFERROR(__xludf.DUMMYFUNCTION("""COMPUTED_VALUE"""),"0-3")</f>
        <v>0-3</v>
      </c>
      <c r="F340" s="1" t="str">
        <f>IFERROR(__xludf.DUMMYFUNCTION("""COMPUTED_VALUE"""),"0-5")</f>
        <v>0-5</v>
      </c>
      <c r="G340" s="2">
        <f>IFERROR(__xludf.DUMMYFUNCTION("""COMPUTED_VALUE"""),45660.0)</f>
        <v>45660</v>
      </c>
      <c r="H340" s="2">
        <f>IFERROR(__xludf.DUMMYFUNCTION("""COMPUTED_VALUE"""),45692.0)</f>
        <v>45692</v>
      </c>
    </row>
    <row r="341">
      <c r="A341" s="1">
        <f>IFERROR(__xludf.DUMMYFUNCTION("""COMPUTED_VALUE"""),334.0)</f>
        <v>334</v>
      </c>
      <c r="B341" s="1" t="str">
        <f>IFERROR(__xludf.DUMMYFUNCTION("""COMPUTED_VALUE"""),"Miami FL")</f>
        <v>Miami FL</v>
      </c>
      <c r="C341" s="1" t="str">
        <f>IFERROR(__xludf.DUMMYFUNCTION("""COMPUTED_VALUE"""),"0-1")</f>
        <v>0-1</v>
      </c>
      <c r="D341" s="1" t="str">
        <f>IFERROR(__xludf.DUMMYFUNCTION("""COMPUTED_VALUE"""),"0-1")</f>
        <v>0-1</v>
      </c>
      <c r="E341" s="1" t="str">
        <f>IFERROR(__xludf.DUMMYFUNCTION("""COMPUTED_VALUE"""),"0-4")</f>
        <v>0-4</v>
      </c>
      <c r="F341" s="1" t="str">
        <f>IFERROR(__xludf.DUMMYFUNCTION("""COMPUTED_VALUE"""),"0-5")</f>
        <v>0-5</v>
      </c>
      <c r="G341" s="1" t="str">
        <f>IFERROR(__xludf.DUMMYFUNCTION("""COMPUTED_VALUE"""),"0-3")</f>
        <v>0-3</v>
      </c>
      <c r="H341" s="2">
        <f>IFERROR(__xludf.DUMMYFUNCTION("""COMPUTED_VALUE"""),45749.0)</f>
        <v>45749</v>
      </c>
    </row>
    <row r="342">
      <c r="A342" s="1">
        <f>IFERROR(__xludf.DUMMYFUNCTION("""COMPUTED_VALUE"""),335.0)</f>
        <v>335</v>
      </c>
      <c r="B342" s="1" t="str">
        <f>IFERROR(__xludf.DUMMYFUNCTION("""COMPUTED_VALUE"""),"Southern Illinois")</f>
        <v>Southern Illinois</v>
      </c>
      <c r="C342" s="1" t="str">
        <f>IFERROR(__xludf.DUMMYFUNCTION("""COMPUTED_VALUE"""),"0-1")</f>
        <v>0-1</v>
      </c>
      <c r="D342" s="1" t="str">
        <f>IFERROR(__xludf.DUMMYFUNCTION("""COMPUTED_VALUE"""),"0-1")</f>
        <v>0-1</v>
      </c>
      <c r="E342" s="1" t="str">
        <f>IFERROR(__xludf.DUMMYFUNCTION("""COMPUTED_VALUE"""),"0-4")</f>
        <v>0-4</v>
      </c>
      <c r="F342" s="1" t="str">
        <f>IFERROR(__xludf.DUMMYFUNCTION("""COMPUTED_VALUE"""),"0-5")</f>
        <v>0-5</v>
      </c>
      <c r="G342" s="2">
        <f>IFERROR(__xludf.DUMMYFUNCTION("""COMPUTED_VALUE"""),45660.0)</f>
        <v>45660</v>
      </c>
      <c r="H342" s="2">
        <f>IFERROR(__xludf.DUMMYFUNCTION("""COMPUTED_VALUE"""),45690.0)</f>
        <v>45690</v>
      </c>
    </row>
    <row r="343">
      <c r="A343" s="1">
        <f>IFERROR(__xludf.DUMMYFUNCTION("""COMPUTED_VALUE"""),336.0)</f>
        <v>336</v>
      </c>
      <c r="B343" s="1" t="str">
        <f>IFERROR(__xludf.DUMMYFUNCTION("""COMPUTED_VALUE"""),"Radford")</f>
        <v>Radford</v>
      </c>
      <c r="C343" s="1" t="str">
        <f>IFERROR(__xludf.DUMMYFUNCTION("""COMPUTED_VALUE"""),"0-2")</f>
        <v>0-2</v>
      </c>
      <c r="D343" s="1" t="str">
        <f>IFERROR(__xludf.DUMMYFUNCTION("""COMPUTED_VALUE"""),"0-2")</f>
        <v>0-2</v>
      </c>
      <c r="E343" s="1" t="str">
        <f>IFERROR(__xludf.DUMMYFUNCTION("""COMPUTED_VALUE"""),"0-3")</f>
        <v>0-3</v>
      </c>
      <c r="F343" s="1" t="str">
        <f>IFERROR(__xludf.DUMMYFUNCTION("""COMPUTED_VALUE"""),"0-5")</f>
        <v>0-5</v>
      </c>
      <c r="G343" s="2">
        <f>IFERROR(__xludf.DUMMYFUNCTION("""COMPUTED_VALUE"""),45658.0)</f>
        <v>45658</v>
      </c>
      <c r="H343" s="1" t="str">
        <f>IFERROR(__xludf.DUMMYFUNCTION("""COMPUTED_VALUE"""),"8-0")</f>
        <v>8-0</v>
      </c>
    </row>
    <row r="344">
      <c r="A344" s="1">
        <f>IFERROR(__xludf.DUMMYFUNCTION("""COMPUTED_VALUE"""),337.0)</f>
        <v>337</v>
      </c>
      <c r="B344" s="1" t="str">
        <f>IFERROR(__xludf.DUMMYFUNCTION("""COMPUTED_VALUE"""),"UNLV")</f>
        <v>UNLV</v>
      </c>
      <c r="C344" s="1" t="str">
        <f>IFERROR(__xludf.DUMMYFUNCTION("""COMPUTED_VALUE"""),"0-1")</f>
        <v>0-1</v>
      </c>
      <c r="D344" s="1" t="str">
        <f>IFERROR(__xludf.DUMMYFUNCTION("""COMPUTED_VALUE"""),"0-3")</f>
        <v>0-3</v>
      </c>
      <c r="E344" s="1" t="str">
        <f>IFERROR(__xludf.DUMMYFUNCTION("""COMPUTED_VALUE"""),"0-2")</f>
        <v>0-2</v>
      </c>
      <c r="F344" s="1" t="str">
        <f>IFERROR(__xludf.DUMMYFUNCTION("""COMPUTED_VALUE"""),"0-5")</f>
        <v>0-5</v>
      </c>
      <c r="G344" s="1" t="str">
        <f>IFERROR(__xludf.DUMMYFUNCTION("""COMPUTED_VALUE"""),"1-0")</f>
        <v>1-0</v>
      </c>
      <c r="H344" s="1" t="str">
        <f>IFERROR(__xludf.DUMMYFUNCTION("""COMPUTED_VALUE"""),"8-0")</f>
        <v>8-0</v>
      </c>
    </row>
    <row r="345">
      <c r="A345" s="1">
        <f>IFERROR(__xludf.DUMMYFUNCTION("""COMPUTED_VALUE"""),338.0)</f>
        <v>338</v>
      </c>
      <c r="B345" s="1" t="str">
        <f>IFERROR(__xludf.DUMMYFUNCTION("""COMPUTED_VALUE"""),"Lehigh")</f>
        <v>Lehigh</v>
      </c>
      <c r="C345" s="1" t="str">
        <f>IFERROR(__xludf.DUMMYFUNCTION("""COMPUTED_VALUE"""),"0-1")</f>
        <v>0-1</v>
      </c>
      <c r="D345" s="1" t="str">
        <f>IFERROR(__xludf.DUMMYFUNCTION("""COMPUTED_VALUE"""),"0-4")</f>
        <v>0-4</v>
      </c>
      <c r="E345" s="1" t="str">
        <f>IFERROR(__xludf.DUMMYFUNCTION("""COMPUTED_VALUE"""),"0-1")</f>
        <v>0-1</v>
      </c>
      <c r="F345" s="1" t="str">
        <f>IFERROR(__xludf.DUMMYFUNCTION("""COMPUTED_VALUE"""),"0-5")</f>
        <v>0-5</v>
      </c>
      <c r="G345" s="1" t="str">
        <f>IFERROR(__xludf.DUMMYFUNCTION("""COMPUTED_VALUE"""),"0-0")</f>
        <v>0-0</v>
      </c>
      <c r="H345" s="2">
        <f>IFERROR(__xludf.DUMMYFUNCTION("""COMPUTED_VALUE"""),45749.0)</f>
        <v>45749</v>
      </c>
    </row>
    <row r="346">
      <c r="A346" s="1">
        <f>IFERROR(__xludf.DUMMYFUNCTION("""COMPUTED_VALUE"""),339.0)</f>
        <v>339</v>
      </c>
      <c r="B346" s="1" t="str">
        <f>IFERROR(__xludf.DUMMYFUNCTION("""COMPUTED_VALUE"""),"Portland")</f>
        <v>Portland</v>
      </c>
      <c r="C346" s="1" t="str">
        <f>IFERROR(__xludf.DUMMYFUNCTION("""COMPUTED_VALUE"""),"0-2")</f>
        <v>0-2</v>
      </c>
      <c r="D346" s="1" t="str">
        <f>IFERROR(__xludf.DUMMYFUNCTION("""COMPUTED_VALUE"""),"0-3")</f>
        <v>0-3</v>
      </c>
      <c r="E346" s="1" t="str">
        <f>IFERROR(__xludf.DUMMYFUNCTION("""COMPUTED_VALUE"""),"0-3")</f>
        <v>0-3</v>
      </c>
      <c r="F346" s="1" t="str">
        <f>IFERROR(__xludf.DUMMYFUNCTION("""COMPUTED_VALUE"""),"0-6")</f>
        <v>0-6</v>
      </c>
      <c r="G346" s="1" t="str">
        <f>IFERROR(__xludf.DUMMYFUNCTION("""COMPUTED_VALUE"""),"0-4")</f>
        <v>0-4</v>
      </c>
      <c r="H346" s="2">
        <f>IFERROR(__xludf.DUMMYFUNCTION("""COMPUTED_VALUE"""),45718.0)</f>
        <v>45718</v>
      </c>
    </row>
    <row r="347">
      <c r="A347" s="1">
        <f>IFERROR(__xludf.DUMMYFUNCTION("""COMPUTED_VALUE"""),340.0)</f>
        <v>340</v>
      </c>
      <c r="B347" s="1" t="str">
        <f>IFERROR(__xludf.DUMMYFUNCTION("""COMPUTED_VALUE"""),"Texas Southern")</f>
        <v>Texas Southern</v>
      </c>
      <c r="C347" s="1" t="str">
        <f>IFERROR(__xludf.DUMMYFUNCTION("""COMPUTED_VALUE"""),"0-1")</f>
        <v>0-1</v>
      </c>
      <c r="D347" s="1" t="str">
        <f>IFERROR(__xludf.DUMMYFUNCTION("""COMPUTED_VALUE"""),"0-5")</f>
        <v>0-5</v>
      </c>
      <c r="E347" s="1" t="str">
        <f>IFERROR(__xludf.DUMMYFUNCTION("""COMPUTED_VALUE"""),"0-1")</f>
        <v>0-1</v>
      </c>
      <c r="F347" s="1" t="str">
        <f>IFERROR(__xludf.DUMMYFUNCTION("""COMPUTED_VALUE"""),"0-6")</f>
        <v>0-6</v>
      </c>
      <c r="G347" s="1" t="str">
        <f>IFERROR(__xludf.DUMMYFUNCTION("""COMPUTED_VALUE"""),"0-2")</f>
        <v>0-2</v>
      </c>
      <c r="H347" s="2">
        <f>IFERROR(__xludf.DUMMYFUNCTION("""COMPUTED_VALUE"""),45660.0)</f>
        <v>45660</v>
      </c>
    </row>
    <row r="348">
      <c r="A348" s="1">
        <f>IFERROR(__xludf.DUMMYFUNCTION("""COMPUTED_VALUE"""),341.0)</f>
        <v>341</v>
      </c>
      <c r="B348" s="1" t="str">
        <f>IFERROR(__xludf.DUMMYFUNCTION("""COMPUTED_VALUE"""),"Oakland")</f>
        <v>Oakland</v>
      </c>
      <c r="C348" s="1" t="str">
        <f>IFERROR(__xludf.DUMMYFUNCTION("""COMPUTED_VALUE"""),"0-4")</f>
        <v>0-4</v>
      </c>
      <c r="D348" s="1" t="str">
        <f>IFERROR(__xludf.DUMMYFUNCTION("""COMPUTED_VALUE"""),"0-5")</f>
        <v>0-5</v>
      </c>
      <c r="E348" s="1" t="str">
        <f>IFERROR(__xludf.DUMMYFUNCTION("""COMPUTED_VALUE"""),"0-1")</f>
        <v>0-1</v>
      </c>
      <c r="F348" s="1" t="str">
        <f>IFERROR(__xludf.DUMMYFUNCTION("""COMPUTED_VALUE"""),"0-6")</f>
        <v>0-6</v>
      </c>
      <c r="G348" s="2">
        <f>IFERROR(__xludf.DUMMYFUNCTION("""COMPUTED_VALUE"""),45719.0)</f>
        <v>45719</v>
      </c>
      <c r="H348" s="2">
        <f>IFERROR(__xludf.DUMMYFUNCTION("""COMPUTED_VALUE"""),45659.0)</f>
        <v>45659</v>
      </c>
    </row>
    <row r="349">
      <c r="A349" s="1">
        <f>IFERROR(__xludf.DUMMYFUNCTION("""COMPUTED_VALUE"""),342.0)</f>
        <v>342</v>
      </c>
      <c r="B349" s="1" t="str">
        <f>IFERROR(__xludf.DUMMYFUNCTION("""COMPUTED_VALUE"""),"Jacksonville")</f>
        <v>Jacksonville</v>
      </c>
      <c r="C349" s="1" t="str">
        <f>IFERROR(__xludf.DUMMYFUNCTION("""COMPUTED_VALUE"""),"0-2")</f>
        <v>0-2</v>
      </c>
      <c r="D349" s="1" t="str">
        <f>IFERROR(__xludf.DUMMYFUNCTION("""COMPUTED_VALUE"""),"0-2")</f>
        <v>0-2</v>
      </c>
      <c r="E349" s="1" t="str">
        <f>IFERROR(__xludf.DUMMYFUNCTION("""COMPUTED_VALUE"""),"0-4")</f>
        <v>0-4</v>
      </c>
      <c r="F349" s="1" t="str">
        <f>IFERROR(__xludf.DUMMYFUNCTION("""COMPUTED_VALUE"""),"0-6")</f>
        <v>0-6</v>
      </c>
      <c r="G349" s="1" t="str">
        <f>IFERROR(__xludf.DUMMYFUNCTION("""COMPUTED_VALUE"""),"2-0")</f>
        <v>2-0</v>
      </c>
      <c r="H349" s="2">
        <f>IFERROR(__xludf.DUMMYFUNCTION("""COMPUTED_VALUE"""),45717.0)</f>
        <v>45717</v>
      </c>
    </row>
    <row r="350">
      <c r="A350" s="1">
        <f>IFERROR(__xludf.DUMMYFUNCTION("""COMPUTED_VALUE"""),343.0)</f>
        <v>343</v>
      </c>
      <c r="B350" s="1" t="str">
        <f>IFERROR(__xludf.DUMMYFUNCTION("""COMPUTED_VALUE"""),"Cal St. Fullerton")</f>
        <v>Cal St. Fullerton</v>
      </c>
      <c r="C350" s="1" t="str">
        <f>IFERROR(__xludf.DUMMYFUNCTION("""COMPUTED_VALUE"""),"0-1")</f>
        <v>0-1</v>
      </c>
      <c r="D350" s="1" t="str">
        <f>IFERROR(__xludf.DUMMYFUNCTION("""COMPUTED_VALUE"""),"0-2")</f>
        <v>0-2</v>
      </c>
      <c r="E350" s="1" t="str">
        <f>IFERROR(__xludf.DUMMYFUNCTION("""COMPUTED_VALUE"""),"0-4")</f>
        <v>0-4</v>
      </c>
      <c r="F350" s="1" t="str">
        <f>IFERROR(__xludf.DUMMYFUNCTION("""COMPUTED_VALUE"""),"0-6")</f>
        <v>0-6</v>
      </c>
      <c r="G350" s="2">
        <f>IFERROR(__xludf.DUMMYFUNCTION("""COMPUTED_VALUE"""),45660.0)</f>
        <v>45660</v>
      </c>
      <c r="H350" s="2">
        <f>IFERROR(__xludf.DUMMYFUNCTION("""COMPUTED_VALUE"""),45690.0)</f>
        <v>45690</v>
      </c>
    </row>
    <row r="351">
      <c r="A351" s="1">
        <f>IFERROR(__xludf.DUMMYFUNCTION("""COMPUTED_VALUE"""),344.0)</f>
        <v>344</v>
      </c>
      <c r="B351" s="1" t="str">
        <f>IFERROR(__xludf.DUMMYFUNCTION("""COMPUTED_VALUE"""),"Mercyhurst")</f>
        <v>Mercyhurst</v>
      </c>
      <c r="C351" s="1" t="str">
        <f>IFERROR(__xludf.DUMMYFUNCTION("""COMPUTED_VALUE"""),"0-1")</f>
        <v>0-1</v>
      </c>
      <c r="D351" s="1" t="str">
        <f>IFERROR(__xludf.DUMMYFUNCTION("""COMPUTED_VALUE"""),"0-2")</f>
        <v>0-2</v>
      </c>
      <c r="E351" s="1" t="str">
        <f>IFERROR(__xludf.DUMMYFUNCTION("""COMPUTED_VALUE"""),"0-4")</f>
        <v>0-4</v>
      </c>
      <c r="F351" s="1" t="str">
        <f>IFERROR(__xludf.DUMMYFUNCTION("""COMPUTED_VALUE"""),"0-6")</f>
        <v>0-6</v>
      </c>
      <c r="G351" s="1" t="str">
        <f>IFERROR(__xludf.DUMMYFUNCTION("""COMPUTED_VALUE"""),"0-1")</f>
        <v>0-1</v>
      </c>
      <c r="H351" s="2">
        <f>IFERROR(__xludf.DUMMYFUNCTION("""COMPUTED_VALUE"""),45750.0)</f>
        <v>45750</v>
      </c>
    </row>
    <row r="352">
      <c r="A352" s="1">
        <f>IFERROR(__xludf.DUMMYFUNCTION("""COMPUTED_VALUE"""),345.0)</f>
        <v>345</v>
      </c>
      <c r="B352" s="1" t="str">
        <f>IFERROR(__xludf.DUMMYFUNCTION("""COMPUTED_VALUE"""),"Georgia Tech")</f>
        <v>Georgia Tech</v>
      </c>
      <c r="C352" s="1" t="str">
        <f>IFERROR(__xludf.DUMMYFUNCTION("""COMPUTED_VALUE"""),"0-1")</f>
        <v>0-1</v>
      </c>
      <c r="D352" s="1" t="str">
        <f>IFERROR(__xludf.DUMMYFUNCTION("""COMPUTED_VALUE"""),"0-4")</f>
        <v>0-4</v>
      </c>
      <c r="E352" s="1" t="str">
        <f>IFERROR(__xludf.DUMMYFUNCTION("""COMPUTED_VALUE"""),"0-2")</f>
        <v>0-2</v>
      </c>
      <c r="F352" s="1" t="str">
        <f>IFERROR(__xludf.DUMMYFUNCTION("""COMPUTED_VALUE"""),"0-6")</f>
        <v>0-6</v>
      </c>
      <c r="G352" s="1" t="str">
        <f>IFERROR(__xludf.DUMMYFUNCTION("""COMPUTED_VALUE"""),"1-0")</f>
        <v>1-0</v>
      </c>
      <c r="H352" s="2">
        <f>IFERROR(__xludf.DUMMYFUNCTION("""COMPUTED_VALUE"""),45839.0)</f>
        <v>45839</v>
      </c>
    </row>
    <row r="353">
      <c r="A353" s="1">
        <f>IFERROR(__xludf.DUMMYFUNCTION("""COMPUTED_VALUE"""),346.0)</f>
        <v>346</v>
      </c>
      <c r="B353" s="1" t="str">
        <f>IFERROR(__xludf.DUMMYFUNCTION("""COMPUTED_VALUE"""),"Maryland Eastern Shore")</f>
        <v>Maryland Eastern Shore</v>
      </c>
      <c r="C353" s="1" t="str">
        <f>IFERROR(__xludf.DUMMYFUNCTION("""COMPUTED_VALUE"""),"0-5")</f>
        <v>0-5</v>
      </c>
      <c r="D353" s="1" t="str">
        <f>IFERROR(__xludf.DUMMYFUNCTION("""COMPUTED_VALUE"""),"0-5")</f>
        <v>0-5</v>
      </c>
      <c r="E353" s="1" t="str">
        <f>IFERROR(__xludf.DUMMYFUNCTION("""COMPUTED_VALUE"""),"0-1")</f>
        <v>0-1</v>
      </c>
      <c r="F353" s="1" t="str">
        <f>IFERROR(__xludf.DUMMYFUNCTION("""COMPUTED_VALUE"""),"0-6")</f>
        <v>0-6</v>
      </c>
      <c r="G353" s="1" t="str">
        <f>IFERROR(__xludf.DUMMYFUNCTION("""COMPUTED_VALUE"""),"0-3")</f>
        <v>0-3</v>
      </c>
      <c r="H353" s="1" t="str">
        <f>IFERROR(__xludf.DUMMYFUNCTION("""COMPUTED_VALUE"""),"0-4")</f>
        <v>0-4</v>
      </c>
    </row>
    <row r="354">
      <c r="A354" s="1">
        <f>IFERROR(__xludf.DUMMYFUNCTION("""COMPUTED_VALUE"""),347.0)</f>
        <v>347</v>
      </c>
      <c r="B354" s="1" t="str">
        <f>IFERROR(__xludf.DUMMYFUNCTION("""COMPUTED_VALUE"""),"Montana")</f>
        <v>Montana</v>
      </c>
      <c r="C354" s="1" t="str">
        <f>IFERROR(__xludf.DUMMYFUNCTION("""COMPUTED_VALUE"""),"0-3")</f>
        <v>0-3</v>
      </c>
      <c r="D354" s="1" t="str">
        <f>IFERROR(__xludf.DUMMYFUNCTION("""COMPUTED_VALUE"""),"0-4")</f>
        <v>0-4</v>
      </c>
      <c r="E354" s="1" t="str">
        <f>IFERROR(__xludf.DUMMYFUNCTION("""COMPUTED_VALUE"""),"0-2")</f>
        <v>0-2</v>
      </c>
      <c r="F354" s="1" t="str">
        <f>IFERROR(__xludf.DUMMYFUNCTION("""COMPUTED_VALUE"""),"0-6")</f>
        <v>0-6</v>
      </c>
      <c r="G354" s="1" t="str">
        <f>IFERROR(__xludf.DUMMYFUNCTION("""COMPUTED_VALUE"""),"2-0")</f>
        <v>2-0</v>
      </c>
      <c r="H354" s="1" t="str">
        <f>IFERROR(__xludf.DUMMYFUNCTION("""COMPUTED_VALUE"""),"4-0")</f>
        <v>4-0</v>
      </c>
    </row>
    <row r="355">
      <c r="A355" s="1">
        <f>IFERROR(__xludf.DUMMYFUNCTION("""COMPUTED_VALUE"""),348.0)</f>
        <v>348</v>
      </c>
      <c r="B355" s="1" t="str">
        <f>IFERROR(__xludf.DUMMYFUNCTION("""COMPUTED_VALUE"""),"Minnesota")</f>
        <v>Minnesota</v>
      </c>
      <c r="C355" s="1" t="str">
        <f>IFERROR(__xludf.DUMMYFUNCTION("""COMPUTED_VALUE"""),"0-0")</f>
        <v>0-0</v>
      </c>
      <c r="D355" s="1" t="str">
        <f>IFERROR(__xludf.DUMMYFUNCTION("""COMPUTED_VALUE"""),"0-3")</f>
        <v>0-3</v>
      </c>
      <c r="E355" s="1" t="str">
        <f>IFERROR(__xludf.DUMMYFUNCTION("""COMPUTED_VALUE"""),"0-3")</f>
        <v>0-3</v>
      </c>
      <c r="F355" s="1" t="str">
        <f>IFERROR(__xludf.DUMMYFUNCTION("""COMPUTED_VALUE"""),"0-6")</f>
        <v>0-6</v>
      </c>
      <c r="G355" s="2">
        <f>IFERROR(__xludf.DUMMYFUNCTION("""COMPUTED_VALUE"""),45658.0)</f>
        <v>45658</v>
      </c>
      <c r="H355" s="1" t="str">
        <f>IFERROR(__xludf.DUMMYFUNCTION("""COMPUTED_VALUE"""),"7-0")</f>
        <v>7-0</v>
      </c>
    </row>
    <row r="356">
      <c r="A356" s="1">
        <f>IFERROR(__xludf.DUMMYFUNCTION("""COMPUTED_VALUE"""),349.0)</f>
        <v>349</v>
      </c>
      <c r="B356" s="1" t="str">
        <f>IFERROR(__xludf.DUMMYFUNCTION("""COMPUTED_VALUE"""),"Northwestern St.")</f>
        <v>Northwestern St.</v>
      </c>
      <c r="C356" s="1" t="str">
        <f>IFERROR(__xludf.DUMMYFUNCTION("""COMPUTED_VALUE"""),"0-1")</f>
        <v>0-1</v>
      </c>
      <c r="D356" s="1" t="str">
        <f>IFERROR(__xludf.DUMMYFUNCTION("""COMPUTED_VALUE"""),"0-4")</f>
        <v>0-4</v>
      </c>
      <c r="E356" s="1" t="str">
        <f>IFERROR(__xludf.DUMMYFUNCTION("""COMPUTED_VALUE"""),"0-2")</f>
        <v>0-2</v>
      </c>
      <c r="F356" s="1" t="str">
        <f>IFERROR(__xludf.DUMMYFUNCTION("""COMPUTED_VALUE"""),"0-6")</f>
        <v>0-6</v>
      </c>
      <c r="G356" s="2">
        <f>IFERROR(__xludf.DUMMYFUNCTION("""COMPUTED_VALUE"""),45689.0)</f>
        <v>45689</v>
      </c>
      <c r="H356" s="2">
        <f>IFERROR(__xludf.DUMMYFUNCTION("""COMPUTED_VALUE"""),45689.0)</f>
        <v>45689</v>
      </c>
    </row>
    <row r="357">
      <c r="A357" s="1">
        <f>IFERROR(__xludf.DUMMYFUNCTION("""COMPUTED_VALUE"""),350.0)</f>
        <v>350</v>
      </c>
      <c r="B357" s="1" t="str">
        <f>IFERROR(__xludf.DUMMYFUNCTION("""COMPUTED_VALUE"""),"Virginia Tech")</f>
        <v>Virginia Tech</v>
      </c>
      <c r="C357" s="1" t="str">
        <f>IFERROR(__xludf.DUMMYFUNCTION("""COMPUTED_VALUE"""),"0-3")</f>
        <v>0-3</v>
      </c>
      <c r="D357" s="1" t="str">
        <f>IFERROR(__xludf.DUMMYFUNCTION("""COMPUTED_VALUE"""),"0-4")</f>
        <v>0-4</v>
      </c>
      <c r="E357" s="1" t="str">
        <f>IFERROR(__xludf.DUMMYFUNCTION("""COMPUTED_VALUE"""),"0-2")</f>
        <v>0-2</v>
      </c>
      <c r="F357" s="1" t="str">
        <f>IFERROR(__xludf.DUMMYFUNCTION("""COMPUTED_VALUE"""),"0-6")</f>
        <v>0-6</v>
      </c>
      <c r="G357" s="1" t="str">
        <f>IFERROR(__xludf.DUMMYFUNCTION("""COMPUTED_VALUE"""),"0-1")</f>
        <v>0-1</v>
      </c>
      <c r="H357" s="2">
        <f>IFERROR(__xludf.DUMMYFUNCTION("""COMPUTED_VALUE"""),45809.0)</f>
        <v>45809</v>
      </c>
    </row>
    <row r="358">
      <c r="A358" s="1">
        <f>IFERROR(__xludf.DUMMYFUNCTION("""COMPUTED_VALUE"""),351.0)</f>
        <v>351</v>
      </c>
      <c r="B358" s="1" t="str">
        <f>IFERROR(__xludf.DUMMYFUNCTION("""COMPUTED_VALUE"""),"Pacific")</f>
        <v>Pacific</v>
      </c>
      <c r="C358" s="1" t="str">
        <f>IFERROR(__xludf.DUMMYFUNCTION("""COMPUTED_VALUE"""),"0-1")</f>
        <v>0-1</v>
      </c>
      <c r="D358" s="1" t="str">
        <f>IFERROR(__xludf.DUMMYFUNCTION("""COMPUTED_VALUE"""),"0-3")</f>
        <v>0-3</v>
      </c>
      <c r="E358" s="1" t="str">
        <f>IFERROR(__xludf.DUMMYFUNCTION("""COMPUTED_VALUE"""),"0-4")</f>
        <v>0-4</v>
      </c>
      <c r="F358" s="1" t="str">
        <f>IFERROR(__xludf.DUMMYFUNCTION("""COMPUTED_VALUE"""),"0-7")</f>
        <v>0-7</v>
      </c>
      <c r="G358" s="1" t="str">
        <f>IFERROR(__xludf.DUMMYFUNCTION("""COMPUTED_VALUE"""),"0-1")</f>
        <v>0-1</v>
      </c>
      <c r="H358" s="2">
        <f>IFERROR(__xludf.DUMMYFUNCTION("""COMPUTED_VALUE"""),45721.0)</f>
        <v>45721</v>
      </c>
    </row>
    <row r="359">
      <c r="A359" s="1">
        <f>IFERROR(__xludf.DUMMYFUNCTION("""COMPUTED_VALUE"""),352.0)</f>
        <v>352</v>
      </c>
      <c r="B359" s="1" t="str">
        <f>IFERROR(__xludf.DUMMYFUNCTION("""COMPUTED_VALUE"""),"Florida A&amp;M")</f>
        <v>Florida A&amp;M</v>
      </c>
      <c r="C359" s="1" t="str">
        <f>IFERROR(__xludf.DUMMYFUNCTION("""COMPUTED_VALUE"""),"0-3")</f>
        <v>0-3</v>
      </c>
      <c r="D359" s="1" t="str">
        <f>IFERROR(__xludf.DUMMYFUNCTION("""COMPUTED_VALUE"""),"0-5")</f>
        <v>0-5</v>
      </c>
      <c r="E359" s="1" t="str">
        <f>IFERROR(__xludf.DUMMYFUNCTION("""COMPUTED_VALUE"""),"0-2")</f>
        <v>0-2</v>
      </c>
      <c r="F359" s="1" t="str">
        <f>IFERROR(__xludf.DUMMYFUNCTION("""COMPUTED_VALUE"""),"0-7")</f>
        <v>0-7</v>
      </c>
      <c r="G359" s="1" t="str">
        <f>IFERROR(__xludf.DUMMYFUNCTION("""COMPUTED_VALUE"""),"0-0")</f>
        <v>0-0</v>
      </c>
      <c r="H359" s="2">
        <f>IFERROR(__xludf.DUMMYFUNCTION("""COMPUTED_VALUE"""),45659.0)</f>
        <v>45659</v>
      </c>
    </row>
    <row r="360">
      <c r="A360" s="1">
        <f>IFERROR(__xludf.DUMMYFUNCTION("""COMPUTED_VALUE"""),353.0)</f>
        <v>353</v>
      </c>
      <c r="B360" s="1" t="str">
        <f>IFERROR(__xludf.DUMMYFUNCTION("""COMPUTED_VALUE"""),"Coppin St.")</f>
        <v>Coppin St.</v>
      </c>
      <c r="C360" s="1" t="str">
        <f>IFERROR(__xludf.DUMMYFUNCTION("""COMPUTED_VALUE"""),"0-0")</f>
        <v>0-0</v>
      </c>
      <c r="D360" s="1" t="str">
        <f>IFERROR(__xludf.DUMMYFUNCTION("""COMPUTED_VALUE"""),"0-2")</f>
        <v>0-2</v>
      </c>
      <c r="E360" s="1" t="str">
        <f>IFERROR(__xludf.DUMMYFUNCTION("""COMPUTED_VALUE"""),"0-5")</f>
        <v>0-5</v>
      </c>
      <c r="F360" s="1" t="str">
        <f>IFERROR(__xludf.DUMMYFUNCTION("""COMPUTED_VALUE"""),"0-7")</f>
        <v>0-7</v>
      </c>
      <c r="G360" s="1" t="str">
        <f>IFERROR(__xludf.DUMMYFUNCTION("""COMPUTED_VALUE"""),"0-2")</f>
        <v>0-2</v>
      </c>
      <c r="H360" s="2">
        <f>IFERROR(__xludf.DUMMYFUNCTION("""COMPUTED_VALUE"""),45693.0)</f>
        <v>45693</v>
      </c>
    </row>
    <row r="361">
      <c r="A361" s="1">
        <f>IFERROR(__xludf.DUMMYFUNCTION("""COMPUTED_VALUE"""),354.0)</f>
        <v>354</v>
      </c>
      <c r="B361" s="1" t="str">
        <f>IFERROR(__xludf.DUMMYFUNCTION("""COMPUTED_VALUE"""),"Syracuse")</f>
        <v>Syracuse</v>
      </c>
      <c r="C361" s="1" t="str">
        <f>IFERROR(__xludf.DUMMYFUNCTION("""COMPUTED_VALUE"""),"0-3")</f>
        <v>0-3</v>
      </c>
      <c r="D361" s="1" t="str">
        <f>IFERROR(__xludf.DUMMYFUNCTION("""COMPUTED_VALUE"""),"0-5")</f>
        <v>0-5</v>
      </c>
      <c r="E361" s="1" t="str">
        <f>IFERROR(__xludf.DUMMYFUNCTION("""COMPUTED_VALUE"""),"0-2")</f>
        <v>0-2</v>
      </c>
      <c r="F361" s="1" t="str">
        <f>IFERROR(__xludf.DUMMYFUNCTION("""COMPUTED_VALUE"""),"0-7")</f>
        <v>0-7</v>
      </c>
      <c r="G361" s="2">
        <f>IFERROR(__xludf.DUMMYFUNCTION("""COMPUTED_VALUE"""),45658.0)</f>
        <v>45658</v>
      </c>
      <c r="H361" s="1" t="str">
        <f>IFERROR(__xludf.DUMMYFUNCTION("""COMPUTED_VALUE"""),"5-0")</f>
        <v>5-0</v>
      </c>
    </row>
    <row r="362">
      <c r="A362" s="1">
        <f>IFERROR(__xludf.DUMMYFUNCTION("""COMPUTED_VALUE"""),355.0)</f>
        <v>355</v>
      </c>
      <c r="B362" s="1" t="str">
        <f>IFERROR(__xludf.DUMMYFUNCTION("""COMPUTED_VALUE"""),"Pepperdine")</f>
        <v>Pepperdine</v>
      </c>
      <c r="C362" s="1" t="str">
        <f>IFERROR(__xludf.DUMMYFUNCTION("""COMPUTED_VALUE"""),"0-1")</f>
        <v>0-1</v>
      </c>
      <c r="D362" s="1" t="str">
        <f>IFERROR(__xludf.DUMMYFUNCTION("""COMPUTED_VALUE"""),"0-6")</f>
        <v>0-6</v>
      </c>
      <c r="E362" s="1" t="str">
        <f>IFERROR(__xludf.DUMMYFUNCTION("""COMPUTED_VALUE"""),"0-1")</f>
        <v>0-1</v>
      </c>
      <c r="F362" s="1" t="str">
        <f>IFERROR(__xludf.DUMMYFUNCTION("""COMPUTED_VALUE"""),"0-7")</f>
        <v>0-7</v>
      </c>
      <c r="G362" s="1" t="str">
        <f>IFERROR(__xludf.DUMMYFUNCTION("""COMPUTED_VALUE"""),"1-0")</f>
        <v>1-0</v>
      </c>
      <c r="H362" s="2">
        <f>IFERROR(__xludf.DUMMYFUNCTION("""COMPUTED_VALUE"""),45780.0)</f>
        <v>45780</v>
      </c>
    </row>
    <row r="363">
      <c r="A363" s="1">
        <f>IFERROR(__xludf.DUMMYFUNCTION("""COMPUTED_VALUE"""),356.0)</f>
        <v>356</v>
      </c>
      <c r="B363" s="1" t="str">
        <f>IFERROR(__xludf.DUMMYFUNCTION("""COMPUTED_VALUE"""),"Eastern Washington")</f>
        <v>Eastern Washington</v>
      </c>
      <c r="C363" s="1" t="str">
        <f>IFERROR(__xludf.DUMMYFUNCTION("""COMPUTED_VALUE"""),"0-0")</f>
        <v>0-0</v>
      </c>
      <c r="D363" s="1" t="str">
        <f>IFERROR(__xludf.DUMMYFUNCTION("""COMPUTED_VALUE"""),"0-1")</f>
        <v>0-1</v>
      </c>
      <c r="E363" s="1" t="str">
        <f>IFERROR(__xludf.DUMMYFUNCTION("""COMPUTED_VALUE"""),"0-6")</f>
        <v>0-6</v>
      </c>
      <c r="F363" s="1" t="str">
        <f>IFERROR(__xludf.DUMMYFUNCTION("""COMPUTED_VALUE"""),"0-7")</f>
        <v>0-7</v>
      </c>
      <c r="G363" s="2">
        <f>IFERROR(__xludf.DUMMYFUNCTION("""COMPUTED_VALUE"""),45659.0)</f>
        <v>45659</v>
      </c>
      <c r="H363" s="2">
        <f>IFERROR(__xludf.DUMMYFUNCTION("""COMPUTED_VALUE"""),45689.0)</f>
        <v>45689</v>
      </c>
    </row>
    <row r="364">
      <c r="A364" s="1">
        <f>IFERROR(__xludf.DUMMYFUNCTION("""COMPUTED_VALUE"""),357.0)</f>
        <v>357</v>
      </c>
      <c r="B364" s="1" t="str">
        <f>IFERROR(__xludf.DUMMYFUNCTION("""COMPUTED_VALUE"""),"Tarleton St.")</f>
        <v>Tarleton St.</v>
      </c>
      <c r="C364" s="1" t="str">
        <f>IFERROR(__xludf.DUMMYFUNCTION("""COMPUTED_VALUE"""),"0-2")</f>
        <v>0-2</v>
      </c>
      <c r="D364" s="1" t="str">
        <f>IFERROR(__xludf.DUMMYFUNCTION("""COMPUTED_VALUE"""),"0-4")</f>
        <v>0-4</v>
      </c>
      <c r="E364" s="1" t="str">
        <f>IFERROR(__xludf.DUMMYFUNCTION("""COMPUTED_VALUE"""),"0-3")</f>
        <v>0-3</v>
      </c>
      <c r="F364" s="1" t="str">
        <f>IFERROR(__xludf.DUMMYFUNCTION("""COMPUTED_VALUE"""),"0-7")</f>
        <v>0-7</v>
      </c>
      <c r="G364" s="2">
        <f>IFERROR(__xludf.DUMMYFUNCTION("""COMPUTED_VALUE"""),45658.0)</f>
        <v>45658</v>
      </c>
      <c r="H364" s="2">
        <f>IFERROR(__xludf.DUMMYFUNCTION("""COMPUTED_VALUE"""),45690.0)</f>
        <v>45690</v>
      </c>
    </row>
    <row r="365">
      <c r="A365" s="1">
        <f>IFERROR(__xludf.DUMMYFUNCTION("""COMPUTED_VALUE"""),358.0)</f>
        <v>358</v>
      </c>
      <c r="B365" s="1" t="str">
        <f>IFERROR(__xludf.DUMMYFUNCTION("""COMPUTED_VALUE"""),"Bethune Cookman")</f>
        <v>Bethune Cookman</v>
      </c>
      <c r="C365" s="1" t="str">
        <f>IFERROR(__xludf.DUMMYFUNCTION("""COMPUTED_VALUE"""),"0-4")</f>
        <v>0-4</v>
      </c>
      <c r="D365" s="1" t="str">
        <f>IFERROR(__xludf.DUMMYFUNCTION("""COMPUTED_VALUE"""),"0-4")</f>
        <v>0-4</v>
      </c>
      <c r="E365" s="1" t="str">
        <f>IFERROR(__xludf.DUMMYFUNCTION("""COMPUTED_VALUE"""),"0-3")</f>
        <v>0-3</v>
      </c>
      <c r="F365" s="1" t="str">
        <f>IFERROR(__xludf.DUMMYFUNCTION("""COMPUTED_VALUE"""),"0-7")</f>
        <v>0-7</v>
      </c>
      <c r="G365" s="2">
        <f>IFERROR(__xludf.DUMMYFUNCTION("""COMPUTED_VALUE"""),45659.0)</f>
        <v>45659</v>
      </c>
      <c r="H365" s="2">
        <f>IFERROR(__xludf.DUMMYFUNCTION("""COMPUTED_VALUE"""),45717.0)</f>
        <v>45717</v>
      </c>
    </row>
    <row r="366">
      <c r="A366" s="1">
        <f>IFERROR(__xludf.DUMMYFUNCTION("""COMPUTED_VALUE"""),359.0)</f>
        <v>359</v>
      </c>
      <c r="B366" s="1" t="str">
        <f>IFERROR(__xludf.DUMMYFUNCTION("""COMPUTED_VALUE"""),"New Orleans")</f>
        <v>New Orleans</v>
      </c>
      <c r="C366" s="1" t="str">
        <f>IFERROR(__xludf.DUMMYFUNCTION("""COMPUTED_VALUE"""),"0-2")</f>
        <v>0-2</v>
      </c>
      <c r="D366" s="1" t="str">
        <f>IFERROR(__xludf.DUMMYFUNCTION("""COMPUTED_VALUE"""),"0-6")</f>
        <v>0-6</v>
      </c>
      <c r="E366" s="1" t="str">
        <f>IFERROR(__xludf.DUMMYFUNCTION("""COMPUTED_VALUE"""),"0-1")</f>
        <v>0-1</v>
      </c>
      <c r="F366" s="1" t="str">
        <f>IFERROR(__xludf.DUMMYFUNCTION("""COMPUTED_VALUE"""),"0-7")</f>
        <v>0-7</v>
      </c>
      <c r="G366" s="2">
        <f>IFERROR(__xludf.DUMMYFUNCTION("""COMPUTED_VALUE"""),45661.0)</f>
        <v>45661</v>
      </c>
      <c r="H366" s="2">
        <f>IFERROR(__xludf.DUMMYFUNCTION("""COMPUTED_VALUE"""),45659.0)</f>
        <v>45659</v>
      </c>
    </row>
    <row r="367">
      <c r="A367" s="1">
        <f>IFERROR(__xludf.DUMMYFUNCTION("""COMPUTED_VALUE"""),360.0)</f>
        <v>360</v>
      </c>
      <c r="B367" s="1" t="str">
        <f>IFERROR(__xludf.DUMMYFUNCTION("""COMPUTED_VALUE"""),"Fresno St.")</f>
        <v>Fresno St.</v>
      </c>
      <c r="C367" s="1" t="str">
        <f>IFERROR(__xludf.DUMMYFUNCTION("""COMPUTED_VALUE"""),"0-1")</f>
        <v>0-1</v>
      </c>
      <c r="D367" s="1" t="str">
        <f>IFERROR(__xludf.DUMMYFUNCTION("""COMPUTED_VALUE"""),"0-3")</f>
        <v>0-3</v>
      </c>
      <c r="E367" s="1" t="str">
        <f>IFERROR(__xludf.DUMMYFUNCTION("""COMPUTED_VALUE"""),"0-5")</f>
        <v>0-5</v>
      </c>
      <c r="F367" s="1" t="str">
        <f>IFERROR(__xludf.DUMMYFUNCTION("""COMPUTED_VALUE"""),"0-8")</f>
        <v>0-8</v>
      </c>
      <c r="G367" s="1" t="str">
        <f>IFERROR(__xludf.DUMMYFUNCTION("""COMPUTED_VALUE"""),"0-2")</f>
        <v>0-2</v>
      </c>
      <c r="H367" s="2">
        <f>IFERROR(__xludf.DUMMYFUNCTION("""COMPUTED_VALUE"""),45748.0)</f>
        <v>45748</v>
      </c>
    </row>
    <row r="368">
      <c r="A368" s="1">
        <f>IFERROR(__xludf.DUMMYFUNCTION("""COMPUTED_VALUE"""),361.0)</f>
        <v>361</v>
      </c>
      <c r="B368" s="1" t="str">
        <f>IFERROR(__xludf.DUMMYFUNCTION("""COMPUTED_VALUE"""),"Alcorn St.")</f>
        <v>Alcorn St.</v>
      </c>
      <c r="C368" s="1" t="str">
        <f>IFERROR(__xludf.DUMMYFUNCTION("""COMPUTED_VALUE"""),"0-2")</f>
        <v>0-2</v>
      </c>
      <c r="D368" s="1" t="str">
        <f>IFERROR(__xludf.DUMMYFUNCTION("""COMPUTED_VALUE"""),"0-3")</f>
        <v>0-3</v>
      </c>
      <c r="E368" s="1" t="str">
        <f>IFERROR(__xludf.DUMMYFUNCTION("""COMPUTED_VALUE"""),"0-5")</f>
        <v>0-5</v>
      </c>
      <c r="F368" s="1" t="str">
        <f>IFERROR(__xludf.DUMMYFUNCTION("""COMPUTED_VALUE"""),"0-8")</f>
        <v>0-8</v>
      </c>
      <c r="G368" s="1" t="str">
        <f>IFERROR(__xludf.DUMMYFUNCTION("""COMPUTED_VALUE"""),"0-4")</f>
        <v>0-4</v>
      </c>
      <c r="H368" s="1" t="str">
        <f>IFERROR(__xludf.DUMMYFUNCTION("""COMPUTED_VALUE"""),"0-1")</f>
        <v>0-1</v>
      </c>
    </row>
    <row r="369">
      <c r="A369" s="1">
        <f>IFERROR(__xludf.DUMMYFUNCTION("""COMPUTED_VALUE"""),362.0)</f>
        <v>362</v>
      </c>
      <c r="B369" s="1" t="str">
        <f>IFERROR(__xludf.DUMMYFUNCTION("""COMPUTED_VALUE"""),"Chicago St.")</f>
        <v>Chicago St.</v>
      </c>
      <c r="C369" s="1" t="str">
        <f>IFERROR(__xludf.DUMMYFUNCTION("""COMPUTED_VALUE"""),"0-2")</f>
        <v>0-2</v>
      </c>
      <c r="D369" s="1" t="str">
        <f>IFERROR(__xludf.DUMMYFUNCTION("""COMPUTED_VALUE"""),"0-4")</f>
        <v>0-4</v>
      </c>
      <c r="E369" s="1" t="str">
        <f>IFERROR(__xludf.DUMMYFUNCTION("""COMPUTED_VALUE"""),"0-4")</f>
        <v>0-4</v>
      </c>
      <c r="F369" s="1" t="str">
        <f>IFERROR(__xludf.DUMMYFUNCTION("""COMPUTED_VALUE"""),"0-8")</f>
        <v>0-8</v>
      </c>
      <c r="G369" s="1" t="str">
        <f>IFERROR(__xludf.DUMMYFUNCTION("""COMPUTED_VALUE"""),"0-5")</f>
        <v>0-5</v>
      </c>
      <c r="H369" s="2">
        <f>IFERROR(__xludf.DUMMYFUNCTION("""COMPUTED_VALUE"""),45660.0)</f>
        <v>45660</v>
      </c>
    </row>
    <row r="370">
      <c r="A370" s="1">
        <f>IFERROR(__xludf.DUMMYFUNCTION("""COMPUTED_VALUE"""),363.0)</f>
        <v>363</v>
      </c>
      <c r="B370" s="1" t="str">
        <f>IFERROR(__xludf.DUMMYFUNCTION("""COMPUTED_VALUE"""),"Jackson St.")</f>
        <v>Jackson St.</v>
      </c>
      <c r="C370" s="1" t="str">
        <f>IFERROR(__xludf.DUMMYFUNCTION("""COMPUTED_VALUE"""),"0-4")</f>
        <v>0-4</v>
      </c>
      <c r="D370" s="1" t="str">
        <f>IFERROR(__xludf.DUMMYFUNCTION("""COMPUTED_VALUE"""),"0-6")</f>
        <v>0-6</v>
      </c>
      <c r="E370" s="1" t="str">
        <f>IFERROR(__xludf.DUMMYFUNCTION("""COMPUTED_VALUE"""),"0-4")</f>
        <v>0-4</v>
      </c>
      <c r="F370" s="1" t="str">
        <f>IFERROR(__xludf.DUMMYFUNCTION("""COMPUTED_VALUE"""),"0-10")</f>
        <v>0-10</v>
      </c>
      <c r="G370" s="1" t="str">
        <f>IFERROR(__xludf.DUMMYFUNCTION("""COMPUTED_VALUE"""),"0-3")</f>
        <v>0-3</v>
      </c>
      <c r="H370" s="1" t="str">
        <f>IFERROR(__xludf.DUMMYFUNCTION("""COMPUTED_VALUE"""),"1-0")</f>
        <v>1-0</v>
      </c>
    </row>
    <row r="371">
      <c r="A371" s="1">
        <f>IFERROR(__xludf.DUMMYFUNCTION("""COMPUTED_VALUE"""),364.0)</f>
        <v>364</v>
      </c>
      <c r="B371" s="1" t="str">
        <f>IFERROR(__xludf.DUMMYFUNCTION("""COMPUTED_VALUE"""),"Mississippi Valley St.")</f>
        <v>Mississippi Valley St.</v>
      </c>
      <c r="C371" s="1" t="str">
        <f>IFERROR(__xludf.DUMMYFUNCTION("""COMPUTED_VALUE"""),"0-1")</f>
        <v>0-1</v>
      </c>
      <c r="D371" s="1" t="str">
        <f>IFERROR(__xludf.DUMMYFUNCTION("""COMPUTED_VALUE"""),"0-7")</f>
        <v>0-7</v>
      </c>
      <c r="E371" s="1" t="str">
        <f>IFERROR(__xludf.DUMMYFUNCTION("""COMPUTED_VALUE"""),"0-3")</f>
        <v>0-3</v>
      </c>
      <c r="F371" s="1" t="str">
        <f>IFERROR(__xludf.DUMMYFUNCTION("""COMPUTED_VALUE"""),"0-10")</f>
        <v>0-10</v>
      </c>
      <c r="G371" s="1" t="str">
        <f>IFERROR(__xludf.DUMMYFUNCTION("""COMPUTED_VALUE"""),"0-0")</f>
        <v>0-0</v>
      </c>
      <c r="H371" s="1" t="str">
        <f>IFERROR(__xludf.DUMMYFUNCTION("""COMPUTED_VALUE"""),"0-3")</f>
        <v>0-3</v>
      </c>
    </row>
  </sheetData>
  <drawing r:id="rId1"/>
</worksheet>
</file>